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220" windowHeight="879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2)" sheetId="79" r:id="rId14"/>
    <sheet name="面积" sheetId="77"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高层" sheetId="80" r:id="rId28"/>
    <sheet name="比较法-住宅-小高层"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'比较法-住宅-高层'!$A$1:$L$49</definedName>
    <definedName name="_xlnm._FilterDatabase" localSheetId="28" hidden="1">'比较法-住宅-小高层'!$A$1:$L$49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'比较法-住宅-高层'!$B$88:$M$88</definedName>
    <definedName name="住宅朝向">'比较法-住宅-小高层'!$B$88:$M$88</definedName>
    <definedName name="住宅房型" localSheetId="27">'比较法-住宅-高层'!$B$118:$M$118</definedName>
    <definedName name="住宅房型">'比较法-住宅-小高层'!$B$118:$M$118</definedName>
    <definedName name="住宅公共部分装修" localSheetId="27">'比较法-住宅-高层'!$B$109:$M$109</definedName>
    <definedName name="住宅公共部分装修">'比较法-住宅-小高层'!$B$109:$M$109</definedName>
    <definedName name="住宅基础设施水平" localSheetId="27">'比较法-住宅-高层'!$B$116:$M$116</definedName>
    <definedName name="住宅基础设施水平">'比较法-住宅-小高层'!$B$116:$M$116</definedName>
    <definedName name="住宅建筑结构" localSheetId="27">'比较法-住宅-高层'!$B$105:$M$105</definedName>
    <definedName name="住宅建筑结构">'比较法-住宅-小高层'!$B$105:$M$105</definedName>
    <definedName name="住宅建筑类型" localSheetId="27">'比较法-住宅-高层'!$B$100:$M$100</definedName>
    <definedName name="住宅建筑类型">'比较法-住宅-小高层'!$B$100:$M$100</definedName>
    <definedName name="住宅建筑品质" localSheetId="27">'比较法-住宅-高层'!$B$107:$M$107</definedName>
    <definedName name="住宅建筑品质">'比较法-住宅-小高层'!$B$107:$M$107</definedName>
    <definedName name="住宅交易情况" localSheetId="27">'比较法-住宅-高层'!$A$61:$M$61</definedName>
    <definedName name="住宅交易情况">'比较法-住宅-小高层'!$A$61:$M$61</definedName>
    <definedName name="住宅楼层" localSheetId="27">'比较法-住宅-高层'!$B$86:$M$86</definedName>
    <definedName name="住宅楼层">'比较法-住宅-小高层'!$B$86:$M$86</definedName>
    <definedName name="住宅内部装修" localSheetId="27">'比较法-住宅-高层'!$B$122:$M$122</definedName>
    <definedName name="住宅内部装修">'比较法-住宅-小高层'!$B$122:$M$122</definedName>
    <definedName name="住宅物业管理" localSheetId="27">'比较法-住宅-高层'!$B$114:$M$114</definedName>
    <definedName name="住宅物业管理">'比较法-住宅-小高层'!$B$114:$M$114</definedName>
    <definedName name="住宅用途" localSheetId="27">'比较法-住宅-高层'!$B$63:$M$63</definedName>
    <definedName name="住宅用途">'比较法-住宅-小高层'!$B$63:$M$63</definedName>
    <definedName name="住宅主力户型面积" localSheetId="27">'比较法-住宅-高层'!$B$120:$M$120</definedName>
    <definedName name="住宅主力户型面积">'比较法-住宅-小高层'!$B$120:$M$120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D15" i="74"/>
  <c r="G15" i="74"/>
  <c r="C15" i="74"/>
  <c r="B15" i="74"/>
  <c r="J6" i="79"/>
  <c r="I7" i="6"/>
  <c r="Q17" i="3"/>
  <c r="H38" i="79"/>
  <c r="G23" i="79"/>
  <c r="F23" i="79"/>
  <c r="BE14" i="3"/>
  <c r="BE5" i="3"/>
  <c r="BF17" i="3"/>
  <c r="BF5" i="3"/>
  <c r="E5" i="6"/>
  <c r="BA14" i="3"/>
  <c r="AZ14" i="3"/>
  <c r="BA17" i="3"/>
  <c r="AZ17" i="3"/>
  <c r="AZ5" i="3"/>
  <c r="E3" i="6"/>
  <c r="E6" i="6"/>
  <c r="K6" i="1"/>
  <c r="M6" i="1"/>
  <c r="O6" i="1"/>
  <c r="P6" i="1"/>
  <c r="E20" i="6"/>
  <c r="A7"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D3" i="80"/>
  <c r="F11" i="79"/>
  <c r="G11" i="79"/>
  <c r="C11" i="80"/>
  <c r="D69" i="80"/>
  <c r="E69" i="80"/>
  <c r="F11" i="80"/>
  <c r="AA11" i="80"/>
  <c r="R48" i="80"/>
  <c r="H11" i="80"/>
  <c r="AB11" i="80"/>
  <c r="T48" i="80"/>
  <c r="J11" i="80"/>
  <c r="AC11" i="80"/>
  <c r="V48" i="80"/>
  <c r="R49" i="80"/>
  <c r="C49" i="80"/>
  <c r="B2" i="80"/>
  <c r="C8" i="12"/>
  <c r="D3" i="21"/>
  <c r="C11" i="21"/>
  <c r="F11" i="21"/>
  <c r="AA11" i="21"/>
  <c r="R48" i="21"/>
  <c r="H11" i="21"/>
  <c r="AB11" i="21"/>
  <c r="T48" i="21"/>
  <c r="J11" i="21"/>
  <c r="AC11" i="21"/>
  <c r="V48" i="21"/>
  <c r="R49" i="21"/>
  <c r="C49" i="21"/>
  <c r="B2" i="21"/>
  <c r="C4" i="12"/>
  <c r="C11" i="39"/>
  <c r="D4" i="79"/>
  <c r="D10" i="79"/>
  <c r="C4" i="79"/>
  <c r="R47" i="21"/>
  <c r="D3" i="4"/>
  <c r="B2" i="1"/>
  <c r="C7" i="21"/>
  <c r="C58" i="21"/>
  <c r="D58" i="21"/>
  <c r="E58" i="21"/>
  <c r="F58" i="21"/>
  <c r="G58" i="21"/>
  <c r="H58" i="21"/>
  <c r="I58" i="21"/>
  <c r="J58" i="21"/>
  <c r="K58" i="21"/>
  <c r="L58" i="21"/>
  <c r="M58" i="21"/>
  <c r="N58" i="21"/>
  <c r="O58" i="21"/>
  <c r="D59" i="21"/>
  <c r="E59" i="21"/>
  <c r="F59" i="21"/>
  <c r="G59" i="21"/>
  <c r="H59" i="21"/>
  <c r="F7" i="21"/>
  <c r="AA7" i="21"/>
  <c r="F8" i="21"/>
  <c r="AA8" i="21"/>
  <c r="C63" i="21"/>
  <c r="F9" i="21"/>
  <c r="AA9" i="21"/>
  <c r="F10" i="21"/>
  <c r="AA10" i="21"/>
  <c r="D69" i="21"/>
  <c r="E69" i="21"/>
  <c r="F19" i="6"/>
  <c r="E19" i="6"/>
  <c r="E21" i="6"/>
  <c r="E22" i="6"/>
  <c r="E23" i="6"/>
  <c r="E24" i="6"/>
  <c r="E25" i="6"/>
  <c r="E26" i="6"/>
  <c r="BB13" i="3"/>
  <c r="BC13" i="3"/>
  <c r="BD13" i="3"/>
  <c r="BE13" i="3"/>
  <c r="BF13" i="3"/>
  <c r="BG13" i="3"/>
  <c r="BH13" i="3"/>
  <c r="BI13" i="3"/>
  <c r="BJ13" i="3"/>
  <c r="BK13" i="3"/>
  <c r="BA13" i="3"/>
  <c r="BB14" i="3"/>
  <c r="BC14" i="3"/>
  <c r="BD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8" i="6"/>
  <c r="F27"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1" i="6"/>
  <c r="A3" i="3"/>
  <c r="BL13" i="3"/>
  <c r="AZ13" i="3"/>
  <c r="BL14" i="3"/>
  <c r="BL15" i="3"/>
  <c r="AZ15" i="3"/>
  <c r="BL16" i="3"/>
  <c r="AZ16" i="3"/>
  <c r="BL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H13" i="3"/>
  <c r="AC13" i="3"/>
  <c r="G13" i="3"/>
  <c r="H14" i="3"/>
  <c r="AC14" i="3"/>
  <c r="G14" i="3"/>
  <c r="H15" i="3"/>
  <c r="AC15" i="3"/>
  <c r="G15" i="3"/>
  <c r="H16" i="3"/>
  <c r="AC16" i="3"/>
  <c r="G16" i="3"/>
  <c r="H11" i="79"/>
  <c r="D11" i="79"/>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D20" i="6"/>
  <c r="D21" i="6"/>
  <c r="D22" i="6"/>
  <c r="D23" i="6"/>
  <c r="D24" i="6"/>
  <c r="D25" i="6"/>
  <c r="D26" i="6"/>
  <c r="D27" i="6"/>
  <c r="D28" i="6"/>
  <c r="D29" i="6"/>
  <c r="D30" i="6"/>
  <c r="D31" i="6"/>
  <c r="I5" i="6"/>
  <c r="F69" i="21"/>
  <c r="G69" i="21"/>
  <c r="B70" i="21"/>
  <c r="F12" i="21"/>
  <c r="AA12" i="21"/>
  <c r="B72" i="21"/>
  <c r="F13" i="21"/>
  <c r="AA13" i="21"/>
  <c r="B74" i="21"/>
  <c r="F14" i="21"/>
  <c r="AA14" i="21"/>
  <c r="D77" i="21"/>
  <c r="F15" i="21"/>
  <c r="AA15" i="21"/>
  <c r="D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101" i="21"/>
  <c r="F32" i="21"/>
  <c r="AA32" i="21"/>
  <c r="D103" i="21"/>
  <c r="E103" i="21"/>
  <c r="F103" i="21"/>
  <c r="D104" i="21"/>
  <c r="F33" i="21"/>
  <c r="AA33" i="21"/>
  <c r="F34" i="21"/>
  <c r="AA34" i="21"/>
  <c r="F35" i="21"/>
  <c r="AA35" i="21"/>
  <c r="F36" i="21"/>
  <c r="AA36" i="21"/>
  <c r="D113" i="21"/>
  <c r="E113" i="21"/>
  <c r="F113" i="21"/>
  <c r="G113" i="21"/>
  <c r="F37" i="21"/>
  <c r="AA37" i="21"/>
  <c r="F38" i="21"/>
  <c r="AA38" i="21"/>
  <c r="D117" i="21"/>
  <c r="F39" i="21"/>
  <c r="AA39" i="21"/>
  <c r="F40" i="21"/>
  <c r="AA40" i="21"/>
  <c r="F41" i="21"/>
  <c r="AA41" i="21"/>
  <c r="F42" i="21"/>
  <c r="AA42"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H69"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G103" i="21"/>
  <c r="E104" i="21"/>
  <c r="F104"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B3" i="21"/>
  <c r="R47" i="80"/>
  <c r="C7" i="80"/>
  <c r="C58" i="80"/>
  <c r="D58" i="80"/>
  <c r="E58" i="80"/>
  <c r="F58" i="80"/>
  <c r="G58" i="80"/>
  <c r="H58" i="80"/>
  <c r="I58" i="80"/>
  <c r="J58" i="80"/>
  <c r="K58" i="80"/>
  <c r="L58" i="80"/>
  <c r="M58" i="80"/>
  <c r="N58" i="80"/>
  <c r="O58" i="80"/>
  <c r="D59" i="80"/>
  <c r="E59" i="80"/>
  <c r="F59" i="80"/>
  <c r="G59" i="80"/>
  <c r="H59" i="80"/>
  <c r="F7" i="80"/>
  <c r="AA7" i="80"/>
  <c r="F8" i="80"/>
  <c r="AA8" i="80"/>
  <c r="C63" i="80"/>
  <c r="F9" i="80"/>
  <c r="AA9" i="80"/>
  <c r="F10" i="80"/>
  <c r="AA10" i="80"/>
  <c r="B70" i="80"/>
  <c r="F12" i="80"/>
  <c r="AA12" i="80"/>
  <c r="B72" i="80"/>
  <c r="F13" i="80"/>
  <c r="AA13" i="80"/>
  <c r="B74" i="80"/>
  <c r="F14" i="80"/>
  <c r="AA14" i="80"/>
  <c r="D77" i="80"/>
  <c r="F15" i="80"/>
  <c r="AA15" i="80"/>
  <c r="D79" i="80"/>
  <c r="F17" i="80"/>
  <c r="AA17" i="80"/>
  <c r="D81" i="80"/>
  <c r="E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D101" i="80"/>
  <c r="E101" i="80"/>
  <c r="F101" i="80"/>
  <c r="F32" i="80"/>
  <c r="AA32" i="80"/>
  <c r="D103" i="80"/>
  <c r="E103" i="80"/>
  <c r="F103" i="80"/>
  <c r="D104" i="80"/>
  <c r="F33" i="80"/>
  <c r="AA33" i="80"/>
  <c r="F34" i="80"/>
  <c r="AA34" i="80"/>
  <c r="F35" i="80"/>
  <c r="AA35" i="80"/>
  <c r="F36" i="80"/>
  <c r="AA36" i="80"/>
  <c r="D113" i="80"/>
  <c r="E113" i="80"/>
  <c r="F113" i="80"/>
  <c r="G113" i="80"/>
  <c r="F37" i="80"/>
  <c r="AA37" i="80"/>
  <c r="F38" i="80"/>
  <c r="AA38" i="80"/>
  <c r="D117" i="80"/>
  <c r="F39" i="80"/>
  <c r="AA39" i="80"/>
  <c r="F40" i="80"/>
  <c r="AA40" i="80"/>
  <c r="F41" i="80"/>
  <c r="AA41" i="80"/>
  <c r="F42" i="80"/>
  <c r="AA42" i="80"/>
  <c r="D125" i="80"/>
  <c r="F43" i="80"/>
  <c r="AA43" i="80"/>
  <c r="B126" i="80"/>
  <c r="F44" i="80"/>
  <c r="AA44" i="80"/>
  <c r="B128" i="80"/>
  <c r="F45" i="80"/>
  <c r="AA45" i="80"/>
  <c r="B130" i="80"/>
  <c r="F46" i="80"/>
  <c r="AA46" i="80"/>
  <c r="T47" i="80"/>
  <c r="H7" i="80"/>
  <c r="AB7" i="80"/>
  <c r="H8" i="80"/>
  <c r="AB8" i="80"/>
  <c r="H9" i="80"/>
  <c r="AB9" i="80"/>
  <c r="H10" i="80"/>
  <c r="AB10"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V47" i="80"/>
  <c r="J7" i="80"/>
  <c r="AC7" i="80"/>
  <c r="J8" i="80"/>
  <c r="AC8" i="80"/>
  <c r="J9" i="80"/>
  <c r="AC9" i="80"/>
  <c r="J10" i="80"/>
  <c r="AC10"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G103" i="80"/>
  <c r="E104" i="80"/>
  <c r="F104"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B3" i="80"/>
  <c r="C6" i="12"/>
  <c r="BD5" i="3"/>
  <c r="BB10" i="3"/>
  <c r="BB5" i="3"/>
  <c r="BC10" i="3"/>
  <c r="BC5" i="3"/>
  <c r="BD10" i="3"/>
  <c r="BE10" i="3"/>
  <c r="BF10" i="3"/>
  <c r="BG10" i="3"/>
  <c r="BH10" i="3"/>
  <c r="BI10" i="3"/>
  <c r="BJ10" i="3"/>
  <c r="BK10" i="3"/>
  <c r="BG5" i="3"/>
  <c r="BH5" i="3"/>
  <c r="BI5" i="3"/>
  <c r="BJ5" i="3"/>
  <c r="BK5" i="3"/>
  <c r="J140" i="80"/>
  <c r="C145" i="80"/>
  <c r="K139" i="80"/>
  <c r="K145" i="80"/>
  <c r="K144" i="80"/>
  <c r="K143" i="80"/>
  <c r="J142" i="80"/>
  <c r="K141"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G104" i="80"/>
  <c r="M102" i="80"/>
  <c r="L102" i="80"/>
  <c r="K102" i="80"/>
  <c r="J102" i="80"/>
  <c r="I102" i="80"/>
  <c r="H102" i="80"/>
  <c r="G102" i="80"/>
  <c r="F102" i="80"/>
  <c r="E102" i="80"/>
  <c r="D102" i="80"/>
  <c r="C102"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E79" i="80"/>
  <c r="F79" i="80"/>
  <c r="G79" i="80"/>
  <c r="E77" i="80"/>
  <c r="F77" i="80"/>
  <c r="G77"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G104" i="21"/>
  <c r="I46" i="39"/>
  <c r="G46" i="39"/>
  <c r="E46" i="39"/>
  <c r="C38" i="39"/>
  <c r="F30" i="6"/>
  <c r="F31" i="6"/>
  <c r="I6" i="6"/>
  <c r="D15" i="4"/>
  <c r="C10" i="39"/>
  <c r="I5" i="39"/>
  <c r="G5" i="39"/>
  <c r="E5" i="39"/>
  <c r="O5" i="3"/>
  <c r="K31" i="79"/>
  <c r="K33" i="79"/>
  <c r="K30" i="79"/>
  <c r="F57" i="79"/>
  <c r="G57" i="79"/>
  <c r="D23" i="79"/>
  <c r="D14" i="79"/>
  <c r="D15" i="79"/>
  <c r="D16" i="79"/>
  <c r="D18" i="79"/>
  <c r="D17" i="79"/>
  <c r="D19" i="79"/>
  <c r="D20" i="79"/>
  <c r="D21" i="79"/>
  <c r="G22" i="79"/>
  <c r="F22" i="79"/>
  <c r="D22" i="79"/>
  <c r="H57" i="79"/>
  <c r="D38" i="79"/>
  <c r="C14" i="79"/>
  <c r="F39" i="79"/>
  <c r="G39" i="79"/>
  <c r="H39" i="79"/>
  <c r="D39" i="79"/>
  <c r="D57" i="79"/>
  <c r="B6" i="4"/>
  <c r="R40" i="77"/>
  <c r="R37" i="77"/>
  <c r="R36" i="77"/>
  <c r="R33" i="77"/>
  <c r="R32" i="77"/>
  <c r="R31" i="77"/>
  <c r="R30" i="77"/>
  <c r="R29" i="77"/>
  <c r="R28" i="77"/>
  <c r="R27" i="77"/>
  <c r="R26" i="77"/>
  <c r="R25" i="77"/>
  <c r="R23" i="77"/>
  <c r="R22" i="77"/>
  <c r="R8" i="77"/>
  <c r="R7" i="77"/>
  <c r="R6" i="77"/>
  <c r="R5" i="77"/>
  <c r="R4" i="77"/>
  <c r="F24" i="77"/>
  <c r="F30" i="77"/>
  <c r="F33" i="77"/>
  <c r="J36" i="77"/>
  <c r="F36" i="77"/>
  <c r="F37" i="77"/>
  <c r="F40" i="77"/>
  <c r="E44" i="77"/>
  <c r="F41" i="77"/>
  <c r="E43" i="77"/>
  <c r="G41" i="77"/>
  <c r="J41" i="77"/>
  <c r="K41" i="77"/>
  <c r="H41" i="77"/>
  <c r="I41" i="77"/>
  <c r="D41" i="77"/>
  <c r="D71" i="39"/>
  <c r="E71" i="39"/>
  <c r="F71" i="39"/>
  <c r="G71" i="39"/>
  <c r="H71" i="39"/>
  <c r="I71" i="39"/>
  <c r="J71" i="39"/>
  <c r="K71" i="39"/>
  <c r="L71" i="39"/>
  <c r="M71" i="39"/>
  <c r="N71" i="39"/>
  <c r="D117" i="39"/>
  <c r="E117" i="39"/>
  <c r="F117" i="39"/>
  <c r="G117" i="39"/>
  <c r="H117" i="39"/>
  <c r="I117" i="39"/>
  <c r="I38" i="39"/>
  <c r="G38" i="39"/>
  <c r="E38" i="39"/>
  <c r="I7" i="39"/>
  <c r="G7" i="39"/>
  <c r="E7" i="39"/>
  <c r="D9" i="77"/>
  <c r="D10" i="77"/>
  <c r="D14" i="77"/>
  <c r="D15" i="77"/>
  <c r="D16" i="77"/>
  <c r="D17" i="77"/>
  <c r="D18" i="77"/>
  <c r="D19" i="77"/>
  <c r="D20" i="77"/>
  <c r="D21" i="77"/>
  <c r="D22" i="77"/>
  <c r="D23" i="77"/>
  <c r="D25" i="77"/>
  <c r="D26" i="77"/>
  <c r="D27" i="77"/>
  <c r="D28" i="77"/>
  <c r="D29" i="77"/>
  <c r="D31" i="77"/>
  <c r="D32" i="77"/>
  <c r="D34" i="77"/>
  <c r="D38" i="77"/>
  <c r="D39" i="77"/>
  <c r="G11" i="77"/>
  <c r="I11" i="77"/>
  <c r="K11" i="77"/>
  <c r="D40" i="77"/>
  <c r="D37" i="77"/>
  <c r="D36" i="77"/>
  <c r="D33" i="77"/>
  <c r="D30" i="77"/>
  <c r="D24" i="77"/>
  <c r="F5" i="77"/>
  <c r="D5" i="77"/>
  <c r="F4" i="77"/>
  <c r="D4" i="77"/>
  <c r="J8" i="77"/>
  <c r="F8" i="77"/>
  <c r="D8" i="77"/>
  <c r="J7" i="77"/>
  <c r="F7" i="77"/>
  <c r="D7" i="77"/>
  <c r="J6" i="77"/>
  <c r="J11" i="77"/>
  <c r="H6" i="77"/>
  <c r="H11" i="77"/>
  <c r="F6" i="77"/>
  <c r="F11" i="77"/>
  <c r="D11" i="77"/>
  <c r="D6" i="77"/>
  <c r="AH5" i="71"/>
  <c r="AG5" i="71"/>
  <c r="AE5" i="71"/>
  <c r="AF5" i="71"/>
  <c r="AD5" i="71"/>
  <c r="Q5" i="71"/>
  <c r="Q6" i="71"/>
  <c r="P5" i="71"/>
  <c r="P6" i="71"/>
  <c r="O5" i="71"/>
  <c r="O6" i="71"/>
  <c r="N5" i="71"/>
  <c r="N6" i="71"/>
  <c r="AH6" i="71"/>
  <c r="AG6" i="71"/>
  <c r="AE6" i="71"/>
  <c r="AF6" i="71"/>
  <c r="AD6" i="71"/>
  <c r="Q7" i="71"/>
  <c r="Q8" i="71"/>
  <c r="P7" i="71"/>
  <c r="P8" i="71"/>
  <c r="O7" i="71"/>
  <c r="O8" i="71"/>
  <c r="O9" i="71"/>
  <c r="O10" i="71"/>
  <c r="O11" i="71"/>
  <c r="O12" i="71"/>
  <c r="O13" i="71"/>
  <c r="O14" i="71"/>
  <c r="O15" i="71"/>
  <c r="O16" i="71"/>
  <c r="O17" i="71"/>
  <c r="O18" i="71"/>
  <c r="O19" i="71"/>
  <c r="O20" i="71"/>
  <c r="O21" i="71"/>
  <c r="O22" i="71"/>
  <c r="O23" i="71"/>
  <c r="O24" i="71"/>
  <c r="O25" i="71"/>
  <c r="O26" i="71"/>
  <c r="O27" i="71"/>
  <c r="O28" i="71"/>
  <c r="Y7"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N9" i="71"/>
  <c r="L3" i="71"/>
  <c r="AH3" i="71"/>
  <c r="K3" i="71"/>
  <c r="AG3" i="71"/>
  <c r="J3" i="71"/>
  <c r="AE3" i="71"/>
  <c r="I3" i="71"/>
  <c r="AH10" i="71"/>
  <c r="AG10" i="71"/>
  <c r="AE10" i="71"/>
  <c r="AF10" i="71"/>
  <c r="AD10" i="71"/>
  <c r="Q10" i="71"/>
  <c r="Q11" i="71"/>
  <c r="P10" i="71"/>
  <c r="P11" i="71"/>
  <c r="N10" i="71"/>
  <c r="N11" i="71"/>
  <c r="N12" i="71"/>
  <c r="AH11" i="71"/>
  <c r="AG11" i="71"/>
  <c r="AE11" i="71"/>
  <c r="AF11" i="71"/>
  <c r="AD11" i="71"/>
  <c r="Q12" i="71"/>
  <c r="P12" i="71"/>
  <c r="M19" i="43"/>
  <c r="D14" i="71"/>
  <c r="AH12" i="71"/>
  <c r="AG12" i="71"/>
  <c r="AE12" i="71"/>
  <c r="AF12" i="71"/>
  <c r="AD12" i="71"/>
  <c r="AD13" i="71"/>
  <c r="AG13" i="71"/>
  <c r="AH13" i="71"/>
  <c r="AE13" i="71"/>
  <c r="AF13" i="71"/>
  <c r="N13" i="71"/>
  <c r="Q13" i="71"/>
  <c r="P13" i="71"/>
  <c r="C13" i="71"/>
  <c r="C12" i="71"/>
  <c r="Q14" i="71"/>
  <c r="F13" i="71"/>
  <c r="P14" i="71"/>
  <c r="N14" i="71"/>
  <c r="A2" i="53"/>
  <c r="B19" i="72"/>
  <c r="K59" i="67"/>
  <c r="P61" i="67"/>
  <c r="K59" i="15"/>
  <c r="P61"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5" i="71"/>
  <c r="P15" i="71"/>
  <c r="N15" i="71"/>
  <c r="A15" i="51"/>
  <c r="B12" i="72"/>
  <c r="C76" i="9"/>
  <c r="I107" i="40"/>
  <c r="K6" i="4"/>
  <c r="N56" i="9"/>
  <c r="B22" i="31"/>
  <c r="K56" i="9"/>
  <c r="E15" i="74"/>
  <c r="F15" i="74"/>
  <c r="E16" i="74"/>
  <c r="F16" i="74"/>
  <c r="E17" i="74"/>
  <c r="F17" i="74"/>
  <c r="E18" i="74"/>
  <c r="F18" i="74"/>
  <c r="E19" i="74"/>
  <c r="F19" i="74"/>
  <c r="E20" i="74"/>
  <c r="F20" i="74"/>
  <c r="E21" i="74"/>
  <c r="F21" i="74"/>
  <c r="E22" i="74"/>
  <c r="F22" i="74"/>
  <c r="E23" i="74"/>
  <c r="F23" i="74"/>
  <c r="B3" i="74"/>
  <c r="C91" i="9"/>
  <c r="B8" i="72"/>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AB10" i="43"/>
  <c r="AD10" i="43"/>
  <c r="AJ10" i="43"/>
  <c r="K49" i="9"/>
  <c r="E107" i="9"/>
  <c r="A122" i="9"/>
  <c r="A8" i="52"/>
  <c r="B54" i="72"/>
  <c r="E111" i="9"/>
  <c r="A126" i="9"/>
  <c r="E109" i="9"/>
  <c r="A124" i="9"/>
  <c r="B44" i="72"/>
  <c r="B42" i="72"/>
  <c r="B69" i="72"/>
  <c r="B68" i="72"/>
  <c r="B63" i="72"/>
  <c r="B62" i="72"/>
  <c r="B16" i="72"/>
  <c r="B60" i="72"/>
  <c r="B66" i="72"/>
  <c r="B10" i="72"/>
  <c r="C53" i="10"/>
  <c r="B51" i="10"/>
  <c r="A18" i="51"/>
  <c r="B13" i="72"/>
  <c r="C8" i="68"/>
  <c r="B49" i="48"/>
  <c r="B5" i="72"/>
  <c r="I19" i="43"/>
  <c r="D78" i="71"/>
  <c r="F77" i="71"/>
  <c r="F76" i="71"/>
  <c r="E77" i="71"/>
  <c r="E76" i="71"/>
  <c r="E75" i="71"/>
  <c r="C77" i="71"/>
  <c r="D77" i="71"/>
  <c r="B77" i="71"/>
  <c r="B76" i="71"/>
  <c r="B75" i="71"/>
  <c r="F75" i="71"/>
  <c r="D74" i="71"/>
  <c r="F73" i="71"/>
  <c r="F72" i="71"/>
  <c r="E73" i="71"/>
  <c r="E72" i="71"/>
  <c r="E71" i="71"/>
  <c r="C73" i="71"/>
  <c r="D73" i="71"/>
  <c r="B73" i="71"/>
  <c r="B72" i="71"/>
  <c r="B71" i="71"/>
  <c r="F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D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N42" i="71"/>
  <c r="B43" i="71"/>
  <c r="B44" i="71"/>
  <c r="B45" i="71"/>
  <c r="S45" i="71"/>
  <c r="Q42" i="71"/>
  <c r="F43" i="71"/>
  <c r="F44" i="71"/>
  <c r="F45" i="71"/>
  <c r="V45" i="71"/>
  <c r="P42" i="71"/>
  <c r="E43" i="71"/>
  <c r="O42" i="71"/>
  <c r="C43" i="71"/>
  <c r="D43"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C36" i="71"/>
  <c r="D36"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Y28" i="71"/>
  <c r="Z28" i="71"/>
  <c r="N28" i="71"/>
  <c r="X28" i="71"/>
  <c r="Q27" i="71"/>
  <c r="AB27" i="71"/>
  <c r="P27" i="71"/>
  <c r="AA27" i="71"/>
  <c r="Y27" i="71"/>
  <c r="Z27" i="71"/>
  <c r="N27" i="71"/>
  <c r="N24" i="71"/>
  <c r="N25" i="71"/>
  <c r="N26" i="71"/>
  <c r="X24" i="71"/>
  <c r="Q26" i="71"/>
  <c r="F27" i="71"/>
  <c r="F28" i="71"/>
  <c r="F29" i="71"/>
  <c r="V29" i="71"/>
  <c r="P26" i="71"/>
  <c r="D26" i="71"/>
  <c r="Q25" i="71"/>
  <c r="AB25" i="71"/>
  <c r="P25" i="71"/>
  <c r="Y25" i="71"/>
  <c r="Z25" i="71"/>
  <c r="Q24" i="71"/>
  <c r="AB24" i="71"/>
  <c r="P24" i="71"/>
  <c r="Q23" i="71"/>
  <c r="P23" i="71"/>
  <c r="Y23" i="71"/>
  <c r="Z23" i="71"/>
  <c r="N23" i="71"/>
  <c r="Q22" i="71"/>
  <c r="F23" i="71"/>
  <c r="F24" i="71"/>
  <c r="F25" i="71"/>
  <c r="V25" i="71"/>
  <c r="P22" i="71"/>
  <c r="N22" i="71"/>
  <c r="D22" i="71"/>
  <c r="Q21" i="71"/>
  <c r="P21" i="71"/>
  <c r="Y21" i="71"/>
  <c r="Z21" i="71"/>
  <c r="N21" i="71"/>
  <c r="Q20" i="71"/>
  <c r="P20" i="71"/>
  <c r="Y20" i="71"/>
  <c r="Z20" i="71"/>
  <c r="N20" i="71"/>
  <c r="Q19" i="71"/>
  <c r="P19" i="71"/>
  <c r="AA19" i="71"/>
  <c r="N19" i="71"/>
  <c r="Q18" i="71"/>
  <c r="F19" i="71"/>
  <c r="F20" i="71"/>
  <c r="F21" i="71"/>
  <c r="V21" i="71"/>
  <c r="P18" i="71"/>
  <c r="E19" i="71"/>
  <c r="N18" i="71"/>
  <c r="D18" i="71"/>
  <c r="N17" i="71"/>
  <c r="B19" i="71"/>
  <c r="B20" i="71"/>
  <c r="B21" i="71"/>
  <c r="S21" i="71"/>
  <c r="X18" i="71"/>
  <c r="B23" i="71"/>
  <c r="B24" i="71"/>
  <c r="B25" i="71"/>
  <c r="S25" i="71"/>
  <c r="E27" i="71"/>
  <c r="E28" i="71"/>
  <c r="E29" i="71"/>
  <c r="U29" i="71"/>
  <c r="AA26" i="71"/>
  <c r="C19" i="71"/>
  <c r="C23" i="71"/>
  <c r="C24" i="71"/>
  <c r="C27" i="71"/>
  <c r="D27" i="71"/>
  <c r="Y26" i="71"/>
  <c r="Z26" i="71"/>
  <c r="AB26" i="71"/>
  <c r="X27" i="71"/>
  <c r="C17" i="71"/>
  <c r="Y14" i="71"/>
  <c r="Z14" i="71"/>
  <c r="Y16" i="71"/>
  <c r="Z16" i="71"/>
  <c r="B17" i="71"/>
  <c r="B16" i="71"/>
  <c r="B15" i="71"/>
  <c r="X17" i="71"/>
  <c r="C20" i="71"/>
  <c r="D19" i="71"/>
  <c r="D23" i="71"/>
  <c r="C28" i="71"/>
  <c r="D28" i="71"/>
  <c r="C32" i="71"/>
  <c r="D31" i="71"/>
  <c r="D35" i="71"/>
  <c r="P17" i="71"/>
  <c r="AA3" i="71"/>
  <c r="E44" i="71"/>
  <c r="E45" i="71"/>
  <c r="U45" i="71"/>
  <c r="E48" i="71"/>
  <c r="E49" i="71"/>
  <c r="U49" i="71"/>
  <c r="Q54" i="71"/>
  <c r="U57" i="71"/>
  <c r="E56" i="71"/>
  <c r="Q17" i="71"/>
  <c r="AB17" i="71"/>
  <c r="C44" i="71"/>
  <c r="D44" i="71"/>
  <c r="C48" i="71"/>
  <c r="D47" i="71"/>
  <c r="C52" i="71"/>
  <c r="C53" i="71"/>
  <c r="Q56" i="71"/>
  <c r="T57" i="71"/>
  <c r="O57" i="71"/>
  <c r="D57" i="71"/>
  <c r="C56" i="71"/>
  <c r="O56" i="71"/>
  <c r="Q57" i="71"/>
  <c r="C60" i="71"/>
  <c r="E60" i="71"/>
  <c r="E59" i="71"/>
  <c r="D61" i="71"/>
  <c r="C64" i="71"/>
  <c r="C63" i="71"/>
  <c r="D63" i="71"/>
  <c r="E64" i="71"/>
  <c r="E63" i="71"/>
  <c r="D65" i="71"/>
  <c r="C68" i="71"/>
  <c r="C67" i="71"/>
  <c r="D67" i="71"/>
  <c r="E68" i="71"/>
  <c r="E67" i="71"/>
  <c r="D69" i="71"/>
  <c r="C76" i="71"/>
  <c r="D76" i="71"/>
  <c r="T17" i="71"/>
  <c r="C16" i="71"/>
  <c r="S17" i="71"/>
  <c r="F17" i="71"/>
  <c r="F16" i="71"/>
  <c r="F15" i="71"/>
  <c r="AB16" i="71"/>
  <c r="E17" i="71"/>
  <c r="V17" i="71"/>
  <c r="E16" i="71"/>
  <c r="E15" i="71"/>
  <c r="AA16" i="71"/>
  <c r="D17" i="71"/>
  <c r="U17" i="71"/>
  <c r="C55" i="71"/>
  <c r="D55" i="71"/>
  <c r="D52" i="71"/>
  <c r="D64" i="71"/>
  <c r="D68" i="71"/>
  <c r="D60" i="71"/>
  <c r="C59" i="71"/>
  <c r="D59" i="71"/>
  <c r="C49" i="71"/>
  <c r="D48" i="71"/>
  <c r="C45" i="71"/>
  <c r="T45" i="71"/>
  <c r="P56" i="71"/>
  <c r="E55" i="71"/>
  <c r="P54" i="71"/>
  <c r="C41" i="71"/>
  <c r="T41" i="71"/>
  <c r="C33" i="71"/>
  <c r="T33" i="71"/>
  <c r="D32" i="71"/>
  <c r="C29" i="71"/>
  <c r="T29" i="71"/>
  <c r="D24" i="71"/>
  <c r="C21" i="71"/>
  <c r="T21" i="71"/>
  <c r="D20" i="71"/>
  <c r="C15" i="71"/>
  <c r="D15" i="71"/>
  <c r="D16" i="71"/>
  <c r="P55" i="71"/>
  <c r="O55" i="71"/>
  <c r="D21" i="71"/>
  <c r="D29" i="71"/>
  <c r="D33" i="71"/>
  <c r="D41"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AB18" i="36"/>
  <c r="F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G20" i="20"/>
  <c r="B86" i="43"/>
  <c r="C22" i="20"/>
  <c r="B55" i="43"/>
  <c r="B75" i="43"/>
  <c r="B66" i="43"/>
  <c r="C25" i="40"/>
  <c r="C29" i="39"/>
  <c r="S25" i="40"/>
  <c r="S29" i="39"/>
  <c r="U18" i="36"/>
  <c r="S21" i="34"/>
  <c r="H25" i="40"/>
  <c r="J25" i="40"/>
  <c r="F103" i="39"/>
  <c r="G103" i="39"/>
  <c r="H29" i="39"/>
  <c r="U29" i="39"/>
  <c r="J29" i="39"/>
  <c r="J18" i="36"/>
  <c r="W18" i="36"/>
  <c r="F68" i="35"/>
  <c r="H18" i="35"/>
  <c r="S18" i="35"/>
  <c r="G68" i="35"/>
  <c r="J18" i="35"/>
  <c r="H21" i="37"/>
  <c r="F21" i="37"/>
  <c r="S21" i="37"/>
  <c r="F84" i="34"/>
  <c r="H21" i="34"/>
  <c r="H21" i="33"/>
  <c r="AB21" i="33"/>
  <c r="F21" i="33"/>
  <c r="E83" i="21"/>
  <c r="S21" i="21"/>
  <c r="H1" i="69"/>
  <c r="AC25" i="40"/>
  <c r="W25" i="40"/>
  <c r="AB25" i="40"/>
  <c r="U25" i="40"/>
  <c r="AB29" i="39"/>
  <c r="AC29" i="39"/>
  <c r="W29" i="39"/>
  <c r="AC18" i="36"/>
  <c r="AB21" i="34"/>
  <c r="U21" i="34"/>
  <c r="AA21" i="33"/>
  <c r="S21" i="33"/>
  <c r="AB18" i="35"/>
  <c r="U18" i="35"/>
  <c r="AC18" i="35"/>
  <c r="W18" i="35"/>
  <c r="J21" i="37"/>
  <c r="G84" i="34"/>
  <c r="J21" i="34"/>
  <c r="J21" i="33"/>
  <c r="F83" i="21"/>
  <c r="G83" i="21"/>
  <c r="F38" i="69"/>
  <c r="E37" i="69"/>
  <c r="F36" i="69"/>
  <c r="F35" i="69"/>
  <c r="F21" i="69"/>
  <c r="C21" i="69"/>
  <c r="F20" i="69"/>
  <c r="E10" i="69"/>
  <c r="E9" i="69"/>
  <c r="C7" i="69"/>
  <c r="AC21" i="37"/>
  <c r="W21" i="37"/>
  <c r="AC21" i="33"/>
  <c r="W21" i="33"/>
  <c r="W21" i="21"/>
  <c r="C40" i="69"/>
  <c r="F38" i="68"/>
  <c r="E37" i="68"/>
  <c r="F36" i="68"/>
  <c r="F35" i="68"/>
  <c r="F21" i="68"/>
  <c r="C21" i="68"/>
  <c r="F20"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2" i="66"/>
  <c r="I13" i="66"/>
  <c r="I15" i="66"/>
  <c r="I9" i="66"/>
  <c r="I8" i="66"/>
  <c r="I7" i="66"/>
  <c r="I6" i="66"/>
  <c r="I5" i="66"/>
  <c r="I3" i="66"/>
  <c r="I4" i="66"/>
  <c r="I10" i="66"/>
  <c r="I21" i="66"/>
  <c r="D1" i="43"/>
  <c r="F113" i="43"/>
  <c r="N99" i="43"/>
  <c r="N100" i="43"/>
  <c r="N108" i="43"/>
  <c r="D99" i="43"/>
  <c r="D108" i="43"/>
  <c r="E99" i="43"/>
  <c r="F99" i="43"/>
  <c r="F108" i="43"/>
  <c r="G99" i="43"/>
  <c r="G108" i="43"/>
  <c r="H99" i="43"/>
  <c r="H108" i="43"/>
  <c r="I99" i="43"/>
  <c r="I108" i="43"/>
  <c r="J99" i="43"/>
  <c r="J108" i="43"/>
  <c r="K99" i="43"/>
  <c r="K100" i="43"/>
  <c r="K108"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A8" i="1"/>
  <c r="B8" i="1"/>
  <c r="E8" i="1"/>
  <c r="A9" i="1"/>
  <c r="A10" i="1"/>
  <c r="A11" i="1"/>
  <c r="B11" i="1"/>
  <c r="E11" i="1"/>
  <c r="A12" i="1"/>
  <c r="A13" i="1"/>
  <c r="A6"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8" i="1"/>
  <c r="G8"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F23" i="15"/>
  <c r="D24" i="15"/>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F35" i="39"/>
  <c r="B112" i="39"/>
  <c r="H36" i="39"/>
  <c r="J30" i="36"/>
  <c r="H30" i="36"/>
  <c r="F30" i="36"/>
  <c r="C26" i="35"/>
  <c r="C79" i="35"/>
  <c r="J26" i="35"/>
  <c r="AC26" i="35"/>
  <c r="J31" i="35"/>
  <c r="H31" i="35"/>
  <c r="F31" i="35"/>
  <c r="D87" i="35"/>
  <c r="E87" i="35"/>
  <c r="F87" i="35"/>
  <c r="G87" i="35"/>
  <c r="H87" i="35"/>
  <c r="I87" i="35"/>
  <c r="J87" i="35"/>
  <c r="K87" i="35"/>
  <c r="L87" i="35"/>
  <c r="M87" i="35"/>
  <c r="H34" i="37"/>
  <c r="D101" i="37"/>
  <c r="E101" i="37"/>
  <c r="F101" i="37"/>
  <c r="F34" i="37"/>
  <c r="D99" i="37"/>
  <c r="E99" i="37"/>
  <c r="F99" i="37"/>
  <c r="G99" i="37"/>
  <c r="H99" i="37"/>
  <c r="I99" i="37"/>
  <c r="J99" i="37"/>
  <c r="K99" i="37"/>
  <c r="L99" i="37"/>
  <c r="M99" i="37"/>
  <c r="H42" i="34"/>
  <c r="J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H111" i="33"/>
  <c r="I111" i="33"/>
  <c r="J111" i="33"/>
  <c r="K111" i="33"/>
  <c r="L111" i="33"/>
  <c r="M111" i="33"/>
  <c r="S515" i="31"/>
  <c r="S516" i="31"/>
  <c r="S517" i="31"/>
  <c r="S518" i="31"/>
  <c r="S519" i="31"/>
  <c r="S520" i="31"/>
  <c r="S521" i="31"/>
  <c r="S522" i="31"/>
  <c r="S523" i="31"/>
  <c r="S524" i="31"/>
  <c r="S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H38" i="40"/>
  <c r="F38" i="40"/>
  <c r="S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AB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109" i="39"/>
  <c r="G109" i="39"/>
  <c r="H109" i="39"/>
  <c r="I109" i="39"/>
  <c r="J109" i="39"/>
  <c r="K109" i="39"/>
  <c r="L109" i="39"/>
  <c r="M109" i="39"/>
  <c r="F34" i="39"/>
  <c r="AA34" i="39"/>
  <c r="D107" i="39"/>
  <c r="E107" i="39"/>
  <c r="F107" i="39"/>
  <c r="G107" i="39"/>
  <c r="H107" i="39"/>
  <c r="I107" i="39"/>
  <c r="J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H8" i="39"/>
  <c r="U8" i="39"/>
  <c r="F8" i="39"/>
  <c r="AA8" i="39"/>
  <c r="C20" i="36"/>
  <c r="C20" i="35"/>
  <c r="C16" i="36"/>
  <c r="C16" i="35"/>
  <c r="C14" i="36"/>
  <c r="C14" i="35"/>
  <c r="B80" i="37"/>
  <c r="B110" i="37"/>
  <c r="J39" i="37"/>
  <c r="AC39" i="37"/>
  <c r="B108" i="37"/>
  <c r="C23" i="37"/>
  <c r="C19" i="37"/>
  <c r="C17" i="37"/>
  <c r="C15" i="37"/>
  <c r="B112" i="37"/>
  <c r="D107" i="37"/>
  <c r="E107" i="37"/>
  <c r="F107" i="37"/>
  <c r="G107" i="37"/>
  <c r="D105" i="37"/>
  <c r="E105" i="37"/>
  <c r="D103" i="37"/>
  <c r="E103" i="37"/>
  <c r="F103" i="37"/>
  <c r="G103" i="37"/>
  <c r="H103" i="37"/>
  <c r="J35" i="37"/>
  <c r="F97" i="37"/>
  <c r="E97" i="37"/>
  <c r="D97" i="37"/>
  <c r="C97" i="37"/>
  <c r="D96" i="37"/>
  <c r="E96" i="37"/>
  <c r="D94" i="37"/>
  <c r="M90" i="37"/>
  <c r="L90" i="37"/>
  <c r="K90" i="37"/>
  <c r="J90" i="37"/>
  <c r="I90" i="37"/>
  <c r="H90" i="37"/>
  <c r="G90" i="37"/>
  <c r="F90" i="37"/>
  <c r="E90" i="37"/>
  <c r="D90" i="37"/>
  <c r="C90" i="37"/>
  <c r="D89" i="37"/>
  <c r="E89" i="37"/>
  <c r="B86" i="37"/>
  <c r="B84" i="37"/>
  <c r="B82" i="37"/>
  <c r="D79" i="37"/>
  <c r="E79" i="37"/>
  <c r="D75" i="37"/>
  <c r="E75" i="37"/>
  <c r="F75" i="37"/>
  <c r="G75" i="37"/>
  <c r="D73" i="37"/>
  <c r="E73" i="37"/>
  <c r="F73" i="37"/>
  <c r="D71" i="37"/>
  <c r="H15" i="37"/>
  <c r="B68" i="37"/>
  <c r="H14" i="37"/>
  <c r="AB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Q28" i="37"/>
  <c r="Z28" i="37"/>
  <c r="Q27" i="37"/>
  <c r="Z27" i="37"/>
  <c r="Q26" i="37"/>
  <c r="Z26" i="37"/>
  <c r="J26" i="37"/>
  <c r="AC26" i="37"/>
  <c r="H26" i="37"/>
  <c r="AB26" i="37"/>
  <c r="F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F78" i="36"/>
  <c r="G78" i="36"/>
  <c r="H78" i="36"/>
  <c r="I78" i="36"/>
  <c r="J78" i="36"/>
  <c r="K78" i="36"/>
  <c r="L78" i="36"/>
  <c r="M78" i="36"/>
  <c r="B75" i="36"/>
  <c r="B73" i="36"/>
  <c r="H24" i="36"/>
  <c r="J24" i="36"/>
  <c r="W24" i="36"/>
  <c r="AC24" i="36"/>
  <c r="B71" i="36"/>
  <c r="D70" i="36"/>
  <c r="H22" i="36"/>
  <c r="AB22" i="36"/>
  <c r="D68" i="36"/>
  <c r="E68" i="36"/>
  <c r="F68" i="36"/>
  <c r="G68" i="36"/>
  <c r="D64" i="36"/>
  <c r="E64" i="36"/>
  <c r="F64" i="36"/>
  <c r="G64" i="36"/>
  <c r="J16" i="36"/>
  <c r="W16" i="36"/>
  <c r="D62" i="36"/>
  <c r="E62" i="36"/>
  <c r="F62" i="36"/>
  <c r="G62" i="36"/>
  <c r="B59" i="36"/>
  <c r="F13" i="36"/>
  <c r="S13" i="36"/>
  <c r="B57" i="36"/>
  <c r="B55" i="36"/>
  <c r="F11"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AB23" i="35"/>
  <c r="U23" i="35"/>
  <c r="B57" i="35"/>
  <c r="B61" i="35"/>
  <c r="J13" i="35"/>
  <c r="B59" i="35"/>
  <c r="B131" i="34"/>
  <c r="B129" i="34"/>
  <c r="B127" i="34"/>
  <c r="J45" i="34"/>
  <c r="B99" i="34"/>
  <c r="B97" i="34"/>
  <c r="B95" i="34"/>
  <c r="B93" i="34"/>
  <c r="F29" i="34"/>
  <c r="B75" i="34"/>
  <c r="B73" i="34"/>
  <c r="H13" i="34"/>
  <c r="U13" i="34"/>
  <c r="B71" i="34"/>
  <c r="H12" i="34"/>
  <c r="B130" i="33"/>
  <c r="B128" i="33"/>
  <c r="B126" i="33"/>
  <c r="F44" i="33"/>
  <c r="B98" i="33"/>
  <c r="B96" i="33"/>
  <c r="F30" i="33"/>
  <c r="B94" i="33"/>
  <c r="B74" i="33"/>
  <c r="F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F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J8" i="34"/>
  <c r="AC8" i="34"/>
  <c r="H8" i="34"/>
  <c r="U8" i="34"/>
  <c r="F8" i="34"/>
  <c r="D121" i="33"/>
  <c r="E121" i="33"/>
  <c r="F109" i="33"/>
  <c r="E109" i="33"/>
  <c r="D109" i="33"/>
  <c r="C109" i="33"/>
  <c r="D91" i="33"/>
  <c r="E91" i="33"/>
  <c r="B88" i="33"/>
  <c r="H26"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D106" i="33"/>
  <c r="E106" i="33"/>
  <c r="M102" i="33"/>
  <c r="L102" i="33"/>
  <c r="K102" i="33"/>
  <c r="J102" i="33"/>
  <c r="I102" i="33"/>
  <c r="H102" i="33"/>
  <c r="G102" i="33"/>
  <c r="F102" i="33"/>
  <c r="E102" i="33"/>
  <c r="D102" i="33"/>
  <c r="C102" i="33"/>
  <c r="D101" i="33"/>
  <c r="E101" i="33"/>
  <c r="F101" i="33"/>
  <c r="B92" i="33"/>
  <c r="J28" i="33"/>
  <c r="W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W39" i="33"/>
  <c r="AC39" i="33"/>
  <c r="Q38" i="33"/>
  <c r="Z38" i="33"/>
  <c r="J38" i="33"/>
  <c r="AC38" i="33"/>
  <c r="H38" i="33"/>
  <c r="F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AB12" i="33"/>
  <c r="U12" i="33"/>
  <c r="Q11" i="33"/>
  <c r="Z11" i="33"/>
  <c r="Q10" i="33"/>
  <c r="Z10" i="33"/>
  <c r="Q9" i="33"/>
  <c r="Z9" i="33"/>
  <c r="J9" i="33"/>
  <c r="W9" i="33"/>
  <c r="AC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C15" i="40"/>
  <c r="B81" i="43"/>
  <c r="C24" i="20"/>
  <c r="C21" i="20"/>
  <c r="B74" i="43"/>
  <c r="C20" i="20"/>
  <c r="C18" i="20"/>
  <c r="C17" i="20"/>
  <c r="B59" i="43"/>
  <c r="C16" i="20"/>
  <c r="C17" i="39"/>
  <c r="C15" i="20"/>
  <c r="B70" i="43"/>
  <c r="E54" i="21"/>
  <c r="F54" i="21"/>
  <c r="I54" i="21"/>
  <c r="J54" i="21"/>
  <c r="G54" i="21"/>
  <c r="H54" i="21"/>
  <c r="E125" i="21"/>
  <c r="F125" i="21"/>
  <c r="G125" i="21"/>
  <c r="D123" i="21"/>
  <c r="E123" i="21"/>
  <c r="F123" i="21"/>
  <c r="G123" i="21"/>
  <c r="H123" i="21"/>
  <c r="I123" i="21"/>
  <c r="J123" i="21"/>
  <c r="D119" i="21"/>
  <c r="S40"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G101" i="21"/>
  <c r="H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E79" i="21"/>
  <c r="F79" i="21"/>
  <c r="G79" i="21"/>
  <c r="F81" i="21"/>
  <c r="G81" i="21"/>
  <c r="E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S39" i="21"/>
  <c r="W40" i="21"/>
  <c r="U8" i="21"/>
  <c r="U39" i="21"/>
  <c r="W34" i="21"/>
  <c r="U36" i="21"/>
  <c r="W26" i="21"/>
  <c r="S26" i="21"/>
  <c r="J45" i="39"/>
  <c r="W45" i="39"/>
  <c r="F36" i="39"/>
  <c r="S36" i="39"/>
  <c r="AB36" i="39"/>
  <c r="J36" i="39"/>
  <c r="AC36" i="39"/>
  <c r="W40" i="39"/>
  <c r="U30" i="37"/>
  <c r="I103" i="37"/>
  <c r="J103" i="37"/>
  <c r="K103" i="37"/>
  <c r="L103" i="37"/>
  <c r="M103" i="37"/>
  <c r="F39" i="37"/>
  <c r="S39" i="37"/>
  <c r="U14" i="37"/>
  <c r="F29" i="36"/>
  <c r="AA29" i="36"/>
  <c r="W8" i="36"/>
  <c r="F16" i="36"/>
  <c r="AA16" i="36"/>
  <c r="U9" i="36"/>
  <c r="W28" i="36"/>
  <c r="AC31" i="36"/>
  <c r="W31" i="36"/>
  <c r="H22" i="35"/>
  <c r="AB22" i="35"/>
  <c r="AC27" i="35"/>
  <c r="W28" i="35"/>
  <c r="U31" i="35"/>
  <c r="W34" i="35"/>
  <c r="W36" i="35"/>
  <c r="W22" i="35"/>
  <c r="U34" i="35"/>
  <c r="F36" i="34"/>
  <c r="S36" i="34"/>
  <c r="J35" i="34"/>
  <c r="S34" i="34"/>
  <c r="H39" i="33"/>
  <c r="AB39" i="33"/>
  <c r="F26" i="33"/>
  <c r="S26" i="33"/>
  <c r="AA26" i="33"/>
  <c r="S9" i="33"/>
  <c r="U35" i="33"/>
  <c r="S40" i="33"/>
  <c r="W33" i="33"/>
  <c r="H39" i="37"/>
  <c r="AB39" i="37"/>
  <c r="S27" i="35"/>
  <c r="F11" i="40"/>
  <c r="AA11" i="40"/>
  <c r="H11" i="40"/>
  <c r="U11" i="40"/>
  <c r="AB11" i="40"/>
  <c r="W8" i="40"/>
  <c r="AA9" i="40"/>
  <c r="U9" i="40"/>
  <c r="U38" i="40"/>
  <c r="U34" i="40"/>
  <c r="F42" i="39"/>
  <c r="S42" i="39"/>
  <c r="AA42" i="39"/>
  <c r="F41" i="39"/>
  <c r="H40" i="39"/>
  <c r="AB40" i="39"/>
  <c r="H39" i="39"/>
  <c r="U39" i="39"/>
  <c r="S38" i="39"/>
  <c r="S34" i="39"/>
  <c r="H34" i="39"/>
  <c r="U34" i="39"/>
  <c r="H31" i="39"/>
  <c r="AA31" i="39"/>
  <c r="H19" i="39"/>
  <c r="AB19" i="39"/>
  <c r="F19" i="39"/>
  <c r="AA19" i="39"/>
  <c r="H17" i="39"/>
  <c r="F17" i="39"/>
  <c r="J23" i="40"/>
  <c r="AC23" i="40"/>
  <c r="F21" i="40"/>
  <c r="AA21" i="40"/>
  <c r="J21" i="40"/>
  <c r="W21" i="40"/>
  <c r="H42" i="39"/>
  <c r="AB42" i="39"/>
  <c r="J34" i="39"/>
  <c r="AC34" i="39"/>
  <c r="J31" i="39"/>
  <c r="AC31" i="39"/>
  <c r="H27" i="39"/>
  <c r="U27" i="39"/>
  <c r="J19" i="39"/>
  <c r="AC19" i="39"/>
  <c r="J17" i="39"/>
  <c r="AC17" i="39"/>
  <c r="J27" i="39"/>
  <c r="AC27" i="39"/>
  <c r="F27" i="39"/>
  <c r="AA27" i="39"/>
  <c r="S11" i="21"/>
  <c r="U34" i="21"/>
  <c r="S34" i="21"/>
  <c r="C27" i="39"/>
  <c r="H11" i="39"/>
  <c r="U11" i="39"/>
  <c r="C15" i="39"/>
  <c r="H32" i="33"/>
  <c r="U11" i="21"/>
  <c r="W11" i="21"/>
  <c r="H37" i="40"/>
  <c r="U37" i="40"/>
  <c r="H36" i="40"/>
  <c r="F35" i="40"/>
  <c r="AA35" i="40"/>
  <c r="H23" i="40"/>
  <c r="H17" i="40"/>
  <c r="U17" i="40"/>
  <c r="J15" i="40"/>
  <c r="J11" i="40"/>
  <c r="W11" i="40"/>
  <c r="AB8" i="39"/>
  <c r="AC12" i="34"/>
  <c r="AA12" i="34"/>
  <c r="F37" i="39"/>
  <c r="S37" i="39"/>
  <c r="AA37" i="39"/>
  <c r="J30" i="35"/>
  <c r="H30" i="35"/>
  <c r="AB30" i="35"/>
  <c r="F22" i="35"/>
  <c r="AA22" i="35"/>
  <c r="H10" i="35"/>
  <c r="AC16" i="36"/>
  <c r="W30" i="36"/>
  <c r="H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H14" i="35"/>
  <c r="AB14" i="35"/>
  <c r="J29" i="35"/>
  <c r="W29" i="35"/>
  <c r="H33" i="35"/>
  <c r="AB33" i="35"/>
  <c r="AC8" i="35"/>
  <c r="J20" i="35"/>
  <c r="F35" i="37"/>
  <c r="G101" i="37"/>
  <c r="H101" i="37"/>
  <c r="I101" i="37"/>
  <c r="J101" i="37"/>
  <c r="K101" i="37"/>
  <c r="L101" i="37"/>
  <c r="M101" i="37"/>
  <c r="J34" i="37"/>
  <c r="W34" i="37"/>
  <c r="S10" i="37"/>
  <c r="AA39" i="37"/>
  <c r="AB34" i="37"/>
  <c r="J33" i="37"/>
  <c r="AC33" i="37"/>
  <c r="U42" i="34"/>
  <c r="H40" i="34"/>
  <c r="U40" i="34"/>
  <c r="E114" i="34"/>
  <c r="H36" i="34"/>
  <c r="F37" i="34"/>
  <c r="AA37" i="34"/>
  <c r="S35" i="34"/>
  <c r="F28" i="34"/>
  <c r="AA28" i="34"/>
  <c r="F27" i="34"/>
  <c r="S27" i="34"/>
  <c r="AA27" i="34"/>
  <c r="F25" i="34"/>
  <c r="S25" i="34"/>
  <c r="H23" i="34"/>
  <c r="AB23" i="34"/>
  <c r="U23" i="34"/>
  <c r="J23" i="34"/>
  <c r="F19" i="34"/>
  <c r="H17" i="34"/>
  <c r="U17" i="34"/>
  <c r="F15" i="34"/>
  <c r="J15" i="34"/>
  <c r="H15" i="34"/>
  <c r="AB15" i="34"/>
  <c r="W8" i="34"/>
  <c r="J28" i="34"/>
  <c r="W28" i="34"/>
  <c r="F41" i="33"/>
  <c r="AA41" i="33"/>
  <c r="F32" i="33"/>
  <c r="AA32" i="33"/>
  <c r="J19" i="33"/>
  <c r="AC19" i="33"/>
  <c r="J15" i="33"/>
  <c r="AC15" i="33"/>
  <c r="F11" i="33"/>
  <c r="AA11" i="33"/>
  <c r="U40" i="33"/>
  <c r="W40" i="33"/>
  <c r="U8" i="33"/>
  <c r="S8" i="33"/>
  <c r="F37" i="40"/>
  <c r="S37" i="40"/>
  <c r="F36" i="40"/>
  <c r="AA36" i="40"/>
  <c r="H28" i="40"/>
  <c r="U28" i="40"/>
  <c r="F23" i="40"/>
  <c r="AA23" i="40"/>
  <c r="F17" i="40"/>
  <c r="AA17" i="40"/>
  <c r="J17" i="40"/>
  <c r="F15" i="40"/>
  <c r="S15" i="40"/>
  <c r="H15" i="40"/>
  <c r="AB15" i="40"/>
  <c r="AC11" i="40"/>
  <c r="U30" i="35"/>
  <c r="U33" i="35"/>
  <c r="F29" i="35"/>
  <c r="S29" i="35"/>
  <c r="H29" i="35"/>
  <c r="AB29" i="35"/>
  <c r="H33" i="37"/>
  <c r="AB33" i="37"/>
  <c r="F33" i="37"/>
  <c r="AA33" i="37"/>
  <c r="U34" i="37"/>
  <c r="W33" i="37"/>
  <c r="S34" i="37"/>
  <c r="AA34" i="37"/>
  <c r="J43" i="34"/>
  <c r="AB42" i="34"/>
  <c r="J40" i="34"/>
  <c r="W40" i="34"/>
  <c r="F114" i="34"/>
  <c r="G114" i="34"/>
  <c r="H114" i="34"/>
  <c r="I114" i="34"/>
  <c r="J114" i="34"/>
  <c r="K114" i="34"/>
  <c r="L114" i="34"/>
  <c r="M114" i="34"/>
  <c r="H38" i="34"/>
  <c r="AB38" i="34"/>
  <c r="J36" i="34"/>
  <c r="AC36" i="34"/>
  <c r="W36" i="34"/>
  <c r="H37" i="34"/>
  <c r="U37" i="34"/>
  <c r="H25" i="34"/>
  <c r="U25" i="34"/>
  <c r="AB25" i="34"/>
  <c r="J25" i="34"/>
  <c r="F23" i="34"/>
  <c r="S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K123" i="21"/>
  <c r="L123" i="21"/>
  <c r="M123" i="21"/>
  <c r="U42" i="21"/>
  <c r="J44" i="34"/>
  <c r="F44" i="34"/>
  <c r="AA44" i="34"/>
  <c r="J10" i="35"/>
  <c r="W10" i="35"/>
  <c r="W14" i="21"/>
  <c r="S14" i="21"/>
  <c r="U14" i="21"/>
  <c r="S30" i="21"/>
  <c r="W46" i="21"/>
  <c r="E119" i="21"/>
  <c r="F119" i="21"/>
  <c r="G119" i="21"/>
  <c r="H119" i="21"/>
  <c r="I119" i="21"/>
  <c r="J119" i="21"/>
  <c r="K119" i="21"/>
  <c r="L119" i="21"/>
  <c r="M119" i="21"/>
  <c r="H28" i="33"/>
  <c r="F28" i="33"/>
  <c r="AA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F29" i="33"/>
  <c r="S29" i="33"/>
  <c r="J31" i="33"/>
  <c r="W31" i="33"/>
  <c r="H31" i="33"/>
  <c r="AB31" i="33"/>
  <c r="F31" i="33"/>
  <c r="H45" i="33"/>
  <c r="U45" i="33"/>
  <c r="J45" i="33"/>
  <c r="W45" i="33"/>
  <c r="F45" i="33"/>
  <c r="J14" i="34"/>
  <c r="W14" i="34"/>
  <c r="F14" i="34"/>
  <c r="H14" i="34"/>
  <c r="H30" i="34"/>
  <c r="F30" i="34"/>
  <c r="S30" i="34"/>
  <c r="J30" i="34"/>
  <c r="AC30" i="34"/>
  <c r="W30" i="34"/>
  <c r="H32" i="34"/>
  <c r="F32" i="34"/>
  <c r="J32" i="34"/>
  <c r="AC32" i="34"/>
  <c r="W32" i="34"/>
  <c r="H46" i="34"/>
  <c r="U46" i="34"/>
  <c r="F46" i="34"/>
  <c r="J46" i="34"/>
  <c r="AC46" i="34"/>
  <c r="H11" i="35"/>
  <c r="J11" i="35"/>
  <c r="AC11" i="35"/>
  <c r="F11" i="35"/>
  <c r="S11" i="35"/>
  <c r="J26" i="36"/>
  <c r="H28" i="36"/>
  <c r="U28" i="36"/>
  <c r="H32" i="36"/>
  <c r="U32" i="36"/>
  <c r="AB32" i="36"/>
  <c r="J32" i="36"/>
  <c r="W32" i="36"/>
  <c r="J11" i="36"/>
  <c r="AC11" i="36"/>
  <c r="H11" i="36"/>
  <c r="U11" i="36"/>
  <c r="H13" i="36"/>
  <c r="J13" i="36"/>
  <c r="W13" i="36"/>
  <c r="F89" i="37"/>
  <c r="G89" i="37"/>
  <c r="H89" i="37"/>
  <c r="I89" i="37"/>
  <c r="J89" i="37"/>
  <c r="K89" i="37"/>
  <c r="L89" i="37"/>
  <c r="M89" i="37"/>
  <c r="J29" i="37"/>
  <c r="W29" i="37"/>
  <c r="F29" i="37"/>
  <c r="F105" i="37"/>
  <c r="G105" i="37"/>
  <c r="H36" i="37"/>
  <c r="AB36" i="37"/>
  <c r="J37" i="37"/>
  <c r="H37" i="37"/>
  <c r="U37" i="37"/>
  <c r="H40" i="37"/>
  <c r="U40" i="37"/>
  <c r="J40" i="37"/>
  <c r="AC40" i="37"/>
  <c r="F40" i="37"/>
  <c r="AA40" i="37"/>
  <c r="H14" i="33"/>
  <c r="U14" i="33"/>
  <c r="H30" i="33"/>
  <c r="AB30" i="33"/>
  <c r="J30" i="33"/>
  <c r="H44" i="33"/>
  <c r="AB44" i="33"/>
  <c r="J46" i="33"/>
  <c r="AC46" i="33"/>
  <c r="F46" i="33"/>
  <c r="AA46" i="33"/>
  <c r="H46" i="33"/>
  <c r="AB46" i="33"/>
  <c r="J29" i="34"/>
  <c r="AC29" i="34"/>
  <c r="S29" i="34"/>
  <c r="H29" i="34"/>
  <c r="AB29" i="34"/>
  <c r="H45" i="34"/>
  <c r="U45" i="34"/>
  <c r="W45" i="34"/>
  <c r="F45" i="34"/>
  <c r="S45" i="34"/>
  <c r="F13" i="35"/>
  <c r="S13" i="35"/>
  <c r="AC13" i="35"/>
  <c r="H13" i="35"/>
  <c r="F25" i="35"/>
  <c r="S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H14" i="39"/>
  <c r="U14" i="39"/>
  <c r="AB14" i="39"/>
  <c r="H12" i="40"/>
  <c r="AB12" i="40"/>
  <c r="H30" i="40"/>
  <c r="AB30" i="40"/>
  <c r="F33" i="40"/>
  <c r="AA33" i="40"/>
  <c r="H33" i="40"/>
  <c r="U33" i="40"/>
  <c r="J35" i="40"/>
  <c r="AC35" i="40"/>
  <c r="J37" i="40"/>
  <c r="AC37" i="40"/>
  <c r="H13" i="40"/>
  <c r="U13" i="40"/>
  <c r="J13" i="40"/>
  <c r="W13" i="40"/>
  <c r="F13" i="40"/>
  <c r="AA13" i="40"/>
  <c r="F14" i="37"/>
  <c r="S14" i="37"/>
  <c r="J14" i="37"/>
  <c r="AC14" i="37"/>
  <c r="AA13" i="35"/>
  <c r="U46" i="33"/>
  <c r="J36" i="37"/>
  <c r="AC36" i="37"/>
  <c r="AB11" i="36"/>
  <c r="J10" i="36"/>
  <c r="AC10" i="36"/>
  <c r="AA14" i="37"/>
  <c r="AC13" i="36"/>
  <c r="W11" i="36"/>
  <c r="W11" i="35"/>
  <c r="AB46" i="34"/>
  <c r="AB45" i="33"/>
  <c r="W29" i="33"/>
  <c r="U13" i="33"/>
  <c r="S44" i="34"/>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W25" i="21"/>
  <c r="E125" i="33"/>
  <c r="F125" i="33"/>
  <c r="G125" i="33"/>
  <c r="H43" i="33"/>
  <c r="AB43" i="33"/>
  <c r="H17" i="37"/>
  <c r="U17" i="37"/>
  <c r="AA36" i="39"/>
  <c r="F39" i="33"/>
  <c r="AA39" i="33"/>
  <c r="E123" i="33"/>
  <c r="F123" i="33"/>
  <c r="G123" i="33"/>
  <c r="H123" i="33"/>
  <c r="I123" i="33"/>
  <c r="J123" i="33"/>
  <c r="K123" i="33"/>
  <c r="L123" i="33"/>
  <c r="M123" i="33"/>
  <c r="F42" i="33"/>
  <c r="AA42" i="33"/>
  <c r="H28" i="34"/>
  <c r="U28" i="34"/>
  <c r="AB28" i="34"/>
  <c r="F14" i="36"/>
  <c r="AA14" i="36"/>
  <c r="F22" i="36"/>
  <c r="AA22" i="36"/>
  <c r="S22" i="36"/>
  <c r="F26" i="36"/>
  <c r="H27" i="34"/>
  <c r="AB27" i="34"/>
  <c r="H35" i="34"/>
  <c r="U35" i="34"/>
  <c r="F41" i="34"/>
  <c r="H41" i="34"/>
  <c r="J41" i="34"/>
  <c r="AC41" i="34"/>
  <c r="F10" i="35"/>
  <c r="F24" i="35"/>
  <c r="AA24" i="35"/>
  <c r="H24" i="35"/>
  <c r="H23" i="37"/>
  <c r="U23" i="37"/>
  <c r="J32" i="37"/>
  <c r="F36" i="37"/>
  <c r="F37" i="37"/>
  <c r="AA37" i="37"/>
  <c r="F32" i="40"/>
  <c r="S32" i="40"/>
  <c r="H32" i="40"/>
  <c r="J36" i="40"/>
  <c r="W36" i="40"/>
  <c r="H19" i="37"/>
  <c r="AB19" i="37"/>
  <c r="H42" i="33"/>
  <c r="AB42" i="33"/>
  <c r="J43" i="33"/>
  <c r="AC43" i="33"/>
  <c r="U43" i="33"/>
  <c r="S28" i="31"/>
  <c r="S27" i="31"/>
  <c r="S26" i="31"/>
  <c r="AC32" i="36"/>
  <c r="U35" i="35"/>
  <c r="AA12" i="35"/>
  <c r="W14" i="37"/>
  <c r="AB28" i="37"/>
  <c r="U33" i="37"/>
  <c r="U39" i="37"/>
  <c r="W26" i="37"/>
  <c r="AC8" i="37"/>
  <c r="U26" i="37"/>
  <c r="AB13" i="34"/>
  <c r="W37" i="34"/>
  <c r="AB37" i="34"/>
  <c r="AC31" i="33"/>
  <c r="AC45" i="33"/>
  <c r="U19" i="21"/>
  <c r="W44" i="21"/>
  <c r="U26" i="21"/>
  <c r="U12" i="21"/>
  <c r="F43" i="33"/>
  <c r="AA43" i="33"/>
  <c r="W15" i="34"/>
  <c r="AC15" i="34"/>
  <c r="W16" i="35"/>
  <c r="H107" i="37"/>
  <c r="I107" i="37"/>
  <c r="J107" i="37"/>
  <c r="K107" i="37"/>
  <c r="L107" i="37"/>
  <c r="M107" i="37"/>
  <c r="U37" i="21"/>
  <c r="H19" i="34"/>
  <c r="AB19" i="34"/>
  <c r="F36" i="35"/>
  <c r="S36" i="35"/>
  <c r="J9" i="37"/>
  <c r="W9" i="37"/>
  <c r="H9" i="37"/>
  <c r="AB9" i="37"/>
  <c r="F9" i="37"/>
  <c r="S9" i="37"/>
  <c r="J12" i="37"/>
  <c r="AC12" i="37"/>
  <c r="H12" i="37"/>
  <c r="AB12" i="37"/>
  <c r="F12" i="37"/>
  <c r="S12" i="37"/>
  <c r="E71" i="37"/>
  <c r="F15" i="37"/>
  <c r="E94" i="37"/>
  <c r="F31" i="37"/>
  <c r="S31" i="37"/>
  <c r="F12" i="39"/>
  <c r="AA12" i="39"/>
  <c r="J42" i="39"/>
  <c r="AC42" i="39"/>
  <c r="H21" i="40"/>
  <c r="AB21" i="40"/>
  <c r="F94" i="37"/>
  <c r="G94" i="37"/>
  <c r="H94" i="37"/>
  <c r="I94" i="37"/>
  <c r="J94" i="37"/>
  <c r="K94" i="37"/>
  <c r="L94" i="37"/>
  <c r="M94" i="37"/>
  <c r="H31" i="37"/>
  <c r="U31" i="37"/>
  <c r="F71" i="37"/>
  <c r="G71" i="37"/>
  <c r="J15" i="37"/>
  <c r="U12" i="37"/>
  <c r="AT6" i="3"/>
  <c r="C12" i="43"/>
  <c r="H19" i="40"/>
  <c r="U19" i="40"/>
  <c r="F88" i="40"/>
  <c r="G88" i="40"/>
  <c r="F19" i="40"/>
  <c r="S19" i="40"/>
  <c r="AC13" i="40"/>
  <c r="AB33" i="40"/>
  <c r="W23" i="39"/>
  <c r="H37" i="39"/>
  <c r="AB37" i="39"/>
  <c r="AC37" i="39"/>
  <c r="H25" i="39"/>
  <c r="AB25" i="39"/>
  <c r="J25" i="39"/>
  <c r="AC25" i="39"/>
  <c r="F25" i="39"/>
  <c r="AA25" i="39"/>
  <c r="F15" i="39"/>
  <c r="AA15" i="39"/>
  <c r="H15" i="39"/>
  <c r="U15" i="39"/>
  <c r="J15" i="39"/>
  <c r="W15" i="39"/>
  <c r="H41" i="39"/>
  <c r="W27" i="39"/>
  <c r="AB34" i="39"/>
  <c r="U40" i="39"/>
  <c r="W9" i="39"/>
  <c r="J19" i="40"/>
  <c r="W19" i="40"/>
  <c r="AC19" i="40"/>
  <c r="J50" i="40"/>
  <c r="H103" i="9"/>
  <c r="D8" i="53"/>
  <c r="B24" i="72"/>
  <c r="B16" i="53"/>
  <c r="B33" i="72"/>
  <c r="C7" i="37"/>
  <c r="C7" i="34"/>
  <c r="C7" i="36"/>
  <c r="W35" i="40"/>
  <c r="A118" i="9"/>
  <c r="A4" i="52"/>
  <c r="B41" i="72"/>
  <c r="J11" i="39"/>
  <c r="W11" i="39"/>
  <c r="F11" i="39"/>
  <c r="AA11" i="39"/>
  <c r="A12" i="52"/>
  <c r="B56" i="72"/>
  <c r="G4" i="4"/>
  <c r="I4" i="4"/>
  <c r="K5" i="4"/>
  <c r="B47" i="48"/>
  <c r="A2" i="9"/>
  <c r="F59" i="43"/>
  <c r="H62" i="43"/>
  <c r="F36" i="43"/>
  <c r="F81" i="43"/>
  <c r="H83" i="43"/>
  <c r="H113" i="43"/>
  <c r="F48" i="43"/>
  <c r="H52" i="43"/>
  <c r="F70" i="43"/>
  <c r="M11" i="43"/>
  <c r="D17" i="43"/>
  <c r="F39" i="43"/>
  <c r="I17" i="43"/>
  <c r="F35" i="43"/>
  <c r="J17" i="43"/>
  <c r="F6" i="1"/>
  <c r="S14" i="35"/>
  <c r="U43" i="21"/>
  <c r="U35" i="21"/>
  <c r="U10" i="21"/>
  <c r="G9" i="1"/>
  <c r="G10" i="1"/>
  <c r="F48" i="9"/>
  <c r="O52" i="9"/>
  <c r="AC11" i="39"/>
  <c r="W44" i="34"/>
  <c r="AC44" i="34"/>
  <c r="U12" i="40"/>
  <c r="J37" i="33"/>
  <c r="W37" i="33"/>
  <c r="AC17" i="34"/>
  <c r="F106" i="33"/>
  <c r="G106" i="33"/>
  <c r="H106" i="33"/>
  <c r="I106" i="33"/>
  <c r="J106" i="33"/>
  <c r="K106" i="33"/>
  <c r="L106" i="33"/>
  <c r="M106" i="33"/>
  <c r="J34" i="33"/>
  <c r="W34" i="33"/>
  <c r="F33" i="34"/>
  <c r="S33" i="34"/>
  <c r="H20" i="36"/>
  <c r="U20" i="36"/>
  <c r="J20" i="36"/>
  <c r="W20" i="36"/>
  <c r="J27" i="36"/>
  <c r="W27" i="36"/>
  <c r="F111" i="40"/>
  <c r="G111" i="40"/>
  <c r="H111" i="40"/>
  <c r="I111" i="40"/>
  <c r="J111" i="40"/>
  <c r="K111" i="40"/>
  <c r="L111" i="40"/>
  <c r="M111" i="40"/>
  <c r="H35" i="40"/>
  <c r="U35" i="40"/>
  <c r="AB35" i="40"/>
  <c r="AC29" i="35"/>
  <c r="H35" i="37"/>
  <c r="U35" i="37"/>
  <c r="AC14" i="35"/>
  <c r="H20" i="35"/>
  <c r="U20" i="35"/>
  <c r="F20" i="35"/>
  <c r="S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AA34" i="33"/>
  <c r="S34" i="33"/>
  <c r="H34" i="33"/>
  <c r="U34" i="33"/>
  <c r="F35" i="33"/>
  <c r="S35" i="33"/>
  <c r="F39" i="34"/>
  <c r="S39" i="34"/>
  <c r="J39" i="34"/>
  <c r="W39" i="34"/>
  <c r="F40" i="34"/>
  <c r="S40" i="34"/>
  <c r="F43" i="34"/>
  <c r="AA43" i="34"/>
  <c r="H44" i="34"/>
  <c r="AB44" i="34"/>
  <c r="F39" i="39"/>
  <c r="J39" i="39"/>
  <c r="AC39" i="39"/>
  <c r="E97" i="39"/>
  <c r="F97" i="39"/>
  <c r="G97" i="39"/>
  <c r="C40" i="11"/>
  <c r="I20" i="43"/>
  <c r="F23" i="39"/>
  <c r="H27" i="36"/>
  <c r="U27" i="36"/>
  <c r="F27" i="36"/>
  <c r="H33" i="34"/>
  <c r="U33" i="34"/>
  <c r="F32" i="37"/>
  <c r="F20" i="36"/>
  <c r="AA20" i="36"/>
  <c r="J33" i="34"/>
  <c r="AC33" i="34"/>
  <c r="H23" i="39"/>
  <c r="U23" i="39"/>
  <c r="D48" i="9"/>
  <c r="M52" i="9"/>
  <c r="H86" i="43"/>
  <c r="AE9" i="1"/>
  <c r="D93" i="9"/>
  <c r="AC27" i="34"/>
  <c r="AC12" i="39"/>
  <c r="W12" i="39"/>
  <c r="AC39" i="40"/>
  <c r="W39" i="40"/>
  <c r="W12" i="33"/>
  <c r="AC12" i="33"/>
  <c r="AA32" i="36"/>
  <c r="AA39" i="34"/>
  <c r="U30" i="33"/>
  <c r="W28" i="37"/>
  <c r="S19" i="39"/>
  <c r="F12" i="33"/>
  <c r="H12" i="39"/>
  <c r="F39" i="40"/>
  <c r="S12" i="1"/>
  <c r="AQ12" i="1"/>
  <c r="R12" i="1"/>
  <c r="B12" i="1"/>
  <c r="E12" i="1"/>
  <c r="S10" i="1"/>
  <c r="AQ10" i="1"/>
  <c r="R10" i="1"/>
  <c r="B10" i="1"/>
  <c r="E10" i="1"/>
  <c r="D1" i="66"/>
  <c r="E10" i="66"/>
  <c r="S13" i="1"/>
  <c r="AR13" i="1"/>
  <c r="R13" i="1"/>
  <c r="S11" i="1"/>
  <c r="R11" i="1"/>
  <c r="S9" i="1"/>
  <c r="AR9" i="1"/>
  <c r="R9" i="1"/>
  <c r="J51" i="67"/>
  <c r="C42" i="1"/>
  <c r="C24" i="12"/>
  <c r="H100" i="43"/>
  <c r="C30" i="66"/>
  <c r="E26" i="66"/>
  <c r="AC34" i="33"/>
  <c r="B41" i="1"/>
  <c r="F53" i="9"/>
  <c r="J100" i="43"/>
  <c r="AB37" i="40"/>
  <c r="S35" i="40"/>
  <c r="AA32" i="40"/>
  <c r="S17" i="40"/>
  <c r="S23" i="40"/>
  <c r="AB27" i="40"/>
  <c r="S30" i="40"/>
  <c r="AA19" i="40"/>
  <c r="S28" i="40"/>
  <c r="AA27" i="40"/>
  <c r="U21" i="40"/>
  <c r="AB19" i="40"/>
  <c r="W42" i="39"/>
  <c r="U37" i="39"/>
  <c r="W39" i="39"/>
  <c r="F32" i="39"/>
  <c r="AB27" i="39"/>
  <c r="S25" i="39"/>
  <c r="J21" i="39"/>
  <c r="AC21" i="39"/>
  <c r="F21" i="39"/>
  <c r="S21" i="39"/>
  <c r="H21" i="39"/>
  <c r="W19" i="39"/>
  <c r="U19" i="39"/>
  <c r="AC15" i="39"/>
  <c r="S15" i="39"/>
  <c r="AB15" i="39"/>
  <c r="S9" i="39"/>
  <c r="S23" i="36"/>
  <c r="AC27" i="36"/>
  <c r="AB27" i="36"/>
  <c r="U26" i="36"/>
  <c r="S29" i="36"/>
  <c r="W14" i="36"/>
  <c r="AB14" i="36"/>
  <c r="U22" i="36"/>
  <c r="S16" i="36"/>
  <c r="AA25" i="36"/>
  <c r="S24" i="36"/>
  <c r="U24" i="36"/>
  <c r="U23" i="36"/>
  <c r="AB20" i="36"/>
  <c r="S14" i="36"/>
  <c r="U10" i="36"/>
  <c r="W10" i="36"/>
  <c r="S23" i="35"/>
  <c r="W24" i="35"/>
  <c r="U29" i="35"/>
  <c r="U28" i="35"/>
  <c r="AB27" i="35"/>
  <c r="U32" i="35"/>
  <c r="AA33" i="35"/>
  <c r="S32" i="35"/>
  <c r="W32" i="35"/>
  <c r="AB16" i="35"/>
  <c r="U22" i="35"/>
  <c r="S22" i="35"/>
  <c r="U14" i="35"/>
  <c r="AC10" i="35"/>
  <c r="AA11" i="35"/>
  <c r="S8" i="35"/>
  <c r="W9" i="35"/>
  <c r="AC12" i="35"/>
  <c r="W13" i="35"/>
  <c r="F9" i="35"/>
  <c r="H9" i="35"/>
  <c r="U9" i="35"/>
  <c r="H26" i="35"/>
  <c r="AB40" i="37"/>
  <c r="AC9" i="37"/>
  <c r="AC29" i="37"/>
  <c r="W30" i="37"/>
  <c r="AA38" i="37"/>
  <c r="W38" i="37"/>
  <c r="S37" i="37"/>
  <c r="J17" i="37"/>
  <c r="AC17" i="37"/>
  <c r="W17" i="37"/>
  <c r="G73" i="37"/>
  <c r="F17" i="37"/>
  <c r="AA17" i="37"/>
  <c r="AB17" i="37"/>
  <c r="F19" i="37"/>
  <c r="F79" i="37"/>
  <c r="G79" i="37"/>
  <c r="F23" i="37"/>
  <c r="U9" i="37"/>
  <c r="AA12" i="37"/>
  <c r="AA9" i="37"/>
  <c r="H10" i="37"/>
  <c r="F63" i="37"/>
  <c r="G63" i="37"/>
  <c r="H63" i="37"/>
  <c r="I63" i="37"/>
  <c r="F11" i="37"/>
  <c r="AA11" i="37"/>
  <c r="AB8" i="34"/>
  <c r="AA33" i="34"/>
  <c r="U44" i="34"/>
  <c r="U43" i="34"/>
  <c r="AC39" i="34"/>
  <c r="W41" i="34"/>
  <c r="U39" i="34"/>
  <c r="S43" i="34"/>
  <c r="AA45" i="34"/>
  <c r="W34" i="34"/>
  <c r="AA25" i="34"/>
  <c r="S17" i="34"/>
  <c r="AA29" i="34"/>
  <c r="U15" i="34"/>
  <c r="S10" i="34"/>
  <c r="H67" i="34"/>
  <c r="H10" i="34"/>
  <c r="F11" i="34"/>
  <c r="W42" i="33"/>
  <c r="AA35" i="33"/>
  <c r="S27" i="33"/>
  <c r="S32" i="33"/>
  <c r="W38" i="33"/>
  <c r="H41" i="33"/>
  <c r="F121" i="33"/>
  <c r="G121" i="33"/>
  <c r="H121" i="33"/>
  <c r="I121" i="33"/>
  <c r="J121" i="33"/>
  <c r="K121" i="33"/>
  <c r="L121" i="33"/>
  <c r="M121" i="33"/>
  <c r="S42" i="33"/>
  <c r="F36" i="33"/>
  <c r="M108" i="33"/>
  <c r="J35" i="33"/>
  <c r="S37" i="33"/>
  <c r="AA37" i="33"/>
  <c r="S39" i="33"/>
  <c r="G101" i="33"/>
  <c r="H101" i="33"/>
  <c r="I101" i="33"/>
  <c r="J101" i="33"/>
  <c r="K101" i="33"/>
  <c r="L101" i="33"/>
  <c r="M101" i="33"/>
  <c r="J32" i="33"/>
  <c r="S46" i="33"/>
  <c r="W43" i="33"/>
  <c r="S43" i="33"/>
  <c r="F91" i="33"/>
  <c r="H27" i="33"/>
  <c r="F87" i="33"/>
  <c r="H25" i="33"/>
  <c r="AB25" i="33"/>
  <c r="F25" i="33"/>
  <c r="J23" i="33"/>
  <c r="F85" i="33"/>
  <c r="H23" i="33"/>
  <c r="U23" i="33"/>
  <c r="F81" i="33"/>
  <c r="F19" i="33"/>
  <c r="W19" i="33"/>
  <c r="J17" i="33"/>
  <c r="F79" i="33"/>
  <c r="G79" i="33"/>
  <c r="S15" i="33"/>
  <c r="W15" i="33"/>
  <c r="U9" i="33"/>
  <c r="I66" i="33"/>
  <c r="J10" i="33"/>
  <c r="W10" i="33"/>
  <c r="H10" i="33"/>
  <c r="AA10" i="33"/>
  <c r="AC11" i="33"/>
  <c r="AB14" i="33"/>
  <c r="W43" i="21"/>
  <c r="W36" i="21"/>
  <c r="W41" i="21"/>
  <c r="W15" i="21"/>
  <c r="F77" i="21"/>
  <c r="G77" i="21"/>
  <c r="S23" i="21"/>
  <c r="E85" i="21"/>
  <c r="F85" i="21"/>
  <c r="G85" i="21"/>
  <c r="S8" i="21"/>
  <c r="M3" i="43"/>
  <c r="M1" i="43"/>
  <c r="N8" i="43"/>
  <c r="D120" i="9"/>
  <c r="D121" i="9"/>
  <c r="C18" i="9"/>
  <c r="D18" i="9"/>
  <c r="F34" i="67"/>
  <c r="F62" i="67"/>
  <c r="M20" i="67"/>
  <c r="F34" i="15"/>
  <c r="F62" i="15"/>
  <c r="J56" i="9"/>
  <c r="J57" i="9"/>
  <c r="A24" i="51"/>
  <c r="B18" i="72"/>
  <c r="U29" i="34"/>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8" i="43"/>
  <c r="H53" i="43"/>
  <c r="C17" i="43"/>
  <c r="F33" i="43"/>
  <c r="K17" i="43"/>
  <c r="F34" i="43"/>
  <c r="N6" i="43"/>
  <c r="C6" i="43"/>
  <c r="N3" i="43"/>
  <c r="F38" i="43"/>
  <c r="F37" i="43"/>
  <c r="M9" i="43"/>
  <c r="N5" i="43"/>
  <c r="M12" i="43"/>
  <c r="B19" i="53"/>
  <c r="B37" i="72"/>
  <c r="C7" i="39"/>
  <c r="C68" i="39"/>
  <c r="C7" i="35"/>
  <c r="C7" i="33"/>
  <c r="C58" i="33"/>
  <c r="C7" i="40"/>
  <c r="C63" i="40"/>
  <c r="D63" i="40"/>
  <c r="M47" i="9"/>
  <c r="G19" i="43"/>
  <c r="O19" i="43"/>
  <c r="C46" i="36"/>
  <c r="C59" i="34"/>
  <c r="D59" i="34"/>
  <c r="E59" i="34"/>
  <c r="F59" i="34"/>
  <c r="G59" i="34"/>
  <c r="H59" i="34"/>
  <c r="I59" i="34"/>
  <c r="C52" i="37"/>
  <c r="A4" i="51"/>
  <c r="B6" i="72"/>
  <c r="C48" i="35"/>
  <c r="H66" i="43"/>
  <c r="H64" i="43"/>
  <c r="H63" i="43"/>
  <c r="H55" i="43"/>
  <c r="B6" i="1"/>
  <c r="E6" i="1"/>
  <c r="AP6" i="1"/>
  <c r="B9" i="1"/>
  <c r="E9" i="1"/>
  <c r="AP7" i="1"/>
  <c r="G1" i="15"/>
  <c r="G1" i="69"/>
  <c r="G1" i="67"/>
  <c r="W23" i="40"/>
  <c r="AB28" i="40"/>
  <c r="W28" i="40"/>
  <c r="W27" i="40"/>
  <c r="S36" i="40"/>
  <c r="W37" i="40"/>
  <c r="S13" i="40"/>
  <c r="S33" i="40"/>
  <c r="AA15" i="40"/>
  <c r="AB13" i="40"/>
  <c r="U15" i="40"/>
  <c r="AB17" i="40"/>
  <c r="U8" i="40"/>
  <c r="S8" i="40"/>
  <c r="AC41" i="39"/>
  <c r="U42" i="39"/>
  <c r="AB23" i="39"/>
  <c r="U41" i="39"/>
  <c r="AB41" i="39"/>
  <c r="W25" i="39"/>
  <c r="AB11" i="39"/>
  <c r="S27" i="39"/>
  <c r="W17" i="39"/>
  <c r="W31" i="39"/>
  <c r="AB39" i="39"/>
  <c r="W34" i="39"/>
  <c r="U38" i="39"/>
  <c r="S8" i="39"/>
  <c r="S20" i="36"/>
  <c r="AC25" i="36"/>
  <c r="S28" i="36"/>
  <c r="W29" i="36"/>
  <c r="AC20" i="36"/>
  <c r="U25" i="36"/>
  <c r="AA13" i="36"/>
  <c r="W9" i="36"/>
  <c r="W22" i="36"/>
  <c r="W23" i="36"/>
  <c r="S9" i="36"/>
  <c r="AB20" i="35"/>
  <c r="S24" i="35"/>
  <c r="W33" i="35"/>
  <c r="AA30" i="35"/>
  <c r="S35" i="35"/>
  <c r="W35" i="35"/>
  <c r="W36" i="37"/>
  <c r="S28" i="37"/>
  <c r="U36" i="37"/>
  <c r="S40" i="37"/>
  <c r="U38" i="37"/>
  <c r="AB37" i="37"/>
  <c r="S33" i="37"/>
  <c r="AC34" i="37"/>
  <c r="AB35" i="37"/>
  <c r="AA31" i="37"/>
  <c r="U19" i="37"/>
  <c r="AA8" i="37"/>
  <c r="U8" i="37"/>
  <c r="AA40" i="34"/>
  <c r="AB40" i="34"/>
  <c r="U19" i="34"/>
  <c r="W19" i="34"/>
  <c r="AB33" i="34"/>
  <c r="AC45" i="34"/>
  <c r="AA30" i="34"/>
  <c r="AB45" i="34"/>
  <c r="W33" i="34"/>
  <c r="AC14" i="34"/>
  <c r="W29" i="34"/>
  <c r="W46" i="34"/>
  <c r="S32" i="34"/>
  <c r="AA32" i="34"/>
  <c r="U30" i="34"/>
  <c r="AB30" i="34"/>
  <c r="S37" i="34"/>
  <c r="U38" i="34"/>
  <c r="AC40" i="34"/>
  <c r="AA19" i="34"/>
  <c r="S19" i="34"/>
  <c r="AA36" i="34"/>
  <c r="AA8" i="34"/>
  <c r="S8" i="34"/>
  <c r="S46" i="34"/>
  <c r="AA46" i="34"/>
  <c r="U32" i="34"/>
  <c r="AB32" i="34"/>
  <c r="AC43" i="34"/>
  <c r="W43" i="34"/>
  <c r="W23" i="34"/>
  <c r="AC23" i="34"/>
  <c r="U12" i="34"/>
  <c r="AB12" i="34"/>
  <c r="AC37" i="33"/>
  <c r="W46" i="33"/>
  <c r="U39" i="33"/>
  <c r="S33" i="33"/>
  <c r="AB34" i="33"/>
  <c r="U44" i="33"/>
  <c r="S30" i="33"/>
  <c r="AA30" i="33"/>
  <c r="AC30" i="33"/>
  <c r="W30" i="33"/>
  <c r="W13" i="33"/>
  <c r="AC13" i="33"/>
  <c r="U15" i="33"/>
  <c r="S11" i="33"/>
  <c r="U37" i="33"/>
  <c r="AC28" i="33"/>
  <c r="W8" i="33"/>
  <c r="S44" i="21"/>
  <c r="I101" i="21"/>
  <c r="J101" i="21"/>
  <c r="K101" i="21"/>
  <c r="L101" i="21"/>
  <c r="M101" i="21"/>
  <c r="U40" i="21"/>
  <c r="U13" i="21"/>
  <c r="W8" i="21"/>
  <c r="S35" i="21"/>
  <c r="W37" i="21"/>
  <c r="U15" i="21"/>
  <c r="W39" i="21"/>
  <c r="W30" i="21"/>
  <c r="U45" i="21"/>
  <c r="W29" i="21"/>
  <c r="S19" i="21"/>
  <c r="K141" i="21"/>
  <c r="K144" i="21"/>
  <c r="K143" i="21"/>
  <c r="U27" i="21"/>
  <c r="W13" i="21"/>
  <c r="W42" i="21"/>
  <c r="S10" i="21"/>
  <c r="K145" i="21"/>
  <c r="W17" i="21"/>
  <c r="S27" i="21"/>
  <c r="S17" i="21"/>
  <c r="S28" i="21"/>
  <c r="W10" i="21"/>
  <c r="W30" i="40"/>
  <c r="C19" i="39"/>
  <c r="C17" i="40"/>
  <c r="C23" i="40"/>
  <c r="C21" i="40"/>
  <c r="U30" i="40"/>
  <c r="B54" i="43"/>
  <c r="B65" i="43"/>
  <c r="B56" i="43"/>
  <c r="B60" i="43"/>
  <c r="B63" i="43"/>
  <c r="D23" i="15"/>
  <c r="D22" i="15"/>
  <c r="F30" i="11"/>
  <c r="C48" i="11"/>
  <c r="T11" i="1"/>
  <c r="E7" i="70"/>
  <c r="S12" i="33"/>
  <c r="AA12" i="33"/>
  <c r="J32" i="39"/>
  <c r="AC32" i="39"/>
  <c r="K107" i="39"/>
  <c r="L107" i="39"/>
  <c r="M107" i="39"/>
  <c r="H32" i="39"/>
  <c r="AB32" i="39"/>
  <c r="AB21" i="39"/>
  <c r="U21" i="39"/>
  <c r="AA21" i="39"/>
  <c r="W21" i="39"/>
  <c r="AA9" i="35"/>
  <c r="S9" i="35"/>
  <c r="W26" i="35"/>
  <c r="S17" i="37"/>
  <c r="J19" i="37"/>
  <c r="AC19" i="37"/>
  <c r="S19" i="37"/>
  <c r="AA19" i="37"/>
  <c r="J23" i="37"/>
  <c r="J10" i="37"/>
  <c r="W10" i="37"/>
  <c r="I60" i="37"/>
  <c r="H11" i="37"/>
  <c r="AB10" i="37"/>
  <c r="U10" i="37"/>
  <c r="G70" i="34"/>
  <c r="H11" i="34"/>
  <c r="AB10" i="34"/>
  <c r="U10" i="34"/>
  <c r="J10" i="34"/>
  <c r="AC10" i="34"/>
  <c r="I67" i="34"/>
  <c r="AB41" i="33"/>
  <c r="U41" i="33"/>
  <c r="W35" i="33"/>
  <c r="AC35" i="33"/>
  <c r="J36" i="33"/>
  <c r="H36" i="33"/>
  <c r="S36" i="33"/>
  <c r="AA36" i="33"/>
  <c r="AC32" i="33"/>
  <c r="W32" i="33"/>
  <c r="G91" i="33"/>
  <c r="H91" i="33"/>
  <c r="I91" i="33"/>
  <c r="J91" i="33"/>
  <c r="K91" i="33"/>
  <c r="L91" i="33"/>
  <c r="M91" i="33"/>
  <c r="J27" i="33"/>
  <c r="W27" i="33"/>
  <c r="U25" i="33"/>
  <c r="S25" i="33"/>
  <c r="AA25" i="33"/>
  <c r="G87" i="33"/>
  <c r="H87" i="33"/>
  <c r="I87" i="33"/>
  <c r="J87" i="33"/>
  <c r="K87" i="33"/>
  <c r="L87" i="33"/>
  <c r="M87" i="33"/>
  <c r="J25" i="33"/>
  <c r="AC25" i="33"/>
  <c r="AB23" i="33"/>
  <c r="F23" i="33"/>
  <c r="S23" i="33"/>
  <c r="G85" i="33"/>
  <c r="H19" i="33"/>
  <c r="G81" i="33"/>
  <c r="H17" i="33"/>
  <c r="AB17" i="33"/>
  <c r="F17" i="33"/>
  <c r="W17" i="33"/>
  <c r="AC17" i="33"/>
  <c r="U10" i="33"/>
  <c r="AB10" i="33"/>
  <c r="AC10" i="33"/>
  <c r="U33" i="21"/>
  <c r="S37" i="21"/>
  <c r="W23" i="21"/>
  <c r="U23" i="21"/>
  <c r="S13" i="21"/>
  <c r="D7" i="52"/>
  <c r="K120" i="9"/>
  <c r="A18" i="62"/>
  <c r="B64" i="72"/>
  <c r="J59" i="9"/>
  <c r="J61" i="9"/>
  <c r="W33" i="21"/>
  <c r="S33" i="21"/>
  <c r="W32" i="21"/>
  <c r="S32" i="21"/>
  <c r="U32" i="21"/>
  <c r="E6" i="70"/>
  <c r="U32" i="39"/>
  <c r="W32" i="39"/>
  <c r="W19" i="37"/>
  <c r="W23" i="37"/>
  <c r="AC23" i="37"/>
  <c r="AB11" i="37"/>
  <c r="U11" i="37"/>
  <c r="J63" i="37"/>
  <c r="K63" i="37"/>
  <c r="L63" i="37"/>
  <c r="M63" i="37"/>
  <c r="J11" i="37"/>
  <c r="AC11" i="37"/>
  <c r="AC10" i="37"/>
  <c r="U11" i="34"/>
  <c r="AB11" i="34"/>
  <c r="H70" i="34"/>
  <c r="I70" i="34"/>
  <c r="J70" i="34"/>
  <c r="K70" i="34"/>
  <c r="L70" i="34"/>
  <c r="M70" i="34"/>
  <c r="J11" i="34"/>
  <c r="U36" i="33"/>
  <c r="AB36" i="33"/>
  <c r="W25" i="33"/>
  <c r="AA17" i="33"/>
  <c r="S17" i="33"/>
  <c r="U17" i="33"/>
  <c r="W11" i="37"/>
  <c r="W11" i="34"/>
  <c r="AC11" i="34"/>
  <c r="AE7" i="1"/>
  <c r="AE8" i="1"/>
  <c r="AE6" i="1"/>
  <c r="AG6" i="1"/>
  <c r="H109" i="9"/>
  <c r="D16" i="53"/>
  <c r="H110" i="9"/>
  <c r="D18" i="53"/>
  <c r="B35" i="72"/>
  <c r="D124" i="9"/>
  <c r="B34" i="72"/>
  <c r="D17" i="53"/>
  <c r="B36" i="72"/>
  <c r="H112" i="9"/>
  <c r="D21" i="53"/>
  <c r="B39" i="72"/>
  <c r="H111" i="9"/>
  <c r="D59" i="9"/>
  <c r="M55" i="9"/>
  <c r="AD3" i="71"/>
  <c r="AF3" i="71"/>
  <c r="P21" i="43"/>
  <c r="C65" i="40"/>
  <c r="J1" i="73"/>
  <c r="H51" i="43"/>
  <c r="H59" i="43"/>
  <c r="H61" i="43"/>
  <c r="M4" i="43"/>
  <c r="M5" i="43"/>
  <c r="N12" i="43"/>
  <c r="N11" i="43"/>
  <c r="M10" i="43"/>
  <c r="M2" i="43"/>
  <c r="M7" i="43"/>
  <c r="N9" i="43"/>
  <c r="M8" i="43"/>
  <c r="N10" i="43"/>
  <c r="M6" i="43"/>
  <c r="N7" i="43"/>
  <c r="N4" i="43"/>
  <c r="N2" i="43"/>
  <c r="H49" i="43"/>
  <c r="N17" i="43"/>
  <c r="L17" i="43"/>
  <c r="M17" i="43"/>
  <c r="O17" i="43"/>
  <c r="G17" i="43"/>
  <c r="E17" i="43"/>
  <c r="C11" i="71"/>
  <c r="D12" i="71"/>
  <c r="D13" i="71"/>
  <c r="U13" i="71"/>
  <c r="T13" i="71"/>
  <c r="AB11" i="71"/>
  <c r="X9" i="71"/>
  <c r="X8" i="71"/>
  <c r="AA9" i="71"/>
  <c r="AA8" i="71"/>
  <c r="X12" i="71"/>
  <c r="Z7" i="71"/>
  <c r="Y8" i="71"/>
  <c r="Z8" i="71"/>
  <c r="AB9" i="71"/>
  <c r="AB8" i="71"/>
  <c r="Y9" i="71"/>
  <c r="Z9" i="71"/>
  <c r="AB3" i="71"/>
  <c r="X3" i="71"/>
  <c r="G20" i="43"/>
  <c r="E41" i="43"/>
  <c r="C41" i="43"/>
  <c r="J59" i="34"/>
  <c r="K59" i="34"/>
  <c r="C19" i="43"/>
  <c r="AO10" i="1"/>
  <c r="F6" i="67"/>
  <c r="K19" i="6"/>
  <c r="M19" i="6"/>
  <c r="I19" i="6"/>
  <c r="H19" i="6"/>
  <c r="R19" i="6"/>
  <c r="R6" i="1"/>
  <c r="L20" i="6"/>
  <c r="K20" i="6"/>
  <c r="M20" i="6"/>
  <c r="I20" i="6"/>
  <c r="H20" i="6"/>
  <c r="R20" i="6"/>
  <c r="R7" i="1"/>
  <c r="R8" i="1"/>
  <c r="F35" i="67"/>
  <c r="E8" i="76"/>
  <c r="B11" i="76"/>
  <c r="AO11" i="1"/>
  <c r="F7" i="73"/>
  <c r="D2" i="35"/>
  <c r="M22" i="67"/>
  <c r="F16" i="67"/>
  <c r="E10" i="76"/>
  <c r="F38" i="67"/>
  <c r="D2" i="36"/>
  <c r="D2" i="37"/>
  <c r="AO6" i="1"/>
  <c r="D7" i="73"/>
  <c r="M28" i="67"/>
  <c r="F6" i="73"/>
  <c r="F8" i="15"/>
  <c r="B12" i="76"/>
  <c r="AO9" i="1"/>
  <c r="F41" i="67"/>
  <c r="D4" i="73"/>
  <c r="F6" i="15"/>
  <c r="M26" i="15"/>
  <c r="D3" i="73"/>
  <c r="C76" i="67"/>
  <c r="E13" i="76"/>
  <c r="AO12" i="1"/>
  <c r="F37" i="67"/>
  <c r="E11" i="76"/>
  <c r="AO7" i="1"/>
  <c r="F38" i="15"/>
  <c r="F37" i="15"/>
  <c r="M23" i="15"/>
  <c r="F42" i="15"/>
  <c r="M6" i="67"/>
  <c r="AO13" i="1"/>
  <c r="M23" i="67"/>
  <c r="M9" i="15"/>
  <c r="F26" i="67"/>
  <c r="F7" i="67"/>
  <c r="F4" i="73"/>
  <c r="D2" i="33"/>
  <c r="M28" i="15"/>
  <c r="E7" i="76"/>
  <c r="B9" i="76"/>
  <c r="L48" i="67"/>
  <c r="F13" i="15"/>
  <c r="M27" i="15"/>
  <c r="M22" i="15"/>
  <c r="F42" i="67"/>
  <c r="B8" i="76"/>
  <c r="F40" i="67"/>
  <c r="F41" i="15"/>
  <c r="M29" i="15"/>
  <c r="L47" i="15"/>
  <c r="E9" i="76"/>
  <c r="M6" i="15"/>
  <c r="M21" i="15"/>
  <c r="F3" i="73"/>
  <c r="F26" i="15"/>
  <c r="J15" i="67"/>
  <c r="D6" i="73"/>
  <c r="F8" i="67"/>
  <c r="M29" i="67"/>
  <c r="M9" i="67"/>
  <c r="F36" i="15"/>
  <c r="F5" i="73"/>
  <c r="AO8" i="1"/>
  <c r="D2" i="21"/>
  <c r="F9" i="67"/>
  <c r="F13" i="67"/>
  <c r="M26" i="67"/>
  <c r="E2" i="68"/>
  <c r="L48" i="15"/>
  <c r="M8" i="67"/>
  <c r="J15" i="15"/>
  <c r="F20" i="31"/>
  <c r="E2" i="69"/>
  <c r="B10" i="76"/>
  <c r="L47" i="67"/>
  <c r="F36" i="67"/>
  <c r="F16" i="15"/>
  <c r="D2" i="34"/>
  <c r="M27" i="67"/>
  <c r="F9" i="15"/>
  <c r="F43" i="67"/>
  <c r="B7" i="76"/>
  <c r="M21" i="67"/>
  <c r="B13" i="76"/>
  <c r="M24" i="67"/>
  <c r="E12" i="76"/>
  <c r="T13" i="1"/>
  <c r="W23" i="33"/>
  <c r="AC23" i="33"/>
  <c r="AC36" i="33"/>
  <c r="W36" i="33"/>
  <c r="AA44" i="39"/>
  <c r="S44" i="39"/>
  <c r="F13" i="39"/>
  <c r="H13" i="39"/>
  <c r="J13" i="39"/>
  <c r="C10" i="71"/>
  <c r="D11" i="71"/>
  <c r="U42" i="33"/>
  <c r="W39" i="37"/>
  <c r="S41" i="34"/>
  <c r="AA41" i="34"/>
  <c r="AA38" i="33"/>
  <c r="S38" i="33"/>
  <c r="U27" i="33"/>
  <c r="AB27" i="33"/>
  <c r="C16" i="43"/>
  <c r="D5" i="43"/>
  <c r="AA23" i="33"/>
  <c r="S29" i="21"/>
  <c r="S11" i="34"/>
  <c r="AA11" i="34"/>
  <c r="S23" i="37"/>
  <c r="AA23" i="37"/>
  <c r="U13" i="35"/>
  <c r="AB13" i="35"/>
  <c r="U36" i="34"/>
  <c r="AB36" i="34"/>
  <c r="U10" i="35"/>
  <c r="AB10" i="35"/>
  <c r="S19" i="33"/>
  <c r="AA19" i="33"/>
  <c r="U19" i="33"/>
  <c r="AB19" i="33"/>
  <c r="AA32" i="37"/>
  <c r="S32" i="37"/>
  <c r="F33" i="36"/>
  <c r="H33" i="36"/>
  <c r="J33" i="36"/>
  <c r="W31" i="35"/>
  <c r="AC31" i="35"/>
  <c r="AB30" i="36"/>
  <c r="U30" i="36"/>
  <c r="S22" i="31"/>
  <c r="R22" i="31"/>
  <c r="B21" i="31"/>
  <c r="D19" i="53"/>
  <c r="D126" i="9"/>
  <c r="I14" i="74"/>
  <c r="B8" i="74"/>
  <c r="H14" i="74"/>
  <c r="B7" i="74"/>
  <c r="D125" i="9"/>
  <c r="D11" i="52"/>
  <c r="D10" i="52"/>
  <c r="D65" i="40"/>
  <c r="E63" i="40"/>
  <c r="C70" i="39"/>
  <c r="D68" i="39"/>
  <c r="AB26" i="35"/>
  <c r="U26" i="35"/>
  <c r="S39" i="40"/>
  <c r="AA39" i="40"/>
  <c r="AB32" i="40"/>
  <c r="U32" i="40"/>
  <c r="AB24" i="35"/>
  <c r="U24" i="35"/>
  <c r="AB16" i="36"/>
  <c r="U16" i="36"/>
  <c r="AA23" i="39"/>
  <c r="S23" i="39"/>
  <c r="H73" i="43"/>
  <c r="H71" i="43"/>
  <c r="H78" i="43"/>
  <c r="H75" i="43"/>
  <c r="H77" i="43"/>
  <c r="H72" i="43"/>
  <c r="H76" i="43"/>
  <c r="H70" i="43"/>
  <c r="H74" i="43"/>
  <c r="AC15" i="37"/>
  <c r="W15" i="37"/>
  <c r="S36" i="37"/>
  <c r="AA36" i="37"/>
  <c r="AB13" i="36"/>
  <c r="U13" i="36"/>
  <c r="W26" i="36"/>
  <c r="AC26" i="36"/>
  <c r="U11" i="35"/>
  <c r="AB11" i="35"/>
  <c r="U14" i="34"/>
  <c r="AB14" i="34"/>
  <c r="AA45" i="33"/>
  <c r="S45" i="33"/>
  <c r="AA31" i="33"/>
  <c r="S31" i="33"/>
  <c r="U29" i="33"/>
  <c r="AB29" i="33"/>
  <c r="U28" i="33"/>
  <c r="AB28" i="33"/>
  <c r="S35" i="37"/>
  <c r="AA35" i="37"/>
  <c r="S16" i="35"/>
  <c r="AA16" i="35"/>
  <c r="S41" i="39"/>
  <c r="AA41" i="39"/>
  <c r="AC35" i="34"/>
  <c r="W35" i="34"/>
  <c r="U26" i="33"/>
  <c r="AB26" i="33"/>
  <c r="AC9" i="34"/>
  <c r="W9" i="34"/>
  <c r="AB8" i="35"/>
  <c r="U8" i="35"/>
  <c r="AA26" i="37"/>
  <c r="S26" i="37"/>
  <c r="AA30" i="37"/>
  <c r="S30" i="37"/>
  <c r="AB15" i="37"/>
  <c r="U15" i="37"/>
  <c r="H14" i="40"/>
  <c r="F14" i="40"/>
  <c r="J31" i="40"/>
  <c r="H31" i="40"/>
  <c r="F31" i="40"/>
  <c r="P22" i="43"/>
  <c r="P23" i="43"/>
  <c r="B71" i="39"/>
  <c r="S32" i="39"/>
  <c r="AA32" i="39"/>
  <c r="AA27" i="36"/>
  <c r="S27" i="36"/>
  <c r="S39" i="39"/>
  <c r="AA39" i="39"/>
  <c r="AA15" i="37"/>
  <c r="S15" i="37"/>
  <c r="S26" i="36"/>
  <c r="AA26" i="36"/>
  <c r="J14" i="40"/>
  <c r="W37" i="37"/>
  <c r="AC37" i="37"/>
  <c r="S29" i="37"/>
  <c r="AA29" i="37"/>
  <c r="U44" i="21"/>
  <c r="AC25" i="34"/>
  <c r="W25" i="34"/>
  <c r="W15" i="40"/>
  <c r="AC15" i="40"/>
  <c r="AB32" i="33"/>
  <c r="U32" i="33"/>
  <c r="AB31" i="39"/>
  <c r="U31" i="39"/>
  <c r="W12" i="21"/>
  <c r="S11" i="36"/>
  <c r="AA11" i="36"/>
  <c r="AC5" i="3"/>
  <c r="AC27" i="33"/>
  <c r="W10" i="34"/>
  <c r="C5" i="43"/>
  <c r="AB31" i="37"/>
  <c r="AA25" i="35"/>
  <c r="AA34" i="36"/>
  <c r="AC36" i="40"/>
  <c r="AQ11" i="1"/>
  <c r="AR11" i="1"/>
  <c r="AB12" i="39"/>
  <c r="U12" i="39"/>
  <c r="W26" i="33"/>
  <c r="C20" i="43"/>
  <c r="AC38" i="39"/>
  <c r="H82" i="43"/>
  <c r="H84" i="43"/>
  <c r="H65" i="43"/>
  <c r="H67" i="43"/>
  <c r="AA13" i="33"/>
  <c r="AC32" i="37"/>
  <c r="W32" i="37"/>
  <c r="S14" i="34"/>
  <c r="AA14" i="34"/>
  <c r="U46" i="21"/>
  <c r="W20" i="35"/>
  <c r="AC20" i="35"/>
  <c r="AA17" i="39"/>
  <c r="S17" i="39"/>
  <c r="W19" i="21"/>
  <c r="B71" i="43"/>
  <c r="C21" i="39"/>
  <c r="B73" i="43"/>
  <c r="B52" i="43"/>
  <c r="AB38" i="33"/>
  <c r="U38" i="33"/>
  <c r="AB34" i="34"/>
  <c r="U34" i="34"/>
  <c r="AC23" i="35"/>
  <c r="W23" i="35"/>
  <c r="J34" i="36"/>
  <c r="H34" i="36"/>
  <c r="AC25" i="37"/>
  <c r="W25" i="37"/>
  <c r="AB29" i="37"/>
  <c r="U29" i="37"/>
  <c r="F13" i="37"/>
  <c r="J13" i="37"/>
  <c r="H13" i="37"/>
  <c r="U9" i="39"/>
  <c r="AB9" i="39"/>
  <c r="AA40" i="39"/>
  <c r="S40" i="39"/>
  <c r="J14" i="39"/>
  <c r="F14" i="39"/>
  <c r="H35" i="39"/>
  <c r="J43" i="39"/>
  <c r="F43" i="39"/>
  <c r="P25" i="43"/>
  <c r="H60" i="43"/>
  <c r="D6" i="52"/>
  <c r="AB9" i="35"/>
  <c r="B49" i="43"/>
  <c r="U17" i="21"/>
  <c r="S28" i="33"/>
  <c r="W34" i="40"/>
  <c r="P24" i="43"/>
  <c r="B66" i="40"/>
  <c r="H81" i="43"/>
  <c r="D9" i="53"/>
  <c r="B25" i="72"/>
  <c r="AA29" i="33"/>
  <c r="U27" i="34"/>
  <c r="AB35" i="34"/>
  <c r="S11" i="37"/>
  <c r="U32" i="37"/>
  <c r="F26" i="35"/>
  <c r="AA36" i="35"/>
  <c r="U36" i="35"/>
  <c r="U25" i="39"/>
  <c r="H87" i="43"/>
  <c r="H50" i="43"/>
  <c r="H56" i="43"/>
  <c r="H54" i="43"/>
  <c r="H48" i="43"/>
  <c r="S12" i="39"/>
  <c r="W12" i="37"/>
  <c r="S42" i="21"/>
  <c r="W40" i="37"/>
  <c r="U11" i="33"/>
  <c r="AB23" i="37"/>
  <c r="U41" i="34"/>
  <c r="AB41" i="34"/>
  <c r="S21" i="40"/>
  <c r="U31" i="33"/>
  <c r="H43" i="39"/>
  <c r="J44" i="33"/>
  <c r="J14" i="33"/>
  <c r="S46" i="21"/>
  <c r="AA37" i="40"/>
  <c r="AB12" i="35"/>
  <c r="AB36" i="40"/>
  <c r="U36" i="40"/>
  <c r="AB17" i="39"/>
  <c r="U17" i="39"/>
  <c r="J35" i="39"/>
  <c r="B77" i="43"/>
  <c r="C25" i="39"/>
  <c r="B67" i="43"/>
  <c r="F9" i="34"/>
  <c r="H9" i="34"/>
  <c r="S31" i="36"/>
  <c r="AA31" i="36"/>
  <c r="W31" i="37"/>
  <c r="AC31" i="37"/>
  <c r="F25" i="37"/>
  <c r="H25" i="37"/>
  <c r="H44" i="39"/>
  <c r="J44" i="39"/>
  <c r="W9" i="40"/>
  <c r="AA34" i="40"/>
  <c r="AA40" i="40"/>
  <c r="S40" i="40"/>
  <c r="W33" i="40"/>
  <c r="AC33" i="40"/>
  <c r="AA38" i="40"/>
  <c r="H40" i="40"/>
  <c r="J40" i="40"/>
  <c r="W42" i="34"/>
  <c r="AC42" i="34"/>
  <c r="AA31" i="35"/>
  <c r="S31" i="35"/>
  <c r="S10" i="35"/>
  <c r="AA10" i="35"/>
  <c r="W17" i="40"/>
  <c r="AC17" i="40"/>
  <c r="W30" i="35"/>
  <c r="AC30" i="35"/>
  <c r="U23" i="40"/>
  <c r="AB23" i="40"/>
  <c r="S34" i="35"/>
  <c r="AA34" i="35"/>
  <c r="S14" i="33"/>
  <c r="AA14" i="33"/>
  <c r="S44" i="33"/>
  <c r="AA44" i="33"/>
  <c r="J13" i="34"/>
  <c r="F13" i="34"/>
  <c r="J31" i="34"/>
  <c r="F31" i="34"/>
  <c r="H31" i="34"/>
  <c r="H47" i="34"/>
  <c r="J47" i="34"/>
  <c r="F47" i="34"/>
  <c r="AB31" i="36"/>
  <c r="U31" i="36"/>
  <c r="H27" i="37"/>
  <c r="J27" i="37"/>
  <c r="F27" i="37"/>
  <c r="W35" i="37"/>
  <c r="AC35" i="37"/>
  <c r="AC8" i="39"/>
  <c r="W8" i="39"/>
  <c r="AC41" i="33"/>
  <c r="W41" i="33"/>
  <c r="S30" i="36"/>
  <c r="AA30" i="36"/>
  <c r="S35" i="39"/>
  <c r="AA35" i="39"/>
  <c r="J25" i="35"/>
  <c r="H25" i="35"/>
  <c r="H45" i="39"/>
  <c r="F45" i="39"/>
  <c r="AC32" i="40"/>
  <c r="W32" i="40"/>
  <c r="AB28" i="36"/>
  <c r="S28" i="35"/>
  <c r="AB39" i="40"/>
  <c r="J12" i="36"/>
  <c r="H12" i="36"/>
  <c r="F12" i="36"/>
  <c r="J38" i="40"/>
  <c r="J12" i="40"/>
  <c r="F12" i="40"/>
  <c r="AA18" i="36"/>
  <c r="S18" i="36"/>
  <c r="T53" i="71"/>
  <c r="D53" i="71"/>
  <c r="F7" i="1"/>
  <c r="G7" i="1"/>
  <c r="A15" i="62"/>
  <c r="B61" i="72"/>
  <c r="M100" i="43"/>
  <c r="M108" i="43"/>
  <c r="BL5" i="3"/>
  <c r="E100" i="43"/>
  <c r="E108" i="43"/>
  <c r="AB21" i="37"/>
  <c r="U21" i="37"/>
  <c r="I100" i="43"/>
  <c r="E59" i="43"/>
  <c r="B57" i="43"/>
  <c r="W21" i="34"/>
  <c r="AC21" i="34"/>
  <c r="U21" i="21"/>
  <c r="U21" i="33"/>
  <c r="AA21" i="37"/>
  <c r="AB21" i="71"/>
  <c r="AB18" i="71"/>
  <c r="E23" i="71"/>
  <c r="E24" i="71"/>
  <c r="E25" i="71"/>
  <c r="U25" i="71"/>
  <c r="AA22" i="71"/>
  <c r="AA20" i="71"/>
  <c r="AA23" i="71"/>
  <c r="AA25" i="71"/>
  <c r="AA24" i="71"/>
  <c r="S57" i="71"/>
  <c r="B56" i="71"/>
  <c r="N57" i="71"/>
  <c r="AA5" i="71"/>
  <c r="AA15" i="71"/>
  <c r="AB15" i="71"/>
  <c r="X15" i="71"/>
  <c r="AA21" i="71"/>
  <c r="X14" i="71"/>
  <c r="X16" i="71"/>
  <c r="AB19" i="71"/>
  <c r="Y22" i="71"/>
  <c r="Z22" i="71"/>
  <c r="Y24" i="71"/>
  <c r="Z24" i="71"/>
  <c r="Y19" i="71"/>
  <c r="Z19" i="71"/>
  <c r="Y3" i="71"/>
  <c r="Z3" i="71"/>
  <c r="Y15" i="71"/>
  <c r="Z15" i="71"/>
  <c r="Y17" i="71"/>
  <c r="Z17" i="71"/>
  <c r="X21" i="71"/>
  <c r="X20" i="71"/>
  <c r="X22" i="71"/>
  <c r="X23" i="71"/>
  <c r="X25" i="71"/>
  <c r="AA7" i="71"/>
  <c r="AB12" i="71"/>
  <c r="X10" i="71"/>
  <c r="AB7" i="71"/>
  <c r="Y6" i="71"/>
  <c r="Z6" i="71"/>
  <c r="AB6" i="71"/>
  <c r="D45" i="71"/>
  <c r="O54" i="71"/>
  <c r="C25" i="71"/>
  <c r="C75" i="71"/>
  <c r="D75" i="71"/>
  <c r="D56" i="71"/>
  <c r="AA14" i="71"/>
  <c r="AB14" i="71"/>
  <c r="C72" i="71"/>
  <c r="X19" i="71"/>
  <c r="AB20" i="71"/>
  <c r="AB13" i="71"/>
  <c r="Y12" i="71"/>
  <c r="Z12" i="71"/>
  <c r="Y10" i="71"/>
  <c r="Z10" i="71"/>
  <c r="Y5" i="71"/>
  <c r="Z5" i="71"/>
  <c r="AB5" i="71"/>
  <c r="AA17" i="71"/>
  <c r="D39" i="71"/>
  <c r="Y18" i="71"/>
  <c r="Z18" i="71"/>
  <c r="E20" i="71"/>
  <c r="E21" i="71"/>
  <c r="U21" i="71"/>
  <c r="AB23" i="71"/>
  <c r="AB22" i="71"/>
  <c r="B27" i="71"/>
  <c r="B28" i="71"/>
  <c r="B29" i="71"/>
  <c r="S29" i="71"/>
  <c r="X26" i="71"/>
  <c r="B60" i="71"/>
  <c r="B59" i="71"/>
  <c r="X13" i="71"/>
  <c r="X11" i="71"/>
  <c r="Y11" i="71"/>
  <c r="Z11" i="71"/>
  <c r="AB10" i="71"/>
  <c r="X5" i="71"/>
  <c r="AA6" i="71"/>
  <c r="X6" i="71"/>
  <c r="AH10" i="43"/>
  <c r="Z10" i="43"/>
  <c r="AA11" i="71"/>
  <c r="AA18" i="71"/>
  <c r="AF10" i="43"/>
  <c r="M56" i="9"/>
  <c r="B13" i="71"/>
  <c r="F12" i="71"/>
  <c r="F11" i="71"/>
  <c r="F10" i="71"/>
  <c r="F9" i="71"/>
  <c r="F8" i="71"/>
  <c r="F7" i="71"/>
  <c r="F6" i="71"/>
  <c r="F5" i="71"/>
  <c r="X7" i="71"/>
  <c r="Y13" i="71"/>
  <c r="Z13" i="71"/>
  <c r="E13" i="71"/>
  <c r="AA13" i="71"/>
  <c r="AA12" i="71"/>
  <c r="AA10" i="71"/>
  <c r="R41" i="77"/>
  <c r="C14" i="77"/>
  <c r="S11" i="39"/>
  <c r="T13" i="43"/>
  <c r="V13" i="43"/>
  <c r="C33" i="43"/>
  <c r="E33" i="43"/>
  <c r="E2" i="70"/>
  <c r="AQ9" i="1"/>
  <c r="AQ13" i="1"/>
  <c r="AR10" i="1"/>
  <c r="T9" i="1"/>
  <c r="L27" i="6"/>
  <c r="C92" i="9"/>
  <c r="C94" i="9"/>
  <c r="E10" i="49"/>
  <c r="E7" i="49"/>
  <c r="C5" i="11"/>
  <c r="F30" i="69"/>
  <c r="C30" i="69"/>
  <c r="F52" i="9"/>
  <c r="D68" i="9"/>
  <c r="F28" i="15"/>
  <c r="F32" i="67"/>
  <c r="F60" i="67"/>
  <c r="F28" i="67"/>
  <c r="C28" i="67"/>
  <c r="C77" i="9"/>
  <c r="C74" i="9"/>
  <c r="C30" i="11"/>
  <c r="F54" i="9"/>
  <c r="M18" i="15"/>
  <c r="F32" i="15"/>
  <c r="F60" i="15"/>
  <c r="M18" i="67"/>
  <c r="F31" i="12"/>
  <c r="F30" i="68"/>
  <c r="D22" i="67"/>
  <c r="D23" i="67"/>
  <c r="E13" i="49"/>
  <c r="B14" i="49"/>
  <c r="B10" i="49"/>
  <c r="E22" i="49"/>
  <c r="E21" i="49"/>
  <c r="B8" i="49"/>
  <c r="B13" i="49"/>
  <c r="E4" i="4"/>
  <c r="B5" i="62"/>
  <c r="B73" i="72"/>
  <c r="B6" i="49"/>
  <c r="B4" i="49"/>
  <c r="E11" i="49"/>
  <c r="E8" i="49"/>
  <c r="B11" i="49"/>
  <c r="E9" i="49"/>
  <c r="B22" i="49"/>
  <c r="E4" i="49"/>
  <c r="E6" i="49"/>
  <c r="B9" i="49"/>
  <c r="E14" i="49"/>
  <c r="T35" i="4"/>
  <c r="A19" i="51"/>
  <c r="B14" i="72"/>
  <c r="T14" i="43"/>
  <c r="V14" i="43"/>
  <c r="G33" i="43"/>
  <c r="I33" i="43"/>
  <c r="T10" i="43"/>
  <c r="V10" i="43"/>
  <c r="D12" i="52"/>
  <c r="D127" i="9"/>
  <c r="D13" i="52"/>
  <c r="C34" i="43"/>
  <c r="T16" i="43"/>
  <c r="V16" i="43"/>
  <c r="T8" i="43"/>
  <c r="V8" i="43"/>
  <c r="T11" i="43"/>
  <c r="V11" i="43"/>
  <c r="T12" i="43"/>
  <c r="V12" i="43"/>
  <c r="T9" i="43"/>
  <c r="V9" i="43"/>
  <c r="T15" i="43"/>
  <c r="V15" i="43"/>
  <c r="C37" i="43"/>
  <c r="E37" i="43"/>
  <c r="C35" i="43"/>
  <c r="C36" i="43"/>
  <c r="C38" i="43"/>
  <c r="C39" i="43"/>
  <c r="L59" i="34"/>
  <c r="M59" i="34"/>
  <c r="N59" i="34"/>
  <c r="O59" i="34"/>
  <c r="D46" i="36"/>
  <c r="D48" i="35"/>
  <c r="D52" i="37"/>
  <c r="D58" i="33"/>
  <c r="E58" i="33"/>
  <c r="F58" i="33"/>
  <c r="G58" i="33"/>
  <c r="H58" i="33"/>
  <c r="I58" i="33"/>
  <c r="J58" i="33"/>
  <c r="K58" i="33"/>
  <c r="L58" i="33"/>
  <c r="M58" i="33"/>
  <c r="N58" i="33"/>
  <c r="O58" i="33"/>
  <c r="C28" i="15"/>
  <c r="C48" i="69"/>
  <c r="I1" i="73"/>
  <c r="B39" i="1"/>
  <c r="F51" i="67"/>
  <c r="F69" i="15"/>
  <c r="F65" i="67"/>
  <c r="F71" i="67"/>
  <c r="C27" i="15"/>
  <c r="F65" i="15"/>
  <c r="K1" i="73"/>
  <c r="F69" i="67"/>
  <c r="E20" i="43"/>
  <c r="F66" i="67"/>
  <c r="B10" i="70"/>
  <c r="B11" i="70"/>
  <c r="N59" i="15"/>
  <c r="L59" i="15"/>
  <c r="L58" i="15"/>
  <c r="B8" i="70"/>
  <c r="F66" i="15"/>
  <c r="Q71" i="67"/>
  <c r="F64" i="15"/>
  <c r="F70" i="67"/>
  <c r="C6" i="67"/>
  <c r="B6" i="70"/>
  <c r="C27" i="67"/>
  <c r="J57" i="15"/>
  <c r="J55" i="15"/>
  <c r="J58" i="15"/>
  <c r="Q50" i="15"/>
  <c r="I54" i="15"/>
  <c r="B9" i="70"/>
  <c r="N59" i="67"/>
  <c r="L58" i="67"/>
  <c r="L59" i="67"/>
  <c r="B13" i="70"/>
  <c r="M7" i="67"/>
  <c r="F50" i="67"/>
  <c r="F63" i="67"/>
  <c r="C62" i="67"/>
  <c r="C34" i="67"/>
  <c r="J20" i="67"/>
  <c r="F68" i="67"/>
  <c r="F51" i="15"/>
  <c r="B12" i="70"/>
  <c r="F64" i="67"/>
  <c r="J20" i="15"/>
  <c r="B7" i="70"/>
  <c r="J57" i="67"/>
  <c r="J55" i="67"/>
  <c r="J58" i="67"/>
  <c r="Q50" i="67"/>
  <c r="L56" i="67"/>
  <c r="I54" i="67"/>
  <c r="F40" i="15"/>
  <c r="M24" i="15"/>
  <c r="S6" i="1"/>
  <c r="S7" i="1"/>
  <c r="S8" i="1"/>
  <c r="C14" i="67"/>
  <c r="M17" i="67"/>
  <c r="C17" i="67"/>
  <c r="C16" i="15"/>
  <c r="F35" i="15"/>
  <c r="M8" i="15"/>
  <c r="F31" i="67"/>
  <c r="T6" i="1"/>
  <c r="T7" i="1"/>
  <c r="T8" i="1"/>
  <c r="C14" i="15"/>
  <c r="F59" i="67"/>
  <c r="C16" i="67"/>
  <c r="C76" i="15"/>
  <c r="F43" i="15"/>
  <c r="F7" i="15"/>
  <c r="F31" i="15"/>
  <c r="M7" i="15"/>
  <c r="J6" i="15"/>
  <c r="C6" i="15"/>
  <c r="C32" i="15"/>
  <c r="F50" i="15"/>
  <c r="C49" i="15"/>
  <c r="F71" i="15"/>
  <c r="Q71" i="15"/>
  <c r="F63" i="15"/>
  <c r="C62" i="15"/>
  <c r="C34" i="15"/>
  <c r="F68" i="15"/>
  <c r="E12" i="71"/>
  <c r="E11" i="71"/>
  <c r="E10" i="71"/>
  <c r="E9" i="71"/>
  <c r="V13" i="71"/>
  <c r="W12" i="40"/>
  <c r="AC12" i="40"/>
  <c r="W25" i="35"/>
  <c r="AC25" i="35"/>
  <c r="AC31" i="34"/>
  <c r="W31" i="34"/>
  <c r="W40" i="40"/>
  <c r="AC40" i="40"/>
  <c r="AA25" i="37"/>
  <c r="S25" i="37"/>
  <c r="U31" i="40"/>
  <c r="AB31" i="40"/>
  <c r="AA33" i="36"/>
  <c r="S33" i="36"/>
  <c r="W13" i="39"/>
  <c r="AC13" i="39"/>
  <c r="H7" i="33"/>
  <c r="AC38" i="40"/>
  <c r="W38" i="40"/>
  <c r="W28" i="21"/>
  <c r="U47" i="34"/>
  <c r="AB47" i="34"/>
  <c r="S13" i="34"/>
  <c r="AA13" i="34"/>
  <c r="U40" i="40"/>
  <c r="AB40" i="40"/>
  <c r="AC44" i="39"/>
  <c r="W44" i="39"/>
  <c r="U9" i="34"/>
  <c r="AB9" i="34"/>
  <c r="W35" i="39"/>
  <c r="AC35" i="39"/>
  <c r="S26" i="35"/>
  <c r="AA26" i="35"/>
  <c r="AA14" i="39"/>
  <c r="S14" i="39"/>
  <c r="AA13" i="37"/>
  <c r="S13" i="37"/>
  <c r="AC31" i="40"/>
  <c r="W31" i="40"/>
  <c r="U31" i="21"/>
  <c r="E65" i="40"/>
  <c r="F63" i="40"/>
  <c r="AB13" i="39"/>
  <c r="U13" i="39"/>
  <c r="B12" i="71"/>
  <c r="B11" i="71"/>
  <c r="B10" i="71"/>
  <c r="B9" i="71"/>
  <c r="S13" i="71"/>
  <c r="N56" i="71"/>
  <c r="B55" i="71"/>
  <c r="AC12" i="36"/>
  <c r="W12" i="36"/>
  <c r="U27" i="37"/>
  <c r="AB27" i="37"/>
  <c r="W47" i="34"/>
  <c r="AC47" i="34"/>
  <c r="U43" i="39"/>
  <c r="AB43" i="39"/>
  <c r="B20" i="31"/>
  <c r="F7" i="33"/>
  <c r="F7" i="34"/>
  <c r="K15" i="1"/>
  <c r="D72" i="71"/>
  <c r="C71" i="71"/>
  <c r="D71" i="71"/>
  <c r="AA12" i="36"/>
  <c r="S12" i="36"/>
  <c r="U28" i="21"/>
  <c r="AA27" i="37"/>
  <c r="S27" i="37"/>
  <c r="U31" i="34"/>
  <c r="AB31" i="34"/>
  <c r="W13" i="34"/>
  <c r="AC13" i="34"/>
  <c r="U44" i="39"/>
  <c r="AB44" i="39"/>
  <c r="S9" i="34"/>
  <c r="AA9" i="34"/>
  <c r="W45" i="21"/>
  <c r="W14" i="33"/>
  <c r="AC14" i="33"/>
  <c r="S43" i="39"/>
  <c r="AA43" i="39"/>
  <c r="AC14" i="39"/>
  <c r="W14" i="39"/>
  <c r="AB34" i="36"/>
  <c r="U34" i="36"/>
  <c r="G30" i="6"/>
  <c r="G31" i="6"/>
  <c r="AA14" i="40"/>
  <c r="S14" i="40"/>
  <c r="W31" i="21"/>
  <c r="W33" i="36"/>
  <c r="AC33" i="36"/>
  <c r="W9" i="21"/>
  <c r="S13" i="39"/>
  <c r="AA13" i="39"/>
  <c r="M5" i="3"/>
  <c r="U45" i="39"/>
  <c r="AB45" i="39"/>
  <c r="AB35" i="39"/>
  <c r="U35" i="39"/>
  <c r="W13" i="37"/>
  <c r="AC13" i="37"/>
  <c r="S31" i="21"/>
  <c r="S9" i="21"/>
  <c r="H7" i="34"/>
  <c r="J7" i="33"/>
  <c r="W7" i="33"/>
  <c r="J7" i="34"/>
  <c r="T25" i="71"/>
  <c r="D25" i="71"/>
  <c r="S12" i="40"/>
  <c r="AA12" i="40"/>
  <c r="U12" i="36"/>
  <c r="AB12" i="36"/>
  <c r="U30" i="21"/>
  <c r="S45" i="39"/>
  <c r="AA45" i="39"/>
  <c r="AB25" i="35"/>
  <c r="U25" i="35"/>
  <c r="AC27" i="37"/>
  <c r="W27" i="37"/>
  <c r="S47" i="34"/>
  <c r="AA47" i="34"/>
  <c r="AA31" i="34"/>
  <c r="S31" i="34"/>
  <c r="U25" i="37"/>
  <c r="AB25" i="37"/>
  <c r="S45" i="21"/>
  <c r="AC44" i="33"/>
  <c r="W44" i="33"/>
  <c r="AC43" i="39"/>
  <c r="W43" i="39"/>
  <c r="U13" i="37"/>
  <c r="AB13" i="37"/>
  <c r="W34" i="36"/>
  <c r="AC34" i="36"/>
  <c r="W14" i="40"/>
  <c r="AC14" i="40"/>
  <c r="S31" i="40"/>
  <c r="AA31" i="40"/>
  <c r="AB14" i="40"/>
  <c r="U14" i="40"/>
  <c r="D70" i="39"/>
  <c r="E68" i="39"/>
  <c r="D20" i="53"/>
  <c r="B40" i="72"/>
  <c r="B38" i="72"/>
  <c r="AB33" i="36"/>
  <c r="U33" i="36"/>
  <c r="U9" i="21"/>
  <c r="D10" i="71"/>
  <c r="C9" i="71"/>
  <c r="G37" i="43"/>
  <c r="I37" i="43"/>
  <c r="C48" i="68"/>
  <c r="C30" i="68"/>
  <c r="C15" i="15"/>
  <c r="C18" i="15"/>
  <c r="K4" i="4"/>
  <c r="B46" i="48"/>
  <c r="B4" i="72"/>
  <c r="E34" i="43"/>
  <c r="G34" i="43"/>
  <c r="I34" i="43"/>
  <c r="E38" i="43"/>
  <c r="G38" i="43"/>
  <c r="I38" i="43"/>
  <c r="E35" i="43"/>
  <c r="G35" i="43"/>
  <c r="I35" i="43"/>
  <c r="G39" i="43"/>
  <c r="I39" i="43"/>
  <c r="E39" i="43"/>
  <c r="E36" i="43"/>
  <c r="G36" i="43"/>
  <c r="I36" i="43"/>
  <c r="U7" i="33"/>
  <c r="AB7" i="33"/>
  <c r="T48" i="33"/>
  <c r="G48" i="33"/>
  <c r="E52" i="37"/>
  <c r="AA7" i="33"/>
  <c r="R48" i="33"/>
  <c r="S7" i="33"/>
  <c r="E48" i="35"/>
  <c r="AA7" i="34"/>
  <c r="R49" i="34"/>
  <c r="S7" i="34"/>
  <c r="U7" i="21"/>
  <c r="G48" i="21"/>
  <c r="E46" i="36"/>
  <c r="F46" i="36"/>
  <c r="G46" i="36"/>
  <c r="H46" i="36"/>
  <c r="I46" i="36"/>
  <c r="J46" i="36"/>
  <c r="K46" i="36"/>
  <c r="L46" i="36"/>
  <c r="M46" i="36"/>
  <c r="N46" i="36"/>
  <c r="O46" i="36"/>
  <c r="J7" i="36"/>
  <c r="F7" i="36"/>
  <c r="I48" i="21"/>
  <c r="W7" i="21"/>
  <c r="AC7" i="34"/>
  <c r="V49" i="34"/>
  <c r="I49" i="34"/>
  <c r="W7" i="34"/>
  <c r="AB7" i="34"/>
  <c r="T49" i="34"/>
  <c r="G49" i="34"/>
  <c r="U7" i="34"/>
  <c r="C18" i="67"/>
  <c r="C15" i="67"/>
  <c r="Q73" i="67"/>
  <c r="Q60" i="67"/>
  <c r="Q74" i="67"/>
  <c r="Q61" i="67"/>
  <c r="J6" i="67"/>
  <c r="F11" i="67"/>
  <c r="F11" i="15"/>
  <c r="M11" i="67"/>
  <c r="J10" i="67"/>
  <c r="M11" i="15"/>
  <c r="B2" i="70"/>
  <c r="B3" i="70"/>
  <c r="C32" i="67"/>
  <c r="Q73" i="15"/>
  <c r="Q60" i="15"/>
  <c r="Q61" i="15"/>
  <c r="Q74" i="15"/>
  <c r="O28" i="43"/>
  <c r="N28" i="43"/>
  <c r="M28" i="43"/>
  <c r="P28" i="43"/>
  <c r="C49" i="67"/>
  <c r="M17" i="15"/>
  <c r="F59" i="15"/>
  <c r="C17" i="15"/>
  <c r="N54" i="71"/>
  <c r="N55" i="71"/>
  <c r="I4" i="6"/>
  <c r="G3" i="43"/>
  <c r="G63" i="40"/>
  <c r="F65" i="40"/>
  <c r="E8" i="71"/>
  <c r="E7" i="71"/>
  <c r="E6" i="71"/>
  <c r="E5" i="71"/>
  <c r="V9" i="71"/>
  <c r="AC7" i="33"/>
  <c r="V48" i="33"/>
  <c r="I48" i="33"/>
  <c r="H5" i="3"/>
  <c r="C8" i="71"/>
  <c r="T9" i="71"/>
  <c r="D9" i="71"/>
  <c r="U9" i="71"/>
  <c r="F68" i="39"/>
  <c r="E70" i="39"/>
  <c r="D7" i="12"/>
  <c r="C31" i="12"/>
  <c r="B8" i="71"/>
  <c r="B7" i="71"/>
  <c r="B6" i="71"/>
  <c r="B5" i="71"/>
  <c r="S9" i="71"/>
  <c r="C19" i="15"/>
  <c r="C20" i="15"/>
  <c r="C26" i="15"/>
  <c r="C19" i="67"/>
  <c r="C20" i="67"/>
  <c r="C26" i="67"/>
  <c r="G53" i="34"/>
  <c r="H53" i="34"/>
  <c r="G54" i="34"/>
  <c r="H54" i="34"/>
  <c r="I53" i="34"/>
  <c r="J53" i="34"/>
  <c r="E49" i="34"/>
  <c r="I54" i="34"/>
  <c r="J54" i="34"/>
  <c r="I52" i="21"/>
  <c r="J52" i="21"/>
  <c r="AC7" i="36"/>
  <c r="V36" i="36"/>
  <c r="I36" i="36"/>
  <c r="W7" i="36"/>
  <c r="G52" i="21"/>
  <c r="H52" i="21"/>
  <c r="G53" i="21"/>
  <c r="H53" i="21"/>
  <c r="I52" i="33"/>
  <c r="J52" i="33"/>
  <c r="S7" i="21"/>
  <c r="R50" i="34"/>
  <c r="F48" i="35"/>
  <c r="G48" i="35"/>
  <c r="H48" i="35"/>
  <c r="I48" i="35"/>
  <c r="J48" i="35"/>
  <c r="K48" i="35"/>
  <c r="L48" i="35"/>
  <c r="M48" i="35"/>
  <c r="N48" i="35"/>
  <c r="O48" i="35"/>
  <c r="J7" i="35"/>
  <c r="G52" i="33"/>
  <c r="H52" i="33"/>
  <c r="G53" i="33"/>
  <c r="H53" i="33"/>
  <c r="H7" i="36"/>
  <c r="S7" i="36"/>
  <c r="AA7" i="36"/>
  <c r="R36" i="36"/>
  <c r="H7" i="35"/>
  <c r="R49" i="33"/>
  <c r="E48" i="33"/>
  <c r="I53" i="33"/>
  <c r="J53" i="33"/>
  <c r="F52" i="37"/>
  <c r="C53" i="15"/>
  <c r="C48" i="15"/>
  <c r="C10" i="15"/>
  <c r="C5" i="15"/>
  <c r="J18" i="15"/>
  <c r="J10" i="15"/>
  <c r="J5" i="15"/>
  <c r="C10" i="67"/>
  <c r="C5" i="67"/>
  <c r="C53" i="67"/>
  <c r="C48" i="67"/>
  <c r="J18" i="67"/>
  <c r="J5" i="67"/>
  <c r="F24" i="15"/>
  <c r="C24" i="15"/>
  <c r="F22" i="69"/>
  <c r="F24" i="67"/>
  <c r="C24" i="67"/>
  <c r="F22" i="11"/>
  <c r="C7" i="71"/>
  <c r="D8" i="71"/>
  <c r="G68" i="39"/>
  <c r="F70" i="39"/>
  <c r="H63" i="40"/>
  <c r="G65" i="40"/>
  <c r="F7" i="35"/>
  <c r="E15" i="3"/>
  <c r="H16" i="1"/>
  <c r="AP8" i="1"/>
  <c r="C36" i="69"/>
  <c r="J101" i="43"/>
  <c r="M101" i="43"/>
  <c r="AH11" i="43"/>
  <c r="AH13" i="43"/>
  <c r="Z11" i="43"/>
  <c r="Z13" i="43"/>
  <c r="AE11" i="43"/>
  <c r="AE13" i="43"/>
  <c r="F22" i="43"/>
  <c r="E22" i="43"/>
  <c r="J22" i="43"/>
  <c r="B113" i="43"/>
  <c r="N104" i="46"/>
  <c r="I101" i="43"/>
  <c r="AF11" i="43"/>
  <c r="AF13" i="43"/>
  <c r="Z7" i="43"/>
  <c r="AC11" i="43"/>
  <c r="AC13" i="43"/>
  <c r="K101" i="43"/>
  <c r="L101" i="43"/>
  <c r="C101" i="43"/>
  <c r="D101" i="43"/>
  <c r="AJ11" i="43"/>
  <c r="AJ13" i="43"/>
  <c r="AB11" i="43"/>
  <c r="AB13" i="43"/>
  <c r="AG11" i="43"/>
  <c r="AG13" i="43"/>
  <c r="Y11" i="43"/>
  <c r="Y13" i="43"/>
  <c r="N101" i="43"/>
  <c r="G101" i="43"/>
  <c r="H22" i="43"/>
  <c r="E101" i="43"/>
  <c r="AD11" i="43"/>
  <c r="AD13" i="43"/>
  <c r="AI11" i="43"/>
  <c r="AI13" i="43"/>
  <c r="AA11" i="43"/>
  <c r="AA13" i="43"/>
  <c r="F101" i="43"/>
  <c r="H101" i="43"/>
  <c r="G22" i="43"/>
  <c r="E11" i="6"/>
  <c r="E12" i="6"/>
  <c r="E14" i="6"/>
  <c r="E15" i="6"/>
  <c r="E13" i="6"/>
  <c r="E10" i="6"/>
  <c r="C23" i="15"/>
  <c r="C29" i="15"/>
  <c r="C36" i="15"/>
  <c r="AB7" i="36"/>
  <c r="T36" i="36"/>
  <c r="G36" i="36"/>
  <c r="U7" i="36"/>
  <c r="AC7" i="35"/>
  <c r="V38" i="35"/>
  <c r="I38" i="35"/>
  <c r="W7" i="35"/>
  <c r="C49" i="34"/>
  <c r="C50" i="34"/>
  <c r="G52" i="37"/>
  <c r="H52" i="37"/>
  <c r="I52" i="37"/>
  <c r="J52" i="37"/>
  <c r="K52" i="37"/>
  <c r="L52" i="37"/>
  <c r="M52" i="37"/>
  <c r="N52" i="37"/>
  <c r="O52" i="37"/>
  <c r="F7" i="37"/>
  <c r="C48" i="33"/>
  <c r="C49" i="33"/>
  <c r="E36" i="36"/>
  <c r="I41" i="36"/>
  <c r="J41" i="36"/>
  <c r="R37" i="36"/>
  <c r="H7" i="37"/>
  <c r="E53" i="33"/>
  <c r="F53" i="33"/>
  <c r="E52" i="33"/>
  <c r="F52" i="33"/>
  <c r="AB7" i="35"/>
  <c r="T38" i="35"/>
  <c r="G38" i="35"/>
  <c r="U7" i="35"/>
  <c r="AA7" i="35"/>
  <c r="R38" i="35"/>
  <c r="S7" i="35"/>
  <c r="E54" i="34"/>
  <c r="F54" i="34"/>
  <c r="E53" i="34"/>
  <c r="F53" i="34"/>
  <c r="E48" i="21"/>
  <c r="I40" i="36"/>
  <c r="J40" i="36"/>
  <c r="C23" i="67"/>
  <c r="C29" i="67"/>
  <c r="J26" i="15"/>
  <c r="J29" i="15"/>
  <c r="J24" i="15"/>
  <c r="C44" i="69"/>
  <c r="D41" i="69"/>
  <c r="C26" i="69"/>
  <c r="D22" i="69"/>
  <c r="J26" i="67"/>
  <c r="J29" i="67"/>
  <c r="J24" i="67"/>
  <c r="C38" i="67"/>
  <c r="C38" i="15"/>
  <c r="C66" i="67"/>
  <c r="C60" i="67"/>
  <c r="C66" i="15"/>
  <c r="C60" i="15"/>
  <c r="M107" i="43"/>
  <c r="M103" i="43"/>
  <c r="M102" i="43"/>
  <c r="M105" i="43"/>
  <c r="M106" i="43"/>
  <c r="M109" i="43"/>
  <c r="M104" i="43"/>
  <c r="K26" i="6"/>
  <c r="M26" i="6"/>
  <c r="I26" i="6"/>
  <c r="S26" i="6"/>
  <c r="K22" i="6"/>
  <c r="M22" i="6"/>
  <c r="I22" i="6"/>
  <c r="S22" i="6"/>
  <c r="K25" i="6"/>
  <c r="M25" i="6"/>
  <c r="I25" i="6"/>
  <c r="S25" i="6"/>
  <c r="K23" i="6"/>
  <c r="M23" i="6"/>
  <c r="I23" i="6"/>
  <c r="S23" i="6"/>
  <c r="K24" i="6"/>
  <c r="M24" i="6"/>
  <c r="I24" i="6"/>
  <c r="S24" i="6"/>
  <c r="K21" i="6"/>
  <c r="E61" i="39"/>
  <c r="E56" i="40"/>
  <c r="F107" i="43"/>
  <c r="F105" i="43"/>
  <c r="F106" i="43"/>
  <c r="F109" i="43"/>
  <c r="F103" i="43"/>
  <c r="F104" i="43"/>
  <c r="F102" i="43"/>
  <c r="E104" i="43"/>
  <c r="E106" i="43"/>
  <c r="E107" i="43"/>
  <c r="E102" i="43"/>
  <c r="E105" i="43"/>
  <c r="E103" i="43"/>
  <c r="E109" i="43"/>
  <c r="D107" i="43"/>
  <c r="D109" i="43"/>
  <c r="D105" i="43"/>
  <c r="D103" i="43"/>
  <c r="D106" i="43"/>
  <c r="D104" i="43"/>
  <c r="D102" i="43"/>
  <c r="C106" i="43"/>
  <c r="C104" i="43"/>
  <c r="C105" i="43"/>
  <c r="C107" i="43"/>
  <c r="C102" i="43"/>
  <c r="C103" i="43"/>
  <c r="C109" i="43"/>
  <c r="D118" i="43"/>
  <c r="E118" i="43"/>
  <c r="F118" i="43"/>
  <c r="I115" i="43"/>
  <c r="J115" i="43"/>
  <c r="K115" i="43"/>
  <c r="L115" i="43"/>
  <c r="M115" i="43"/>
  <c r="B118" i="43"/>
  <c r="C118" i="43"/>
  <c r="D115" i="43"/>
  <c r="E115" i="43"/>
  <c r="F115" i="43"/>
  <c r="G115" i="43"/>
  <c r="H115" i="43"/>
  <c r="D116" i="43"/>
  <c r="E116" i="43"/>
  <c r="F116" i="43"/>
  <c r="G116" i="43"/>
  <c r="H116" i="43"/>
  <c r="I117" i="43"/>
  <c r="J117" i="43"/>
  <c r="K117" i="43"/>
  <c r="L117" i="43"/>
  <c r="M117" i="43"/>
  <c r="G118" i="43"/>
  <c r="H118" i="43"/>
  <c r="B117" i="43"/>
  <c r="C117" i="43"/>
  <c r="B115" i="43"/>
  <c r="C115" i="43"/>
  <c r="D117" i="43"/>
  <c r="E117" i="43"/>
  <c r="F117" i="43"/>
  <c r="G117" i="43"/>
  <c r="H117" i="43"/>
  <c r="B116" i="43"/>
  <c r="C116" i="43"/>
  <c r="I118" i="43"/>
  <c r="J118" i="43"/>
  <c r="K118" i="43"/>
  <c r="L118" i="43"/>
  <c r="M118" i="43"/>
  <c r="I116" i="43"/>
  <c r="J116" i="43"/>
  <c r="K116" i="43"/>
  <c r="L116" i="43"/>
  <c r="M116" i="43"/>
  <c r="J106" i="43"/>
  <c r="J109" i="43"/>
  <c r="J104" i="43"/>
  <c r="J103" i="43"/>
  <c r="J105" i="43"/>
  <c r="J107" i="43"/>
  <c r="J102" i="43"/>
  <c r="I63" i="40"/>
  <c r="H65" i="40"/>
  <c r="E57" i="40"/>
  <c r="E62" i="39"/>
  <c r="G105" i="43"/>
  <c r="G106" i="43"/>
  <c r="G102" i="43"/>
  <c r="G107" i="43"/>
  <c r="G103" i="43"/>
  <c r="G109" i="43"/>
  <c r="G104" i="43"/>
  <c r="L102" i="43"/>
  <c r="L107" i="43"/>
  <c r="L109" i="43"/>
  <c r="L105" i="43"/>
  <c r="L103" i="43"/>
  <c r="L106" i="43"/>
  <c r="L104" i="43"/>
  <c r="C34" i="69"/>
  <c r="C6" i="71"/>
  <c r="D7" i="71"/>
  <c r="E60" i="40"/>
  <c r="E65" i="39"/>
  <c r="E64" i="39"/>
  <c r="E59" i="40"/>
  <c r="D9" i="11"/>
  <c r="C9" i="11"/>
  <c r="D9" i="69"/>
  <c r="J7" i="37"/>
  <c r="E58" i="40"/>
  <c r="E63" i="39"/>
  <c r="E51" i="40"/>
  <c r="E16" i="6"/>
  <c r="E56" i="39"/>
  <c r="E66" i="39"/>
  <c r="H107" i="43"/>
  <c r="H102" i="43"/>
  <c r="H106" i="43"/>
  <c r="H104" i="43"/>
  <c r="H105" i="43"/>
  <c r="H109" i="43"/>
  <c r="H103" i="43"/>
  <c r="N106" i="43"/>
  <c r="N109" i="43"/>
  <c r="N107" i="43"/>
  <c r="N102" i="43"/>
  <c r="N105" i="43"/>
  <c r="N104" i="43"/>
  <c r="N103" i="43"/>
  <c r="K106" i="43"/>
  <c r="K109" i="43"/>
  <c r="K103" i="43"/>
  <c r="K102" i="43"/>
  <c r="K107" i="43"/>
  <c r="K105" i="43"/>
  <c r="K104" i="43"/>
  <c r="I109" i="43"/>
  <c r="I105" i="43"/>
  <c r="I104" i="43"/>
  <c r="I102" i="43"/>
  <c r="I103" i="43"/>
  <c r="I107" i="43"/>
  <c r="I106" i="43"/>
  <c r="D22" i="43"/>
  <c r="M16" i="1"/>
  <c r="E247" i="3"/>
  <c r="E339" i="3"/>
  <c r="E218" i="3"/>
  <c r="E203" i="3"/>
  <c r="E147" i="3"/>
  <c r="E59" i="3"/>
  <c r="E50" i="3"/>
  <c r="E52" i="3"/>
  <c r="E101" i="3"/>
  <c r="E194" i="3"/>
  <c r="E62" i="3"/>
  <c r="E219" i="3"/>
  <c r="E524" i="3"/>
  <c r="AQ6" i="3"/>
  <c r="E195" i="3"/>
  <c r="E55" i="3"/>
  <c r="E326" i="3"/>
  <c r="E113" i="3"/>
  <c r="E370" i="3"/>
  <c r="E49" i="3"/>
  <c r="E522" i="3"/>
  <c r="E235" i="3"/>
  <c r="E138" i="3"/>
  <c r="E389" i="3"/>
  <c r="E520" i="3"/>
  <c r="E82" i="3"/>
  <c r="E323" i="3"/>
  <c r="E179" i="3"/>
  <c r="E19" i="3"/>
  <c r="Y6" i="3"/>
  <c r="E284" i="3"/>
  <c r="E127" i="3"/>
  <c r="E48" i="3"/>
  <c r="E66" i="3"/>
  <c r="E354" i="3"/>
  <c r="E307" i="3"/>
  <c r="E209" i="3"/>
  <c r="E163" i="3"/>
  <c r="E46" i="3"/>
  <c r="E110" i="3"/>
  <c r="E378" i="3"/>
  <c r="E146" i="3"/>
  <c r="E374" i="3"/>
  <c r="E64" i="3"/>
  <c r="E441" i="3"/>
  <c r="E44" i="3"/>
  <c r="E384" i="3"/>
  <c r="E208" i="3"/>
  <c r="E54" i="3"/>
  <c r="E460" i="3"/>
  <c r="E398" i="3"/>
  <c r="E338" i="3"/>
  <c r="E221" i="3"/>
  <c r="T6" i="3"/>
  <c r="E449" i="3"/>
  <c r="E554" i="3"/>
  <c r="E401" i="3"/>
  <c r="E40" i="3"/>
  <c r="E108" i="3"/>
  <c r="E119" i="3"/>
  <c r="E242" i="3"/>
  <c r="E276" i="3"/>
  <c r="E357" i="3"/>
  <c r="E14" i="3"/>
  <c r="E31" i="3"/>
  <c r="E93" i="3"/>
  <c r="E75" i="3"/>
  <c r="E473" i="3"/>
  <c r="E455" i="3"/>
  <c r="E38" i="3"/>
  <c r="E170" i="3"/>
  <c r="E431" i="3"/>
  <c r="E418" i="3"/>
  <c r="E180" i="3"/>
  <c r="E105" i="3"/>
  <c r="E543" i="3"/>
  <c r="P6" i="3"/>
  <c r="E443" i="3"/>
  <c r="E558" i="3"/>
  <c r="E581" i="3"/>
  <c r="E444" i="3"/>
  <c r="E417" i="3"/>
  <c r="E479" i="3"/>
  <c r="E56" i="3"/>
  <c r="E37" i="3"/>
  <c r="E95" i="3"/>
  <c r="E152" i="3"/>
  <c r="E132" i="3"/>
  <c r="E192" i="3"/>
  <c r="E258" i="3"/>
  <c r="E241" i="3"/>
  <c r="E292" i="3"/>
  <c r="E553" i="3"/>
  <c r="N6" i="3"/>
  <c r="E555" i="3"/>
  <c r="E337" i="3"/>
  <c r="E311" i="3"/>
  <c r="E570" i="3"/>
  <c r="AB6" i="3"/>
  <c r="E335" i="3"/>
  <c r="E189" i="3"/>
  <c r="E148" i="3"/>
  <c r="E207" i="3"/>
  <c r="E271" i="3"/>
  <c r="E145" i="3"/>
  <c r="E107" i="3"/>
  <c r="E379" i="3"/>
  <c r="E585" i="3"/>
  <c r="U6" i="3"/>
  <c r="E515" i="3"/>
  <c r="E411" i="3"/>
  <c r="E478" i="3"/>
  <c r="E501" i="3"/>
  <c r="E239" i="3"/>
  <c r="E229" i="3"/>
  <c r="AR6" i="3"/>
  <c r="E380" i="3"/>
  <c r="E135" i="3"/>
  <c r="E120" i="3"/>
  <c r="E177" i="3"/>
  <c r="E330" i="3"/>
  <c r="Q6" i="3"/>
  <c r="E437" i="3"/>
  <c r="E481" i="3"/>
  <c r="E406" i="3"/>
  <c r="E424" i="3"/>
  <c r="E465" i="3"/>
  <c r="E344" i="3"/>
  <c r="E587" i="3"/>
  <c r="AE6" i="3"/>
  <c r="E577" i="3"/>
  <c r="E429" i="3"/>
  <c r="E468" i="3"/>
  <c r="E496" i="3"/>
  <c r="E261" i="3"/>
  <c r="E528" i="3"/>
  <c r="E183" i="3"/>
  <c r="E361" i="3"/>
  <c r="E503" i="3"/>
  <c r="E347" i="3"/>
  <c r="AA6" i="3"/>
  <c r="E399" i="3"/>
  <c r="E280" i="3"/>
  <c r="E124" i="3"/>
  <c r="E397" i="3"/>
  <c r="E568" i="3"/>
  <c r="I6" i="3"/>
  <c r="E536" i="3"/>
  <c r="E549" i="3"/>
  <c r="E453" i="3"/>
  <c r="E368" i="3"/>
  <c r="E244" i="3"/>
  <c r="E196" i="3"/>
  <c r="E156" i="3"/>
  <c r="E53" i="3"/>
  <c r="E319" i="3"/>
  <c r="E500" i="3"/>
  <c r="E274" i="3"/>
  <c r="AF6" i="3"/>
  <c r="E35" i="3"/>
  <c r="E76" i="3"/>
  <c r="E264" i="3"/>
  <c r="E355" i="3"/>
  <c r="E371" i="3"/>
  <c r="E375" i="3"/>
  <c r="S6" i="3"/>
  <c r="E109" i="3"/>
  <c r="E279" i="3"/>
  <c r="E140" i="3"/>
  <c r="E525" i="3"/>
  <c r="E491" i="3"/>
  <c r="E198" i="3"/>
  <c r="E333" i="3"/>
  <c r="E43" i="3"/>
  <c r="E96" i="3"/>
  <c r="E91" i="3"/>
  <c r="E564" i="3"/>
  <c r="E547" i="3"/>
  <c r="E71" i="3"/>
  <c r="E126" i="3"/>
  <c r="E291" i="3"/>
  <c r="O6" i="3"/>
  <c r="E97" i="3"/>
  <c r="E230" i="3"/>
  <c r="E149" i="3"/>
  <c r="E312" i="3"/>
  <c r="E464" i="3"/>
  <c r="E396" i="3"/>
  <c r="E117" i="3"/>
  <c r="E529" i="3"/>
  <c r="E451" i="3"/>
  <c r="E13" i="3"/>
  <c r="E395" i="3"/>
  <c r="E545" i="3"/>
  <c r="E205" i="3"/>
  <c r="AI6" i="3"/>
  <c r="E382" i="3"/>
  <c r="E191" i="3"/>
  <c r="E340" i="3"/>
  <c r="E65" i="3"/>
  <c r="E265" i="3"/>
  <c r="E289" i="3"/>
  <c r="E325" i="3"/>
  <c r="E446" i="3"/>
  <c r="E534" i="3"/>
  <c r="E308" i="3"/>
  <c r="E80" i="3"/>
  <c r="E251" i="3"/>
  <c r="E34" i="3"/>
  <c r="E342" i="3"/>
  <c r="E275" i="3"/>
  <c r="E98" i="3"/>
  <c r="E363" i="3"/>
  <c r="E416" i="3"/>
  <c r="E513" i="3"/>
  <c r="E283" i="3"/>
  <c r="E118" i="3"/>
  <c r="E63" i="3"/>
  <c r="E381" i="3"/>
  <c r="E233" i="3"/>
  <c r="E144" i="3"/>
  <c r="E67" i="3"/>
  <c r="E23" i="3"/>
  <c r="E310" i="3"/>
  <c r="E300" i="3"/>
  <c r="E267" i="3"/>
  <c r="E142" i="3"/>
  <c r="E47" i="3"/>
  <c r="E58" i="3"/>
  <c r="E348" i="3"/>
  <c r="E106" i="3"/>
  <c r="E469" i="3"/>
  <c r="E467" i="3"/>
  <c r="E480" i="3"/>
  <c r="E351" i="3"/>
  <c r="E150" i="3"/>
  <c r="E72" i="3"/>
  <c r="E582" i="3"/>
  <c r="E405" i="3"/>
  <c r="E579" i="3"/>
  <c r="E223" i="3"/>
  <c r="E456" i="3"/>
  <c r="E255" i="3"/>
  <c r="E517" i="3"/>
  <c r="E420" i="3"/>
  <c r="E104" i="3"/>
  <c r="E115" i="3"/>
  <c r="E139" i="3"/>
  <c r="E281" i="3"/>
  <c r="E332" i="3"/>
  <c r="E391" i="3"/>
  <c r="E356" i="3"/>
  <c r="AL6" i="3"/>
  <c r="E42" i="3"/>
  <c r="E94" i="3"/>
  <c r="E488" i="3"/>
  <c r="E18" i="3"/>
  <c r="E78" i="3"/>
  <c r="E190" i="3"/>
  <c r="E201" i="3"/>
  <c r="E321" i="3"/>
  <c r="E85" i="3"/>
  <c r="E393" i="3"/>
  <c r="E427" i="3"/>
  <c r="E414" i="3"/>
  <c r="E477" i="3"/>
  <c r="E505" i="3"/>
  <c r="AS6" i="3"/>
  <c r="E476" i="3"/>
  <c r="E404" i="3"/>
  <c r="E28" i="3"/>
  <c r="E88" i="3"/>
  <c r="E70" i="3"/>
  <c r="E121" i="3"/>
  <c r="E182" i="3"/>
  <c r="E166" i="3"/>
  <c r="E211" i="3"/>
  <c r="E295" i="3"/>
  <c r="E273" i="3"/>
  <c r="E316" i="3"/>
  <c r="E268" i="3"/>
  <c r="AJ6" i="3"/>
  <c r="E574" i="3"/>
  <c r="E285" i="3"/>
  <c r="E358" i="3"/>
  <c r="E551" i="3"/>
  <c r="E407" i="3"/>
  <c r="E294" i="3"/>
  <c r="E130" i="3"/>
  <c r="E228" i="3"/>
  <c r="E157" i="3"/>
  <c r="E77" i="3"/>
  <c r="E253" i="3"/>
  <c r="E199" i="3"/>
  <c r="E286" i="3"/>
  <c r="E575" i="3"/>
  <c r="E499" i="3"/>
  <c r="R6" i="3"/>
  <c r="E502" i="3"/>
  <c r="E442" i="3"/>
  <c r="E466" i="3"/>
  <c r="E153" i="3"/>
  <c r="E516" i="3"/>
  <c r="E151" i="3"/>
  <c r="E561" i="3"/>
  <c r="E231" i="3"/>
  <c r="E290" i="3"/>
  <c r="E45" i="3"/>
  <c r="E193" i="3"/>
  <c r="E519" i="3"/>
  <c r="E573" i="3"/>
  <c r="E458" i="3"/>
  <c r="E507" i="3"/>
  <c r="E422" i="3"/>
  <c r="E440" i="3"/>
  <c r="E490" i="3"/>
  <c r="E376" i="3"/>
  <c r="AH6" i="3"/>
  <c r="J6" i="3"/>
  <c r="E498" i="3"/>
  <c r="E419" i="3"/>
  <c r="E483" i="3"/>
  <c r="E69" i="3"/>
  <c r="E278" i="3"/>
  <c r="E563" i="3"/>
  <c r="E172" i="3"/>
  <c r="E445" i="3"/>
  <c r="E535" i="3"/>
  <c r="E539" i="3"/>
  <c r="E567" i="3"/>
  <c r="E461" i="3"/>
  <c r="E227" i="3"/>
  <c r="E165" i="3"/>
  <c r="E353" i="3"/>
  <c r="E495" i="3"/>
  <c r="AN6" i="3"/>
  <c r="E586" i="3"/>
  <c r="E402" i="3"/>
  <c r="E350" i="3"/>
  <c r="E303" i="3"/>
  <c r="E159" i="3"/>
  <c r="E99" i="3"/>
  <c r="E125" i="3"/>
  <c r="E365" i="3"/>
  <c r="E20" i="3"/>
  <c r="E234" i="3"/>
  <c r="E22" i="3"/>
  <c r="E206" i="3"/>
  <c r="E174" i="3"/>
  <c r="E73" i="3"/>
  <c r="E309" i="3"/>
  <c r="E68" i="3"/>
  <c r="E184" i="3"/>
  <c r="E84" i="3"/>
  <c r="E249" i="3"/>
  <c r="E200" i="3"/>
  <c r="E540" i="3"/>
  <c r="E171" i="3"/>
  <c r="E484" i="3"/>
  <c r="E377" i="3"/>
  <c r="E111" i="3"/>
  <c r="E459" i="3"/>
  <c r="E26" i="3"/>
  <c r="E225" i="3"/>
  <c r="E346" i="3"/>
  <c r="L6" i="3"/>
  <c r="E60" i="3"/>
  <c r="E412" i="3"/>
  <c r="E129" i="3"/>
  <c r="E509" i="3"/>
  <c r="E116" i="3"/>
  <c r="E432" i="3"/>
  <c r="E367" i="3"/>
  <c r="E546" i="3"/>
  <c r="E447" i="3"/>
  <c r="E92" i="3"/>
  <c r="E162" i="3"/>
  <c r="E272" i="3"/>
  <c r="E359" i="3"/>
  <c r="V6" i="3"/>
  <c r="E320" i="3"/>
  <c r="E181" i="3"/>
  <c r="E212" i="3"/>
  <c r="E141" i="3"/>
  <c r="AD6" i="3"/>
  <c r="E552" i="3"/>
  <c r="E421" i="3"/>
  <c r="E328" i="3"/>
  <c r="E439" i="3"/>
  <c r="E185" i="3"/>
  <c r="E313" i="3"/>
  <c r="E532" i="3"/>
  <c r="E512" i="3"/>
  <c r="E408" i="3"/>
  <c r="E556" i="3"/>
  <c r="E494" i="3"/>
  <c r="E452" i="3"/>
  <c r="E260" i="3"/>
  <c r="E329" i="3"/>
  <c r="E352" i="3"/>
  <c r="E128" i="3"/>
  <c r="E518" i="3"/>
  <c r="E423" i="3"/>
  <c r="E263" i="3"/>
  <c r="E188" i="3"/>
  <c r="E217" i="3"/>
  <c r="E112" i="3"/>
  <c r="E349" i="3"/>
  <c r="E176" i="3"/>
  <c r="E123" i="3"/>
  <c r="E299" i="3"/>
  <c r="E544" i="3"/>
  <c r="E83" i="3"/>
  <c r="E287" i="3"/>
  <c r="E102" i="3"/>
  <c r="E232" i="3"/>
  <c r="E86" i="3"/>
  <c r="E383" i="3"/>
  <c r="E220" i="3"/>
  <c r="E462" i="3"/>
  <c r="E256" i="3"/>
  <c r="E373" i="3"/>
  <c r="E222" i="3"/>
  <c r="E154" i="3"/>
  <c r="E51" i="3"/>
  <c r="E341" i="3"/>
  <c r="E250" i="3"/>
  <c r="E87" i="3"/>
  <c r="E24" i="3"/>
  <c r="E584" i="3"/>
  <c r="E386" i="3"/>
  <c r="E266" i="3"/>
  <c r="E248" i="3"/>
  <c r="E160" i="3"/>
  <c r="E521" i="3"/>
  <c r="E504" i="3"/>
  <c r="E214" i="3"/>
  <c r="E454" i="3"/>
  <c r="E197" i="3"/>
  <c r="E425" i="3"/>
  <c r="E29" i="3"/>
  <c r="AM6" i="3"/>
  <c r="E317" i="3"/>
  <c r="E257" i="3"/>
  <c r="E168" i="3"/>
  <c r="E475" i="3"/>
  <c r="E369" i="3"/>
  <c r="E506" i="3"/>
  <c r="E173" i="3"/>
  <c r="E541" i="3"/>
  <c r="I3" i="6"/>
  <c r="E435" i="3"/>
  <c r="E463" i="3"/>
  <c r="E25" i="3"/>
  <c r="E178" i="3"/>
  <c r="E202" i="3"/>
  <c r="E226" i="3"/>
  <c r="E315" i="3"/>
  <c r="E394" i="3"/>
  <c r="E362" i="3"/>
  <c r="E580" i="3"/>
  <c r="E74" i="3"/>
  <c r="E32" i="3"/>
  <c r="E409" i="3"/>
  <c r="E79" i="3"/>
  <c r="E100" i="3"/>
  <c r="E137" i="3"/>
  <c r="E508" i="3"/>
  <c r="E390" i="3"/>
  <c r="E169" i="3"/>
  <c r="E238" i="3"/>
  <c r="E493" i="3"/>
  <c r="E486" i="3"/>
  <c r="E400" i="3"/>
  <c r="E345" i="3"/>
  <c r="E557" i="3"/>
  <c r="E531" i="3"/>
  <c r="E489" i="3"/>
  <c r="E436" i="3"/>
  <c r="E39" i="3"/>
  <c r="E90" i="3"/>
  <c r="E57" i="3"/>
  <c r="E131" i="3"/>
  <c r="E187" i="3"/>
  <c r="E155" i="3"/>
  <c r="E240" i="3"/>
  <c r="E297" i="3"/>
  <c r="E259" i="3"/>
  <c r="E305" i="3"/>
  <c r="E282" i="3"/>
  <c r="E388" i="3"/>
  <c r="E410" i="3"/>
  <c r="E143" i="3"/>
  <c r="E514" i="3"/>
  <c r="E387" i="3"/>
  <c r="E215" i="3"/>
  <c r="E134" i="3"/>
  <c r="E269" i="3"/>
  <c r="E89" i="3"/>
  <c r="E252" i="3"/>
  <c r="E204" i="3"/>
  <c r="E164" i="3"/>
  <c r="E327" i="3"/>
  <c r="E576" i="3"/>
  <c r="Z6" i="3"/>
  <c r="AG6" i="3"/>
  <c r="AO6" i="3"/>
  <c r="E448" i="3"/>
  <c r="E485" i="3"/>
  <c r="E426" i="3"/>
  <c r="E569" i="3"/>
  <c r="E270" i="3"/>
  <c r="E538" i="3"/>
  <c r="E216" i="3"/>
  <c r="E161" i="3"/>
  <c r="E277" i="3"/>
  <c r="E133" i="3"/>
  <c r="K6" i="3"/>
  <c r="E560" i="3"/>
  <c r="E472" i="3"/>
  <c r="E527" i="3"/>
  <c r="E438" i="3"/>
  <c r="E457" i="3"/>
  <c r="E288" i="3"/>
  <c r="E562" i="3"/>
  <c r="W6" i="3"/>
  <c r="E571" i="3"/>
  <c r="E537" i="3"/>
  <c r="E450" i="3"/>
  <c r="E471" i="3"/>
  <c r="E237" i="3"/>
  <c r="E304" i="3"/>
  <c r="E565" i="3"/>
  <c r="E213" i="3"/>
  <c r="E17" i="3"/>
  <c r="E302" i="3"/>
  <c r="E583" i="3"/>
  <c r="X6" i="3"/>
  <c r="E336" i="3"/>
  <c r="E246" i="3"/>
  <c r="E293" i="3"/>
  <c r="E314" i="3"/>
  <c r="E511" i="3"/>
  <c r="E16" i="3"/>
  <c r="AK6" i="3"/>
  <c r="E434" i="3"/>
  <c r="E306" i="3"/>
  <c r="E296" i="3"/>
  <c r="E262" i="3"/>
  <c r="E136" i="3"/>
  <c r="E236" i="3"/>
  <c r="E175" i="3"/>
  <c r="E530" i="3"/>
  <c r="E392" i="3"/>
  <c r="E36" i="3"/>
  <c r="E158" i="3"/>
  <c r="E324" i="3"/>
  <c r="E21" i="3"/>
  <c r="E81" i="3"/>
  <c r="E33" i="3"/>
  <c r="E492" i="3"/>
  <c r="E103" i="3"/>
  <c r="E413" i="3"/>
  <c r="E572" i="3"/>
  <c r="E433" i="3"/>
  <c r="E298" i="3"/>
  <c r="E430" i="3"/>
  <c r="AP6" i="3"/>
  <c r="E41" i="3"/>
  <c r="E243" i="3"/>
  <c r="E372" i="3"/>
  <c r="E428" i="3"/>
  <c r="E523" i="3"/>
  <c r="E548" i="3"/>
  <c r="E403" i="3"/>
  <c r="E27" i="3"/>
  <c r="E186" i="3"/>
  <c r="E210" i="3"/>
  <c r="E322" i="3"/>
  <c r="E559" i="3"/>
  <c r="E254" i="3"/>
  <c r="E167" i="3"/>
  <c r="E542" i="3"/>
  <c r="E487" i="3"/>
  <c r="E533" i="3"/>
  <c r="E224" i="3"/>
  <c r="E474" i="3"/>
  <c r="E360" i="3"/>
  <c r="E497" i="3"/>
  <c r="E470" i="3"/>
  <c r="E114" i="3"/>
  <c r="E415" i="3"/>
  <c r="E550" i="3"/>
  <c r="E510" i="3"/>
  <c r="E385" i="3"/>
  <c r="E578" i="3"/>
  <c r="E245" i="3"/>
  <c r="E526" i="3"/>
  <c r="E334" i="3"/>
  <c r="E364" i="3"/>
  <c r="E482" i="3"/>
  <c r="E61" i="3"/>
  <c r="E566" i="3"/>
  <c r="E331" i="3"/>
  <c r="E122" i="3"/>
  <c r="E30" i="3"/>
  <c r="E366" i="3"/>
  <c r="E301" i="3"/>
  <c r="E343" i="3"/>
  <c r="E318" i="3"/>
  <c r="M6" i="3"/>
  <c r="G70" i="39"/>
  <c r="H68" i="39"/>
  <c r="K16" i="1"/>
  <c r="Q49" i="15"/>
  <c r="J14" i="15"/>
  <c r="J13" i="15"/>
  <c r="J23" i="15"/>
  <c r="C57" i="15"/>
  <c r="C61" i="15"/>
  <c r="C59" i="15"/>
  <c r="J19" i="15"/>
  <c r="J17" i="15"/>
  <c r="J59" i="15"/>
  <c r="C33" i="15"/>
  <c r="C31" i="15"/>
  <c r="C13" i="15"/>
  <c r="C56" i="15"/>
  <c r="C65" i="15"/>
  <c r="E52" i="21"/>
  <c r="F52" i="21"/>
  <c r="E53" i="21"/>
  <c r="F53" i="21"/>
  <c r="I53" i="21"/>
  <c r="J53" i="21"/>
  <c r="U7" i="37"/>
  <c r="AB7" i="37"/>
  <c r="T42" i="37"/>
  <c r="G42" i="37"/>
  <c r="E40" i="36"/>
  <c r="F40" i="36"/>
  <c r="E41" i="36"/>
  <c r="F41" i="36"/>
  <c r="S7" i="37"/>
  <c r="AA7" i="37"/>
  <c r="R42" i="37"/>
  <c r="C48" i="21"/>
  <c r="R39" i="35"/>
  <c r="E38" i="35"/>
  <c r="G42" i="35"/>
  <c r="H42" i="35"/>
  <c r="G43" i="35"/>
  <c r="H43" i="35"/>
  <c r="C36" i="36"/>
  <c r="C37" i="36"/>
  <c r="B2" i="36"/>
  <c r="B3" i="36"/>
  <c r="AC7" i="37"/>
  <c r="V42" i="37"/>
  <c r="I42" i="37"/>
  <c r="W7" i="37"/>
  <c r="I42" i="35"/>
  <c r="J42" i="35"/>
  <c r="I43" i="35"/>
  <c r="J43" i="35"/>
  <c r="G40" i="36"/>
  <c r="H40" i="36"/>
  <c r="G41" i="36"/>
  <c r="H41" i="36"/>
  <c r="J19" i="67"/>
  <c r="J17" i="67"/>
  <c r="C33" i="67"/>
  <c r="C31" i="67"/>
  <c r="C13" i="67"/>
  <c r="Q49" i="67"/>
  <c r="J14" i="67"/>
  <c r="C57" i="67"/>
  <c r="C36" i="67"/>
  <c r="J59" i="67"/>
  <c r="H70" i="39"/>
  <c r="I68" i="39"/>
  <c r="Q70" i="15"/>
  <c r="C9" i="69"/>
  <c r="AY103" i="3"/>
  <c r="AY311" i="3"/>
  <c r="AY390" i="3"/>
  <c r="AY163" i="3"/>
  <c r="AY355" i="3"/>
  <c r="AY486" i="3"/>
  <c r="AY292" i="3"/>
  <c r="AY82" i="3"/>
  <c r="AY379" i="3"/>
  <c r="AY43" i="3"/>
  <c r="AY489" i="3"/>
  <c r="AY252" i="3"/>
  <c r="AY123" i="3"/>
  <c r="AY139" i="3"/>
  <c r="AY67" i="3"/>
  <c r="AY83" i="3"/>
  <c r="AY155" i="3"/>
  <c r="AY131" i="3"/>
  <c r="AY268" i="3"/>
  <c r="AY318" i="3"/>
  <c r="AY106" i="3"/>
  <c r="AY395" i="3"/>
  <c r="AY447" i="3"/>
  <c r="AY535" i="3"/>
  <c r="AY574" i="3"/>
  <c r="AY555" i="3"/>
  <c r="AY85" i="3"/>
  <c r="AY68" i="3"/>
  <c r="AY25" i="3"/>
  <c r="AY178" i="3"/>
  <c r="AY157" i="3"/>
  <c r="AY117" i="3"/>
  <c r="AY271" i="3"/>
  <c r="AY87" i="3"/>
  <c r="AY144" i="3"/>
  <c r="AY152" i="3"/>
  <c r="AY253" i="3"/>
  <c r="AY303" i="3"/>
  <c r="AY529" i="3"/>
  <c r="AY217" i="3"/>
  <c r="AY463" i="3"/>
  <c r="AY401" i="3"/>
  <c r="AY544" i="3"/>
  <c r="BE6" i="3"/>
  <c r="AY92" i="3"/>
  <c r="AY76" i="3"/>
  <c r="AY33" i="3"/>
  <c r="AY185" i="3"/>
  <c r="AY165" i="3"/>
  <c r="AY125" i="3"/>
  <c r="AY278" i="3"/>
  <c r="AY262" i="3"/>
  <c r="AY246" i="3"/>
  <c r="AY392" i="3"/>
  <c r="AY357" i="3"/>
  <c r="BJ6" i="3"/>
  <c r="AY41" i="3"/>
  <c r="AY197" i="3"/>
  <c r="AY114" i="3"/>
  <c r="AY274" i="3"/>
  <c r="AY377" i="3"/>
  <c r="AY317" i="3"/>
  <c r="AY491" i="3"/>
  <c r="AY457" i="3"/>
  <c r="AY414" i="3"/>
  <c r="AY581" i="3"/>
  <c r="AY561" i="3"/>
  <c r="AY546" i="3"/>
  <c r="AY16" i="3"/>
  <c r="AY514" i="3"/>
  <c r="AY96" i="3"/>
  <c r="AY37" i="3"/>
  <c r="AY169" i="3"/>
  <c r="AY227" i="3"/>
  <c r="AY507" i="3"/>
  <c r="AY29" i="3"/>
  <c r="AY275" i="3"/>
  <c r="AY341" i="3"/>
  <c r="AY480" i="3"/>
  <c r="AY419" i="3"/>
  <c r="AY536" i="3"/>
  <c r="AY532" i="3"/>
  <c r="AY64" i="3"/>
  <c r="AY113"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65" i="3"/>
  <c r="AY57" i="3"/>
  <c r="AY130" i="3"/>
  <c r="AY393" i="3"/>
  <c r="AY308" i="3"/>
  <c r="AY422" i="3"/>
  <c r="AY516" i="3"/>
  <c r="AY559" i="3"/>
  <c r="AY112" i="3"/>
  <c r="AY14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87" i="3"/>
  <c r="AY454" i="3"/>
  <c r="AY476" i="3"/>
  <c r="AY515" i="3"/>
  <c r="AY301" i="3"/>
  <c r="AY485" i="3"/>
  <c r="AY107" i="3"/>
  <c r="AY293" i="3"/>
  <c r="AY477" i="3"/>
  <c r="AY387" i="3"/>
  <c r="AY444" i="3"/>
  <c r="AY526" i="3"/>
  <c r="AY171" i="3"/>
  <c r="AY244" i="3"/>
  <c r="AY350" i="3"/>
  <c r="AY31" i="3"/>
  <c r="AY478" i="3"/>
  <c r="AY212" i="3"/>
  <c r="AY497" i="3"/>
  <c r="AY319" i="3"/>
  <c r="AY284" i="3"/>
  <c r="AY183" i="3"/>
  <c r="AY160" i="3"/>
  <c r="AY66" i="3"/>
  <c r="AY115" i="3"/>
  <c r="AY276" i="3"/>
  <c r="AY225" i="3"/>
  <c r="AY470" i="3"/>
  <c r="AY180" i="3"/>
  <c r="AY358" i="3"/>
  <c r="AY436" i="3"/>
  <c r="AY557" i="3"/>
  <c r="AY540" i="3"/>
  <c r="AY105" i="3"/>
  <c r="AY69" i="3"/>
  <c r="AY52" i="3"/>
  <c r="AY198" i="3"/>
  <c r="AY162" i="3"/>
  <c r="AY141" i="3"/>
  <c r="AY291" i="3"/>
  <c r="AY255" i="3"/>
  <c r="AY51" i="3"/>
  <c r="AY124" i="3"/>
  <c r="AY281" i="3"/>
  <c r="AY236" i="3"/>
  <c r="AY473" i="3"/>
  <c r="AY26" i="3"/>
  <c r="AY372" i="3"/>
  <c r="AY452" i="3"/>
  <c r="AY513" i="3"/>
  <c r="AY569" i="3"/>
  <c r="AY553" i="3"/>
  <c r="AY77" i="3"/>
  <c r="AY60" i="3"/>
  <c r="AY206" i="3"/>
  <c r="AY170" i="3"/>
  <c r="AY149" i="3"/>
  <c r="AY299" i="3"/>
  <c r="AY263" i="3"/>
  <c r="AY254" i="3"/>
  <c r="AY230" i="3"/>
  <c r="AY397" i="3"/>
  <c r="AY360" i="3"/>
  <c r="AY109" i="3"/>
  <c r="AY56" i="3"/>
  <c r="AY166" i="3"/>
  <c r="AY295" i="3"/>
  <c r="AY242" i="3"/>
  <c r="AY353" i="3"/>
  <c r="AY348" i="3"/>
  <c r="AY475" i="3"/>
  <c r="AY462" i="3"/>
  <c r="AY398" i="3"/>
  <c r="BQ6" i="3"/>
  <c r="AY534" i="3"/>
  <c r="AY495" i="3"/>
  <c r="AY501" i="3"/>
  <c r="AY582" i="3"/>
  <c r="AY65" i="3"/>
  <c r="AY194" i="3"/>
  <c r="AY137" i="3"/>
  <c r="AY384" i="3"/>
  <c r="BB6" i="3"/>
  <c r="AY181" i="3"/>
  <c r="AY258" i="3"/>
  <c r="AY309" i="3"/>
  <c r="AY449" i="3"/>
  <c r="AY503" i="3"/>
  <c r="AY520" i="3"/>
  <c r="AY496" i="3"/>
  <c r="AY21"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BS6" i="3"/>
  <c r="AY40" i="3"/>
  <c r="AY279" i="3"/>
  <c r="AY356" i="3"/>
  <c r="AY467" i="3"/>
  <c r="AY435" i="3"/>
  <c r="BN6" i="3"/>
  <c r="AY508" i="3"/>
  <c r="AY49" i="3"/>
  <c r="AY122"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56" i="3"/>
  <c r="AY563" i="3"/>
  <c r="AY203" i="3"/>
  <c r="AY233" i="3"/>
  <c r="AY383" i="3"/>
  <c r="AY440" i="3"/>
  <c r="AY13" i="3"/>
  <c r="AY576" i="3"/>
  <c r="AY195" i="3"/>
  <c r="AY136" i="3"/>
  <c r="AY272" i="3"/>
  <c r="AY375" i="3"/>
  <c r="AY432" i="3"/>
  <c r="AY15" i="3"/>
  <c r="AY567" i="3"/>
  <c r="AY90" i="3"/>
  <c r="AY18" i="3"/>
  <c r="AY237" i="3"/>
  <c r="AY481" i="3"/>
  <c r="AY425" i="3"/>
  <c r="AY147" i="3"/>
  <c r="AY191" i="3"/>
  <c r="AY343" i="3"/>
  <c r="AY116" i="3"/>
  <c r="AY455" i="3"/>
  <c r="AY209" i="3"/>
  <c r="AY261" i="3"/>
  <c r="AY289" i="3"/>
  <c r="AY50" i="3"/>
  <c r="AY176" i="3"/>
  <c r="AY188" i="3"/>
  <c r="AY297" i="3"/>
  <c r="AY335" i="3"/>
  <c r="AY409" i="3"/>
  <c r="AY465" i="3"/>
  <c r="AY417" i="3"/>
  <c r="AY573" i="3"/>
  <c r="AY539" i="3"/>
  <c r="AY100" i="3"/>
  <c r="AY84" i="3"/>
  <c r="AY20" i="3"/>
  <c r="AY193" i="3"/>
  <c r="AY173" i="3"/>
  <c r="AY134" i="3"/>
  <c r="AY286" i="3"/>
  <c r="AY270" i="3"/>
  <c r="AY207" i="3"/>
  <c r="AY42" i="3"/>
  <c r="AY168" i="3"/>
  <c r="AY366" i="3"/>
  <c r="AY441" i="3"/>
  <c r="AY260" i="3"/>
  <c r="AY310" i="3"/>
  <c r="AY433" i="3"/>
  <c r="BK6" i="3"/>
  <c r="AY541" i="3"/>
  <c r="AY45" i="3"/>
  <c r="AY28" i="3"/>
  <c r="AY201" i="3"/>
  <c r="AY138" i="3"/>
  <c r="AY118" i="3"/>
  <c r="AY294" i="3"/>
  <c r="AY231" i="3"/>
  <c r="AY219" i="3"/>
  <c r="AY374" i="3"/>
  <c r="AY73" i="3"/>
  <c r="AY202" i="3"/>
  <c r="AY259" i="3"/>
  <c r="AY333" i="3"/>
  <c r="AY316" i="3"/>
  <c r="AY430" i="3"/>
  <c r="AY585" i="3"/>
  <c r="BG6" i="3"/>
  <c r="AY101" i="3"/>
  <c r="AY48" i="3"/>
  <c r="AY287" i="3"/>
  <c r="AY72" i="3"/>
  <c r="AY121" i="3"/>
  <c r="AY483" i="3"/>
  <c r="AY572" i="3"/>
  <c r="AY543" i="3"/>
  <c r="AY153" i="3"/>
  <c r="AY266" i="3"/>
  <c r="AY313" i="3"/>
  <c r="AY410" i="3"/>
  <c r="AY531" i="3"/>
  <c r="AY35" i="3"/>
  <c r="AY280" i="3"/>
  <c r="AY331" i="3"/>
  <c r="AY466" i="3"/>
  <c r="AY512" i="3"/>
  <c r="AY27" i="3"/>
  <c r="AY159" i="3"/>
  <c r="AY213" i="3"/>
  <c r="AY459" i="3"/>
  <c r="AY550" i="3"/>
  <c r="AY389" i="3"/>
  <c r="AY150" i="3"/>
  <c r="AY340" i="3"/>
  <c r="AY525" i="3"/>
  <c r="AY577" i="3"/>
  <c r="AY205" i="3"/>
  <c r="AY396" i="3"/>
  <c r="AY320" i="3"/>
  <c r="AY415" i="3"/>
  <c r="AY538" i="3"/>
  <c r="AY493" i="3"/>
  <c r="AY172" i="3"/>
  <c r="AY359" i="3"/>
  <c r="AY408" i="3"/>
  <c r="AY54" i="3"/>
  <c r="AY240" i="3"/>
  <c r="AY400" i="3"/>
  <c r="AY269" i="3"/>
  <c r="AY75" i="3"/>
  <c r="AY334" i="3"/>
  <c r="AY98" i="3"/>
  <c r="AY199" i="3"/>
  <c r="AY220" i="3"/>
  <c r="AY132" i="3"/>
  <c r="AY326" i="3"/>
  <c r="AY229" i="3"/>
  <c r="AY412" i="3"/>
  <c r="AY363" i="3"/>
  <c r="AY204" i="3"/>
  <c r="AY74" i="3"/>
  <c r="AY196" i="3"/>
  <c r="AY23" i="3"/>
  <c r="AY59" i="3"/>
  <c r="AY58" i="3"/>
  <c r="AY371" i="3"/>
  <c r="AY428" i="3"/>
  <c r="AY245" i="3"/>
  <c r="AY342" i="3"/>
  <c r="AY404" i="3"/>
  <c r="AY562" i="3"/>
  <c r="BO6" i="3"/>
  <c r="AY89" i="3"/>
  <c r="AY53" i="3"/>
  <c r="AY36" i="3"/>
  <c r="AY182" i="3"/>
  <c r="AY146" i="3"/>
  <c r="AY126" i="3"/>
  <c r="AY302" i="3"/>
  <c r="AY239" i="3"/>
  <c r="AY34" i="3"/>
  <c r="AY95" i="3"/>
  <c r="AY111" i="3"/>
  <c r="AY382" i="3"/>
  <c r="AY460" i="3"/>
  <c r="AY300" i="3"/>
  <c r="AY327" i="3"/>
  <c r="AY420" i="3"/>
  <c r="AY549" i="3"/>
  <c r="AY533" i="3"/>
  <c r="AY97" i="3"/>
  <c r="AY61" i="3"/>
  <c r="AY44" i="3"/>
  <c r="AY190" i="3"/>
  <c r="AY154" i="3"/>
  <c r="AY133" i="3"/>
  <c r="AY283" i="3"/>
  <c r="AY247" i="3"/>
  <c r="AY238" i="3"/>
  <c r="AY214" i="3"/>
  <c r="AY381" i="3"/>
  <c r="AY554" i="3"/>
  <c r="AY104" i="3"/>
  <c r="AY24" i="3"/>
  <c r="AY177" i="3"/>
  <c r="AY290" i="3"/>
  <c r="AY210" i="3"/>
  <c r="AY349" i="3"/>
  <c r="AY332" i="3"/>
  <c r="AY488" i="3"/>
  <c r="AY446" i="3"/>
  <c r="AY427" i="3"/>
  <c r="BM6" i="3"/>
  <c r="BF6" i="3"/>
  <c r="AY510" i="3"/>
  <c r="AY584" i="3"/>
  <c r="AY519" i="3"/>
  <c r="AY80" i="3"/>
  <c r="AY189" i="3"/>
  <c r="AY129" i="3"/>
  <c r="AY373" i="3"/>
  <c r="AY88" i="3"/>
  <c r="AY161" i="3"/>
  <c r="AY215" i="3"/>
  <c r="AY324" i="3"/>
  <c r="AY438" i="3"/>
  <c r="AY580" i="3"/>
  <c r="AY552" i="3"/>
  <c r="AY523" i="3"/>
  <c r="AY174"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211" i="3"/>
  <c r="BI6" i="3"/>
  <c r="AY186" i="3"/>
  <c r="AY243" i="3"/>
  <c r="AY325" i="3"/>
  <c r="AY464" i="3"/>
  <c r="AY403" i="3"/>
  <c r="AY527" i="3"/>
  <c r="AY32" i="3"/>
  <c r="AY298" i="3"/>
  <c r="AY218" i="3"/>
  <c r="AY352" i="3"/>
  <c r="AY336" i="3"/>
  <c r="AY492" i="3"/>
  <c r="AY450" i="3"/>
  <c r="AY431" i="3"/>
  <c r="AY17" i="3"/>
  <c r="AY575" i="3"/>
  <c r="AY530" i="3"/>
  <c r="AY47" i="3"/>
  <c r="AY120" i="3"/>
  <c r="AY330" i="3"/>
  <c r="AY39" i="3"/>
  <c r="AY322" i="3"/>
  <c r="AY228" i="3"/>
  <c r="AY108" i="3"/>
  <c r="AY222" i="3"/>
  <c r="BH6" i="3"/>
  <c r="AY145" i="3"/>
  <c r="AY388" i="3"/>
  <c r="AY472" i="3"/>
  <c r="AY411" i="3"/>
  <c r="AY571" i="3"/>
  <c r="AY494" i="3"/>
  <c r="AY158" i="3"/>
  <c r="AY368" i="3"/>
  <c r="AY370" i="3"/>
  <c r="AY406" i="3"/>
  <c r="AY81" i="3"/>
  <c r="AY369" i="3"/>
  <c r="AY453" i="3"/>
  <c r="AY579" i="3"/>
  <c r="AY509" i="3"/>
  <c r="AY94" i="3"/>
  <c r="AY167" i="3"/>
  <c r="AY221" i="3"/>
  <c r="AY405" i="3"/>
  <c r="AY86" i="3"/>
  <c r="AY273" i="3"/>
  <c r="AY323" i="3"/>
  <c r="AY504" i="3"/>
  <c r="AY93" i="3"/>
  <c r="AY226" i="3"/>
  <c r="AY518" i="3"/>
  <c r="AY267" i="3"/>
  <c r="AY337" i="3"/>
  <c r="AY434" i="3"/>
  <c r="AY545" i="3"/>
  <c r="AY62" i="3"/>
  <c r="AY248" i="3"/>
  <c r="AY547" i="3"/>
  <c r="AY164" i="3"/>
  <c r="AY351" i="3"/>
  <c r="AY566" i="3"/>
  <c r="M21" i="6"/>
  <c r="I21" i="6"/>
  <c r="S21" i="6"/>
  <c r="C38" i="69"/>
  <c r="C35" i="69"/>
  <c r="C17" i="4"/>
  <c r="B4" i="52"/>
  <c r="B43" i="72"/>
  <c r="D3" i="34"/>
  <c r="B2" i="34"/>
  <c r="B3" i="34"/>
  <c r="L18" i="9"/>
  <c r="D37" i="11"/>
  <c r="M18" i="9"/>
  <c r="B118" i="9"/>
  <c r="B14" i="74"/>
  <c r="B1" i="74"/>
  <c r="D3" i="33"/>
  <c r="B2" i="33"/>
  <c r="B3" i="33"/>
  <c r="D19" i="11"/>
  <c r="C19" i="11"/>
  <c r="D3" i="37"/>
  <c r="D113" i="43"/>
  <c r="K27" i="6"/>
  <c r="AC6" i="3"/>
  <c r="L16" i="1"/>
  <c r="C9" i="68"/>
  <c r="D6" i="71"/>
  <c r="C5" i="71"/>
  <c r="S20" i="6"/>
  <c r="H6" i="3"/>
  <c r="E6" i="3"/>
  <c r="O16" i="1"/>
  <c r="I65" i="40"/>
  <c r="J63" i="40"/>
  <c r="C37" i="15"/>
  <c r="C30" i="15"/>
  <c r="C39" i="15"/>
  <c r="C40" i="15"/>
  <c r="C64" i="15"/>
  <c r="C58" i="15"/>
  <c r="C67" i="15"/>
  <c r="C68" i="15"/>
  <c r="C71" i="15"/>
  <c r="C75" i="15"/>
  <c r="J22" i="15"/>
  <c r="J16" i="15"/>
  <c r="J25" i="15"/>
  <c r="C39" i="35"/>
  <c r="B2" i="35"/>
  <c r="B3" i="35"/>
  <c r="C38" i="35"/>
  <c r="I46" i="37"/>
  <c r="J46" i="37"/>
  <c r="E43" i="35"/>
  <c r="F43" i="35"/>
  <c r="E42" i="35"/>
  <c r="F42" i="35"/>
  <c r="E42" i="37"/>
  <c r="R43" i="37"/>
  <c r="G46" i="37"/>
  <c r="H46" i="37"/>
  <c r="G47" i="37"/>
  <c r="H47" i="37"/>
  <c r="C64" i="67"/>
  <c r="C61" i="67"/>
  <c r="C59" i="67"/>
  <c r="J13" i="67"/>
  <c r="J23" i="67"/>
  <c r="J22" i="67"/>
  <c r="C75" i="67"/>
  <c r="Q70" i="67"/>
  <c r="C56" i="67"/>
  <c r="C65" i="67"/>
  <c r="C37" i="67"/>
  <c r="C30" i="67"/>
  <c r="C39" i="67"/>
  <c r="L51" i="15"/>
  <c r="AQ7" i="1"/>
  <c r="AR7" i="1"/>
  <c r="AR6" i="1"/>
  <c r="AQ6" i="1"/>
  <c r="S16" i="1"/>
  <c r="C20" i="11"/>
  <c r="M27" i="6"/>
  <c r="D5" i="71"/>
  <c r="M20" i="43"/>
  <c r="AQ8" i="1"/>
  <c r="AR8" i="1"/>
  <c r="J68" i="39"/>
  <c r="I70" i="39"/>
  <c r="J65" i="40"/>
  <c r="K63" i="40"/>
  <c r="C8" i="74"/>
  <c r="C7" i="74"/>
  <c r="D10" i="69"/>
  <c r="D10" i="11"/>
  <c r="C10" i="11"/>
  <c r="D15" i="6"/>
  <c r="D14" i="6"/>
  <c r="H22" i="6"/>
  <c r="R22" i="6"/>
  <c r="C18" i="4"/>
  <c r="D6" i="6"/>
  <c r="D10" i="6"/>
  <c r="E61" i="40"/>
  <c r="D8" i="6"/>
  <c r="D9" i="6"/>
  <c r="D11" i="6"/>
  <c r="L19" i="9"/>
  <c r="D13" i="6"/>
  <c r="D5" i="6"/>
  <c r="D12" i="6"/>
  <c r="H25" i="6"/>
  <c r="M19" i="9"/>
  <c r="C118" i="9"/>
  <c r="C14" i="74"/>
  <c r="B2" i="74"/>
  <c r="H24" i="6"/>
  <c r="R24" i="6"/>
  <c r="H23" i="6"/>
  <c r="R23" i="6"/>
  <c r="H26" i="6"/>
  <c r="R26" i="6"/>
  <c r="H21" i="6"/>
  <c r="Q69" i="15"/>
  <c r="Q68" i="15"/>
  <c r="C80" i="15"/>
  <c r="C79" i="15"/>
  <c r="C46" i="15"/>
  <c r="C42" i="37"/>
  <c r="C43" i="37"/>
  <c r="B2" i="37"/>
  <c r="B3" i="37"/>
  <c r="E47" i="37"/>
  <c r="F47" i="37"/>
  <c r="E46" i="37"/>
  <c r="F46" i="37"/>
  <c r="I47" i="37"/>
  <c r="J47" i="37"/>
  <c r="J16" i="67"/>
  <c r="J25" i="67"/>
  <c r="Q67" i="15"/>
  <c r="L57" i="15"/>
  <c r="L60" i="15"/>
  <c r="Q69" i="67"/>
  <c r="Q68" i="67"/>
  <c r="C40" i="67"/>
  <c r="C58" i="67"/>
  <c r="C67" i="67"/>
  <c r="C68" i="67"/>
  <c r="C80" i="67"/>
  <c r="C79" i="67"/>
  <c r="Q65" i="15"/>
  <c r="C43" i="15"/>
  <c r="Q47" i="15"/>
  <c r="Q56" i="15"/>
  <c r="C83" i="15"/>
  <c r="C82" i="15"/>
  <c r="L51" i="67"/>
  <c r="R25" i="6"/>
  <c r="R21" i="6"/>
  <c r="C10" i="69"/>
  <c r="C8" i="69"/>
  <c r="C5" i="69"/>
  <c r="D19" i="69"/>
  <c r="D16" i="6"/>
  <c r="A7" i="51"/>
  <c r="B7" i="72"/>
  <c r="A10" i="51"/>
  <c r="B9" i="72"/>
  <c r="C4" i="52"/>
  <c r="B45" i="72"/>
  <c r="J70" i="39"/>
  <c r="K68" i="39"/>
  <c r="D8" i="74"/>
  <c r="D7" i="74"/>
  <c r="C10" i="68"/>
  <c r="K65" i="40"/>
  <c r="L63" i="40"/>
  <c r="I27" i="6"/>
  <c r="S19" i="6"/>
  <c r="S27" i="6"/>
  <c r="T16" i="1"/>
  <c r="Q67" i="67"/>
  <c r="L57" i="67"/>
  <c r="L60" i="67"/>
  <c r="C45" i="67"/>
  <c r="C46" i="67"/>
  <c r="C71" i="67"/>
  <c r="C43" i="67"/>
  <c r="Q56" i="67"/>
  <c r="Q47" i="67"/>
  <c r="Q65" i="67"/>
  <c r="C83" i="67"/>
  <c r="C82" i="67"/>
  <c r="Q66" i="15"/>
  <c r="Q75" i="15"/>
  <c r="Q57" i="15"/>
  <c r="Q62" i="15"/>
  <c r="C19" i="69"/>
  <c r="C20" i="69"/>
  <c r="C25" i="69"/>
  <c r="D37" i="69"/>
  <c r="C37" i="69"/>
  <c r="C33" i="69"/>
  <c r="C23" i="69"/>
  <c r="L65" i="40"/>
  <c r="M63" i="40"/>
  <c r="H27" i="6"/>
  <c r="C19" i="68"/>
  <c r="K70" i="39"/>
  <c r="L68" i="39"/>
  <c r="Q66" i="67"/>
  <c r="Q75" i="67"/>
  <c r="Q57" i="67"/>
  <c r="Q62" i="67"/>
  <c r="L70" i="39"/>
  <c r="M68" i="39"/>
  <c r="R27" i="6"/>
  <c r="R16" i="1"/>
  <c r="M65" i="40"/>
  <c r="N63" i="40"/>
  <c r="C39" i="69"/>
  <c r="C43" i="69"/>
  <c r="C42" i="69"/>
  <c r="C24" i="69"/>
  <c r="C22" i="69"/>
  <c r="C41" i="69"/>
  <c r="N65" i="40"/>
  <c r="O63" i="40"/>
  <c r="O65" i="40"/>
  <c r="F7" i="40"/>
  <c r="M70" i="39"/>
  <c r="N68" i="39"/>
  <c r="J7" i="40"/>
  <c r="H7" i="40"/>
  <c r="W7" i="40"/>
  <c r="AC7" i="40"/>
  <c r="V42" i="40"/>
  <c r="I42" i="40"/>
  <c r="I46" i="40"/>
  <c r="J46" i="40"/>
  <c r="U7" i="40"/>
  <c r="AB7" i="40"/>
  <c r="T42" i="40"/>
  <c r="G42" i="40"/>
  <c r="N70" i="39"/>
  <c r="O68" i="39"/>
  <c r="O70" i="39"/>
  <c r="J7" i="39"/>
  <c r="F7" i="39"/>
  <c r="H7" i="39"/>
  <c r="AA7" i="40"/>
  <c r="R42" i="40"/>
  <c r="S7" i="40"/>
  <c r="AB7" i="39"/>
  <c r="U7" i="39"/>
  <c r="G47" i="40"/>
  <c r="H47" i="40"/>
  <c r="G46" i="40"/>
  <c r="H46" i="40"/>
  <c r="AC7" i="39"/>
  <c r="W7" i="39"/>
  <c r="E42" i="40"/>
  <c r="R43" i="40"/>
  <c r="AA7" i="39"/>
  <c r="S7" i="39"/>
  <c r="C42" i="40"/>
  <c r="C43" i="40"/>
  <c r="I47" i="40"/>
  <c r="J47" i="40"/>
  <c r="E47" i="40"/>
  <c r="F47" i="40"/>
  <c r="E46" i="40"/>
  <c r="F46" i="40"/>
  <c r="B55" i="40"/>
  <c r="F55" i="40"/>
  <c r="B51" i="40"/>
  <c r="F51" i="40"/>
  <c r="F61" i="40"/>
  <c r="B2" i="40"/>
  <c r="B3" i="40"/>
  <c r="B60" i="40"/>
  <c r="F60" i="40"/>
  <c r="B53" i="40"/>
  <c r="F53" i="40"/>
  <c r="B59" i="40"/>
  <c r="F59" i="40"/>
  <c r="B52" i="40"/>
  <c r="F52" i="40"/>
  <c r="B58" i="40"/>
  <c r="F58" i="40"/>
  <c r="B54" i="40"/>
  <c r="F54" i="40"/>
  <c r="B57" i="40"/>
  <c r="F57" i="40"/>
  <c r="B56" i="40"/>
  <c r="F56" i="40"/>
  <c r="C23" i="43"/>
  <c r="C21" i="43"/>
  <c r="C29" i="43"/>
  <c r="E29" i="43"/>
  <c r="C26" i="43"/>
  <c r="B2" i="43"/>
  <c r="B3" i="43"/>
  <c r="B6" i="76"/>
  <c r="B2" i="76"/>
  <c r="C30" i="43"/>
  <c r="E30" i="43"/>
  <c r="C27" i="43"/>
  <c r="E6" i="76"/>
  <c r="E2" i="76"/>
  <c r="B3" i="76"/>
  <c r="S7" i="43"/>
  <c r="T7" i="43"/>
  <c r="V7" i="43"/>
  <c r="S5" i="43"/>
  <c r="T5" i="43"/>
  <c r="V5" i="43"/>
  <c r="S2" i="43"/>
  <c r="T2" i="43"/>
  <c r="V2" i="43"/>
  <c r="S3" i="43"/>
  <c r="T3" i="43"/>
  <c r="V3" i="43"/>
  <c r="S6" i="43"/>
  <c r="T6" i="43"/>
  <c r="V6" i="43"/>
  <c r="S4" i="43"/>
  <c r="T4" i="43"/>
  <c r="V4" i="43"/>
  <c r="R11" i="7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1" i="1"/>
  <c r="B23" i="1"/>
  <c r="Q16" i="1"/>
  <c r="B24" i="1"/>
  <c r="F50" i="68"/>
  <c r="C32" i="9"/>
  <c r="H118" i="9"/>
  <c r="H101" i="9"/>
  <c r="H107" i="9"/>
  <c r="M49" i="9"/>
  <c r="D45" i="9"/>
  <c r="D55" i="9"/>
  <c r="M53" i="9"/>
  <c r="C85" i="9"/>
  <c r="C93" i="9"/>
  <c r="C86" i="9"/>
  <c r="C95" i="9"/>
  <c r="C96" i="9"/>
  <c r="C97" i="9"/>
  <c r="D58" i="9"/>
  <c r="D56" i="9"/>
  <c r="M54" i="9"/>
  <c r="N57" i="9"/>
  <c r="N59" i="9"/>
  <c r="N61" i="9"/>
  <c r="N60" i="9"/>
  <c r="N58" i="9"/>
  <c r="P57" i="9"/>
  <c r="D122" i="9"/>
  <c r="G14" i="74"/>
  <c r="B6" i="74"/>
  <c r="C6" i="74"/>
  <c r="D6" i="74"/>
  <c r="E96" i="9"/>
  <c r="E97" i="9"/>
  <c r="L63" i="9"/>
  <c r="M63" i="9"/>
  <c r="L64" i="9"/>
  <c r="M64" i="9"/>
  <c r="L65" i="9"/>
  <c r="M65" i="9"/>
  <c r="L66" i="9"/>
  <c r="M66" i="9"/>
  <c r="L67" i="9"/>
  <c r="M67" i="9"/>
  <c r="L68" i="9"/>
  <c r="M68" i="9"/>
  <c r="M69" i="9"/>
  <c r="N69" i="9"/>
  <c r="C72" i="9"/>
  <c r="C78" i="9"/>
  <c r="C73" i="9"/>
  <c r="C79" i="9"/>
  <c r="C80" i="9"/>
  <c r="C81" i="9"/>
  <c r="D13" i="53"/>
  <c r="B30" i="72"/>
  <c r="D14" i="53"/>
  <c r="B32" i="72"/>
  <c r="E80" i="9"/>
  <c r="E81" i="9"/>
  <c r="D8" i="52"/>
  <c r="D123" i="9"/>
  <c r="D9" i="52"/>
  <c r="D5" i="53"/>
  <c r="D6" i="53"/>
  <c r="B22" i="72"/>
  <c r="B20" i="72"/>
  <c r="D14" i="74"/>
  <c r="B5" i="74"/>
  <c r="D5" i="74"/>
  <c r="C5" i="74"/>
  <c r="H108" i="9"/>
  <c r="D15" i="53"/>
  <c r="B31" i="72"/>
  <c r="D52" i="9"/>
  <c r="C64" i="9"/>
  <c r="C63" i="9"/>
  <c r="C67" i="9"/>
  <c r="C68" i="9"/>
  <c r="D54" i="9"/>
  <c r="D53" i="9"/>
  <c r="F14" i="74"/>
  <c r="E14" i="74"/>
  <c r="I118" i="9"/>
  <c r="I4" i="52"/>
  <c r="C105" i="9"/>
  <c r="B3" i="68"/>
  <c r="C57" i="68"/>
  <c r="D35" i="9"/>
  <c r="C35" i="9"/>
  <c r="F118" i="9"/>
  <c r="G118" i="9"/>
  <c r="E118" i="9"/>
  <c r="E4" i="52"/>
  <c r="B48" i="72"/>
  <c r="H102" i="9"/>
  <c r="D7" i="53"/>
  <c r="B21" i="72"/>
  <c r="M48" i="9"/>
  <c r="C34" i="9"/>
  <c r="D118" i="9"/>
  <c r="D4" i="52"/>
  <c r="B47" i="72"/>
  <c r="F119" i="9"/>
  <c r="F5" i="52"/>
  <c r="B53" i="72"/>
  <c r="G4" i="52"/>
  <c r="B52" i="72"/>
  <c r="F4" i="52"/>
  <c r="B51" i="72"/>
  <c r="H4" i="52"/>
  <c r="C104" i="9"/>
  <c r="H119" i="9"/>
  <c r="H5" i="52"/>
  <c r="D119" i="9"/>
  <c r="D5" i="52"/>
  <c r="B49" i="72"/>
  <c r="C20" i="9"/>
  <c r="B3" i="12"/>
  <c r="D20" i="9"/>
  <c r="G20" i="9"/>
  <c r="C103" i="9"/>
  <c r="G21" i="9"/>
  <c r="C56" i="68"/>
  <c r="D34" i="9"/>
  <c r="C21" i="9"/>
  <c r="C102" i="9"/>
  <c r="D22" i="9"/>
  <c r="B3" i="39"/>
  <c r="E47" i="39"/>
  <c r="E51" i="39"/>
  <c r="F51" i="39"/>
  <c r="G47" i="39"/>
  <c r="E52" i="39"/>
  <c r="F52" i="39"/>
  <c r="I47" i="39"/>
  <c r="I52" i="39"/>
  <c r="J52" i="39"/>
  <c r="C47" i="39"/>
  <c r="G52" i="39"/>
  <c r="H52" i="39"/>
  <c r="G51" i="39"/>
  <c r="H51" i="39"/>
  <c r="D103" i="9"/>
  <c r="I51" i="39"/>
  <c r="J51" i="39"/>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F27" i="69"/>
  <c r="C46" i="69"/>
  <c r="C45" i="69"/>
  <c r="C47" i="69"/>
  <c r="D45" i="69"/>
  <c r="C49" i="69"/>
  <c r="F50" i="69"/>
  <c r="C51" i="69"/>
  <c r="C28" i="69"/>
  <c r="C27" i="69"/>
  <c r="C29" i="69"/>
  <c r="D27" i="69"/>
  <c r="C31" i="69"/>
  <c r="C52" i="69"/>
  <c r="C57" i="69"/>
  <c r="C56" i="69"/>
  <c r="D21" i="9"/>
  <c r="D102" i="9"/>
  <c r="B2" i="69"/>
  <c r="B3" i="69"/>
  <c r="B2" i="11"/>
  <c r="B3" i="11"/>
  <c r="J53" i="67"/>
  <c r="J60" i="67"/>
  <c r="L46" i="67"/>
  <c r="D2" i="67"/>
  <c r="B3" i="67"/>
  <c r="B2" i="67"/>
  <c r="Q48" i="67"/>
  <c r="Q53" i="67"/>
  <c r="J53" i="15"/>
  <c r="J60" i="15"/>
  <c r="Q48" i="15"/>
  <c r="Q53" i="15"/>
  <c r="L46" i="15"/>
  <c r="B2" i="15"/>
  <c r="B3" i="15"/>
  <c r="Q52" i="67"/>
  <c r="F1" i="67"/>
  <c r="F1" i="15"/>
  <c r="Q52" i="15"/>
  <c r="L56" i="15"/>
  <c r="M59" i="67"/>
  <c r="M59" i="15"/>
  <c r="W10" i="39"/>
  <c r="U10" i="39"/>
  <c r="H10" i="40"/>
  <c r="AB10" i="40"/>
  <c r="U10" i="40"/>
  <c r="S10" i="39"/>
  <c r="J10" i="40"/>
  <c r="AC10" i="40"/>
  <c r="W10" i="40"/>
  <c r="F10" i="40"/>
  <c r="AA10" i="40"/>
  <c r="S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<sst xmlns="http://schemas.openxmlformats.org/spreadsheetml/2006/main" count="8135" uniqueCount="3297">
  <si>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</si>
  <si>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</si>
  <si>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</si>
  <si>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</si>
  <si>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</si>
  <si>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</si>
  <si>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</si>
  <si>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</si>
  <si>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</si>
  <si>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</si>
  <si>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</si>
  <si>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</si>
  <si>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</si>
  <si>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</si>
  <si>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</si>
  <si>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</si>
  <si>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</si>
  <si>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</si>
  <si>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</si>
  <si>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</si>
  <si>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</si>
  <si>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</si>
  <si>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</si>
  <si>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</si>
  <si>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</si>
  <si>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</si>
  <si>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</si>
  <si>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</si>
  <si>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</si>
  <si>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</si>
  <si>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</si>
  <si>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</si>
  <si>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</si>
  <si>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</si>
  <si>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</si>
  <si>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</si>
  <si>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</si>
  <si>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</si>
  <si>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</si>
  <si>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</si>
  <si>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</si>
  <si>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</si>
  <si>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</si>
  <si>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</si>
  <si>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</si>
  <si>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</si>
  <si>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</si>
  <si>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</si>
  <si>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</si>
  <si>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</si>
  <si>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</si>
  <si>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</si>
  <si>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</si>
  <si>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</si>
  <si>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</si>
  <si>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</si>
  <si>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</si>
  <si>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</si>
  <si>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</si>
  <si>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</si>
  <si>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</si>
  <si>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</si>
  <si>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</si>
  <si>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</si>
  <si>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</si>
  <si>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</si>
  <si>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</si>
  <si>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</si>
  <si>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</si>
  <si>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</si>
  <si>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</si>
  <si>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</si>
  <si>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</si>
  <si>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</si>
  <si>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</si>
  <si>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</si>
  <si>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</si>
  <si>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</si>
  <si>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</si>
  <si>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</si>
  <si>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</si>
  <si>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</si>
  <si>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</si>
  <si>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</si>
  <si>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</si>
  <si>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</si>
  <si>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</si>
  <si>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</si>
  <si>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</si>
  <si>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</si>
  <si>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</si>
  <si>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</si>
  <si>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</si>
  <si>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</si>
  <si>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</si>
  <si>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</si>
  <si>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</si>
  <si>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</si>
  <si>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</si>
  <si>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</si>
  <si>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</si>
  <si>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</si>
  <si>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</si>
  <si>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</si>
  <si>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</si>
  <si>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</si>
  <si>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</si>
  <si>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</si>
  <si>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</si>
  <si>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</si>
  <si>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</si>
  <si>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</si>
  <si>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</si>
  <si>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</si>
  <si>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</si>
  <si>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</si>
  <si>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</si>
  <si>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</si>
  <si>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</si>
  <si>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</si>
  <si>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</si>
  <si>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</si>
  <si>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</si>
  <si>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</si>
  <si>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</si>
  <si>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</si>
  <si>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</si>
  <si>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</si>
  <si>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</si>
  <si>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</si>
  <si>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</si>
  <si>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</si>
  <si>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</si>
  <si>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</si>
  <si>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</si>
  <si>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</si>
  <si>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</si>
  <si>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</si>
  <si>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</si>
  <si>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</si>
  <si>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</si>
  <si>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</si>
  <si>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</si>
  <si>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</si>
  <si>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</si>
  <si>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</si>
  <si>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</si>
  <si>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</si>
  <si>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</si>
  <si>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</si>
  <si>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</si>
  <si>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</si>
  <si>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</si>
  <si>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</si>
  <si>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</si>
  <si>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</si>
  <si>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</si>
  <si>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</si>
  <si>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</si>
  <si>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</si>
  <si>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</si>
  <si>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</si>
  <si>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</si>
  <si>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</si>
  <si>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</si>
  <si>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</si>
  <si>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</si>
  <si>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</si>
  <si>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</si>
  <si>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</si>
  <si>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</si>
  <si>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</si>
  <si>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</si>
  <si>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</si>
  <si>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</si>
  <si>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</si>
  <si>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</si>
  <si>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</si>
  <si>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</si>
  <si>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</si>
  <si>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</si>
  <si>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</si>
  <si>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</si>
  <si>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</si>
  <si>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</si>
  <si>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</si>
  <si>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</si>
  <si>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</si>
  <si>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</si>
  <si>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</si>
  <si>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</si>
  <si>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</si>
  <si>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</si>
  <si>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</si>
  <si>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</si>
  <si>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</si>
  <si>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</si>
  <si>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</si>
  <si>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</si>
  <si>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</si>
  <si>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</si>
  <si>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</si>
  <si>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</si>
  <si>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</si>
  <si>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</si>
  <si>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</si>
  <si>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</si>
  <si>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</si>
  <si>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</si>
  <si>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</si>
  <si>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</si>
  <si>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</si>
  <si>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</si>
  <si>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</si>
  <si>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</si>
  <si>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</si>
  <si>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</si>
  <si>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</si>
  <si>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</si>
  <si>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</si>
  <si>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</si>
  <si>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</si>
  <si>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</si>
  <si>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</si>
  <si>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</si>
  <si>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</si>
  <si>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</si>
  <si>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</si>
  <si>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</si>
  <si>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</si>
  <si>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</si>
  <si>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</si>
  <si>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</si>
  <si>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</si>
  <si>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</si>
  <si>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</si>
  <si>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</si>
  <si>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</si>
  <si>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</si>
  <si>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</si>
  <si>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</si>
  <si>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</si>
  <si>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</si>
  <si>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</si>
  <si>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</si>
  <si>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</si>
  <si>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</si>
  <si>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</si>
  <si>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</si>
  <si>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</si>
  <si>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</si>
  <si>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</si>
  <si>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</si>
  <si>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</si>
  <si>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</si>
  <si>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</si>
  <si>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</si>
  <si>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</si>
  <si>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</si>
  <si>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</si>
  <si>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</si>
  <si>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</si>
  <si>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</si>
  <si>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</si>
  <si>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</si>
  <si>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</si>
  <si>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</si>
  <si>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</si>
  <si>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</si>
  <si>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</si>
  <si>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</si>
  <si>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</si>
  <si>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</si>
  <si>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</si>
  <si>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</si>
  <si>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</si>
  <si>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</si>
  <si>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</si>
  <si>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</si>
  <si>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</si>
  <si>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</si>
  <si>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</si>
  <si>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</si>
  <si>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</si>
  <si>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</si>
  <si>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</si>
  <si>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</si>
  <si>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</si>
  <si>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</si>
  <si>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</si>
  <si>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</si>
  <si>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</si>
  <si>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</si>
  <si>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</si>
  <si>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</si>
  <si>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</si>
  <si>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</si>
  <si>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</si>
  <si>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</si>
  <si>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</si>
  <si>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</si>
  <si>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</si>
  <si>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</si>
  <si>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</si>
  <si>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</si>
  <si>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</si>
  <si>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</si>
  <si>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</si>
  <si>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</si>
  <si>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</si>
  <si>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</si>
  <si>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</si>
  <si>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</si>
  <si>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</si>
  <si>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</si>
  <si>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</si>
  <si>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</si>
  <si>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</si>
  <si>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</si>
  <si>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</si>
  <si>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</si>
  <si>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</si>
  <si>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</si>
  <si>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</si>
  <si>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</si>
  <si>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</si>
  <si>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</si>
  <si>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</si>
  <si>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</si>
  <si>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</si>
  <si>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</si>
  <si>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</si>
  <si>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</si>
  <si>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</si>
  <si>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</si>
  <si>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</si>
  <si>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</si>
  <si>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</si>
  <si>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</si>
  <si>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</si>
  <si>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</si>
  <si>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</si>
  <si>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</si>
  <si>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</si>
  <si>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</si>
  <si>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</si>
  <si>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</si>
  <si>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</si>
  <si>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</si>
  <si>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</si>
  <si>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</si>
  <si>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</si>
  <si>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</si>
  <si>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</si>
  <si>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</si>
  <si>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</si>
  <si>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</si>
  <si>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</si>
  <si>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</si>
  <si>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</si>
  <si>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</si>
  <si>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</si>
  <si>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</si>
  <si>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</si>
  <si>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</si>
  <si>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</si>
  <si>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</si>
  <si>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</si>
  <si>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</si>
  <si>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</si>
  <si>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</si>
  <si>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</si>
  <si>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</si>
  <si>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</si>
  <si>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</si>
  <si>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</si>
  <si>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</si>
  <si>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</si>
  <si>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</si>
  <si>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</si>
  <si>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</si>
  <si>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</si>
  <si>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</si>
  <si>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</si>
  <si>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</si>
  <si>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</si>
  <si>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</si>
  <si>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</si>
  <si>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</si>
  <si>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</si>
  <si>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</si>
  <si>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</si>
  <si>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</si>
  <si>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</si>
  <si>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</si>
  <si>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</si>
  <si>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</si>
  <si>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</si>
  <si>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</si>
  <si>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</si>
  <si>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</si>
  <si>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</si>
  <si>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</si>
  <si>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</si>
  <si>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</si>
  <si>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</si>
  <si>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</si>
  <si>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</si>
  <si>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</si>
  <si>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</si>
  <si>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</si>
  <si>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</si>
  <si>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</si>
  <si>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</si>
  <si>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</si>
  <si>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</si>
  <si>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</si>
  <si>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</si>
  <si>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</si>
  <si>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</si>
  <si>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</si>
  <si>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</si>
  <si>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</si>
  <si>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</si>
  <si>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</si>
  <si>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</si>
  <si>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</si>
  <si>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</si>
  <si>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</si>
  <si>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</si>
  <si>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</si>
  <si>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</si>
  <si>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</si>
  <si>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</si>
  <si>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</si>
  <si>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</si>
  <si>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</si>
  <si>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</si>
  <si>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</si>
  <si>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</si>
  <si>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</si>
  <si>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</si>
  <si>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</si>
  <si>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</si>
  <si>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</si>
  <si>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</si>
  <si>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</si>
  <si>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</si>
  <si>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</si>
  <si>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</si>
  <si>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</si>
  <si>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</si>
  <si>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</si>
  <si>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</si>
  <si>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</si>
  <si>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</si>
  <si>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</si>
  <si>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</si>
  <si>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</si>
  <si>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</si>
  <si>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</si>
  <si>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</si>
  <si>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</si>
  <si>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</si>
  <si>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</si>
  <si>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</si>
  <si>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</si>
  <si>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</si>
  <si>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</si>
  <si>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</si>
  <si>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</si>
  <si>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</si>
  <si>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</si>
  <si>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</si>
  <si>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</si>
  <si>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</si>
  <si>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</si>
  <si>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</si>
  <si>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</si>
  <si>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</si>
  <si>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</si>
  <si>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</si>
  <si>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</si>
  <si>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</si>
  <si>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</si>
  <si>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</si>
  <si>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</si>
  <si>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</si>
  <si>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</si>
  <si>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</si>
  <si>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</si>
  <si>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</si>
  <si>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</si>
  <si>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</si>
  <si>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</si>
  <si>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</si>
  <si>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</si>
  <si>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</si>
  <si>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</si>
  <si>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</si>
  <si>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</si>
  <si>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</si>
  <si>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</si>
  <si>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</si>
  <si>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</si>
  <si>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</si>
  <si>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</si>
  <si>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</si>
  <si>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</si>
  <si>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</si>
  <si>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</si>
  <si>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</si>
  <si>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</si>
  <si>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</si>
  <si>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</si>
  <si>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</si>
  <si>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</si>
  <si>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</si>
  <si>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</si>
  <si>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</si>
  <si>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</si>
  <si>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</si>
  <si>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</si>
  <si>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</si>
  <si>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</si>
  <si>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</si>
  <si>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</si>
  <si>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</si>
  <si>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</si>
  <si>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</si>
  <si>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</si>
  <si>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</si>
  <si>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</si>
  <si>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</si>
  <si>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</si>
  <si>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</si>
  <si>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</si>
  <si>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</si>
  <si>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</si>
  <si>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</si>
  <si>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</si>
  <si>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</si>
  <si>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</si>
  <si>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</si>
  <si>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</si>
  <si>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</si>
  <si>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</si>
  <si>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</si>
  <si>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</si>
  <si>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</si>
  <si>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</si>
  <si>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</si>
  <si>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</si>
  <si>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</si>
  <si>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</si>
  <si>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</si>
  <si>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</si>
  <si>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</si>
  <si>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</si>
  <si>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</si>
  <si>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</si>
  <si>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</si>
  <si>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</si>
  <si>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</si>
  <si>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</si>
  <si>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</si>
  <si>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</si>
  <si>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</si>
  <si>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</si>
  <si>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</si>
  <si>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</si>
  <si>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</si>
  <si>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</si>
  <si>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</si>
  <si>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</si>
  <si>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</si>
  <si>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</si>
  <si>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</si>
  <si>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</si>
  <si>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</si>
  <si>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</si>
  <si>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</si>
  <si>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</si>
  <si>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</si>
  <si>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</si>
  <si>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</si>
  <si>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</si>
  <si>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</si>
  <si>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</si>
  <si>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</si>
  <si>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</si>
  <si>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</si>
  <si>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</si>
  <si>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</si>
  <si>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</si>
  <si>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</si>
  <si>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</si>
  <si>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</si>
  <si>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</si>
  <si>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</si>
  <si>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</si>
  <si>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</si>
  <si>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</si>
  <si>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</si>
  <si>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</si>
  <si>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</si>
  <si>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</si>
  <si>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</si>
  <si>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</si>
  <si>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</si>
  <si>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</si>
  <si>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</si>
  <si>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</si>
  <si>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</si>
  <si>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</si>
  <si>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</si>
  <si>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</si>
  <si>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</si>
  <si>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</si>
  <si>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</si>
  <si>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</si>
  <si>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</si>
  <si>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</si>
  <si>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</si>
  <si>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</si>
  <si>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</si>
  <si>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</si>
  <si>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</si>
  <si>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</si>
  <si>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</si>
  <si>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</si>
  <si>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</si>
  <si>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</si>
  <si>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</si>
  <si>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</si>
  <si>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</si>
  <si>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</si>
  <si>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</si>
  <si>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</si>
  <si>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</si>
  <si>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</si>
  <si>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</si>
  <si>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</si>
  <si>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</si>
  <si>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</si>
  <si>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</si>
  <si>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</si>
  <si>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</si>
  <si>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</si>
  <si>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</si>
  <si>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</si>
  <si>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</si>
  <si>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</si>
  <si>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</si>
  <si>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</si>
  <si>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</si>
  <si>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</si>
  <si>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</si>
  <si>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</si>
  <si>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</si>
  <si>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</si>
  <si>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</si>
  <si>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</si>
  <si>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</si>
  <si>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</si>
  <si>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</si>
  <si>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</si>
  <si>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</si>
  <si>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</si>
  <si>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</si>
  <si>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</si>
  <si>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</si>
  <si>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</si>
  <si>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</si>
  <si>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</si>
  <si>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</si>
  <si>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</si>
  <si>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</si>
  <si>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</si>
  <si>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</si>
  <si>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</si>
  <si>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</si>
  <si>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</si>
  <si>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</si>
  <si>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</si>
  <si>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</si>
  <si>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</si>
  <si>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</si>
  <si>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</si>
  <si>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</si>
  <si>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</si>
  <si>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</si>
  <si>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</si>
  <si>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</si>
  <si>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</si>
  <si>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</si>
  <si>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</si>
  <si>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</si>
  <si>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</si>
  <si>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</si>
  <si>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</si>
  <si>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</si>
  <si>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</si>
  <si>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</si>
  <si>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</si>
  <si>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</si>
  <si>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</si>
  <si>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</si>
  <si>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</si>
  <si>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</si>
  <si>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</si>
  <si>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</si>
  <si>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</si>
  <si>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</si>
  <si>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</si>
  <si>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</si>
  <si>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</si>
  <si>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</si>
  <si>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</si>
  <si>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</si>
  <si>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</si>
  <si>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</si>
  <si>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</si>
  <si>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</si>
  <si>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</si>
  <si>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</si>
  <si>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</si>
  <si>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</si>
  <si>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</si>
  <si>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</si>
  <si>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</si>
  <si>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</si>
  <si>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</si>
  <si>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</si>
  <si>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</si>
  <si>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</si>
  <si>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</si>
  <si>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</si>
  <si>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</si>
  <si>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</si>
  <si>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</si>
  <si>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</si>
  <si>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</si>
  <si>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</si>
  <si>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</si>
  <si>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</si>
  <si>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</si>
  <si>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</si>
  <si>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</si>
  <si>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</si>
  <si>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</si>
  <si>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</si>
  <si>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</si>
  <si>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</si>
  <si>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</si>
  <si>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</si>
  <si>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</si>
  <si>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</si>
  <si>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</si>
  <si>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</si>
  <si>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</si>
  <si>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</si>
  <si>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</si>
  <si>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</si>
  <si>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</si>
  <si>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</si>
  <si>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</si>
  <si>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</si>
  <si>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</si>
  <si>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</si>
  <si>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</si>
  <si>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</si>
  <si>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</si>
  <si>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</si>
  <si>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</si>
  <si>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</si>
  <si>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</si>
  <si>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</si>
  <si>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</si>
  <si>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</si>
  <si>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</si>
  <si>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</si>
  <si>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</si>
  <si>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</si>
  <si>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</si>
  <si>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</si>
  <si>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</si>
  <si>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</si>
  <si>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</si>
  <si>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</si>
  <si>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</si>
  <si>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</si>
  <si>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</si>
  <si>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</si>
  <si>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</si>
  <si>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</si>
  <si>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</si>
  <si>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</si>
  <si>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</si>
  <si>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</si>
  <si>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</si>
  <si>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</si>
  <si>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</si>
  <si>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</si>
  <si>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</si>
  <si>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</si>
  <si>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</si>
  <si>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</si>
  <si>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</si>
  <si>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</si>
  <si>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</si>
  <si>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</si>
  <si>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</si>
  <si>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</si>
  <si>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</si>
  <si>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</si>
  <si>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</si>
  <si>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</si>
  <si>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</si>
  <si>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</si>
  <si>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</si>
  <si>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</si>
  <si>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</si>
  <si>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</si>
  <si>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</si>
  <si>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</si>
  <si>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</si>
  <si>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</si>
  <si>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</si>
  <si>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</si>
  <si>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</si>
  <si>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</si>
  <si>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</si>
  <si>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</si>
  <si>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</si>
  <si>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</si>
  <si>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</si>
  <si>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</si>
  <si>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</si>
  <si>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</si>
  <si>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</si>
  <si>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</si>
  <si>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</si>
  <si>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</si>
  <si>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</si>
  <si>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</si>
  <si>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</si>
  <si>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</si>
  <si>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</si>
  <si>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</si>
  <si>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</si>
  <si>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</si>
  <si>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</si>
  <si>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</si>
  <si>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</si>
  <si>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</si>
  <si>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</si>
  <si>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</si>
  <si>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</si>
  <si>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</si>
  <si>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</si>
  <si>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</si>
  <si>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</si>
  <si>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</si>
  <si>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</si>
  <si>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</si>
  <si>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</si>
  <si>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</si>
  <si>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</si>
  <si>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</si>
  <si>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</si>
  <si>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</si>
  <si>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</si>
  <si>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</si>
  <si>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</si>
  <si>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</si>
  <si>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</si>
  <si>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</si>
  <si>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</si>
  <si>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</si>
  <si>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</si>
  <si>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</si>
  <si>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</si>
  <si>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</si>
  <si>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</si>
  <si>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</si>
  <si>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</si>
  <si>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</si>
  <si>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</si>
  <si>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</si>
  <si>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</si>
  <si>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</si>
  <si>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</si>
  <si>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</si>
  <si>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</si>
  <si>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</si>
  <si>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</si>
  <si>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</si>
  <si>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</si>
  <si>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</si>
  <si>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</si>
  <si>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</si>
  <si>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</si>
  <si>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</si>
  <si>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</si>
  <si>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</si>
  <si>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</si>
  <si>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</si>
  <si>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</si>
  <si>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</si>
  <si>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</si>
  <si>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</si>
  <si>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</si>
  <si>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</si>
  <si>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</si>
  <si>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</si>
  <si>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</si>
  <si>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</si>
  <si>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</si>
  <si>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</si>
  <si>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</si>
  <si>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</si>
  <si>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</si>
  <si>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</si>
  <si>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</si>
  <si>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</si>
  <si>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</si>
  <si>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</si>
  <si>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</si>
  <si>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</si>
  <si>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</si>
  <si>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</si>
  <si>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</si>
  <si>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</si>
  <si>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</si>
  <si>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</si>
  <si>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</si>
  <si>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</si>
  <si>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</si>
  <si>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</si>
  <si>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</si>
  <si>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</si>
  <si>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</si>
  <si>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</si>
  <si>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</si>
  <si>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</si>
  <si>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</si>
  <si>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</si>
  <si>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</si>
  <si>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</si>
  <si>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</si>
  <si>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</si>
  <si>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</si>
  <si>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</si>
  <si>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</si>
  <si>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</si>
  <si>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</si>
  <si>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</si>
  <si>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</si>
  <si>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</si>
  <si>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</si>
  <si>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</si>
  <si>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</si>
  <si>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</si>
  <si>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</si>
  <si>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</si>
  <si>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</si>
  <si>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</si>
  <si>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</si>
  <si>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</si>
  <si>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</si>
  <si>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</si>
  <si>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</si>
  <si>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</si>
  <si>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</si>
  <si>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</si>
  <si>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</si>
  <si>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</si>
  <si>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</si>
  <si>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</si>
  <si>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</si>
  <si>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</si>
  <si>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</si>
  <si>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</si>
  <si>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</si>
  <si>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</si>
  <si>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</si>
  <si>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</si>
  <si>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</si>
  <si>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</si>
  <si>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</si>
  <si>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</si>
  <si>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</si>
  <si>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</si>
  <si>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</si>
  <si>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</si>
  <si>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</si>
  <si>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</si>
  <si>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</si>
  <si>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</si>
  <si>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</si>
  <si>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</si>
  <si>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</si>
  <si>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</si>
  <si>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</si>
  <si>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</si>
  <si>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</si>
  <si>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</si>
  <si>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</si>
  <si>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</si>
  <si>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</si>
  <si>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</si>
  <si>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</si>
  <si>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</si>
  <si>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</si>
  <si>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</si>
  <si>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</si>
  <si>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</si>
  <si>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</si>
  <si>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</si>
  <si>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</si>
  <si>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</si>
  <si>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</si>
  <si>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</si>
  <si>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</si>
  <si>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</si>
  <si>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</si>
  <si>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</si>
  <si>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</si>
  <si>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</si>
  <si>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</si>
  <si>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</si>
  <si>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</si>
  <si>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</si>
  <si>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</si>
  <si>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</si>
  <si>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</si>
  <si>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</si>
  <si>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</si>
  <si>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</si>
  <si>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</si>
  <si>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</si>
  <si>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</si>
  <si>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</si>
  <si>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</si>
  <si>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</si>
  <si>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</si>
  <si>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</si>
  <si>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</si>
  <si>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</si>
  <si>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</si>
  <si>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</si>
  <si>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</si>
  <si>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</si>
  <si>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</si>
  <si>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</si>
  <si>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</si>
  <si>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</si>
  <si>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</si>
  <si>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</si>
  <si>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</si>
  <si>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</si>
  <si>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</si>
  <si>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</si>
  <si>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</si>
  <si>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</si>
  <si>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</si>
  <si>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</si>
  <si>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</si>
  <si>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</si>
  <si>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</si>
  <si>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</si>
  <si>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</si>
  <si>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</si>
  <si>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</si>
  <si>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</si>
  <si>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</si>
  <si>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</si>
  <si>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</si>
  <si>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</si>
  <si>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</si>
  <si>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</si>
  <si>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</si>
  <si>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</si>
  <si>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</si>
  <si>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</si>
  <si>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</si>
  <si>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</si>
  <si>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</si>
  <si>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</si>
  <si>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</si>
  <si>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</si>
  <si>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</si>
  <si>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</si>
  <si>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</si>
  <si>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</si>
  <si>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</si>
  <si>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</si>
  <si>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</si>
  <si>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</si>
  <si>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</si>
  <si>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</si>
  <si>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</si>
  <si>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</si>
  <si>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</si>
  <si>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</si>
  <si>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</si>
  <si>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</si>
  <si>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</si>
  <si>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</si>
  <si>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</si>
  <si>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</si>
  <si>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</si>
  <si>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</si>
  <si>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</si>
  <si>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</si>
  <si>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</si>
  <si>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</si>
  <si>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</si>
  <si>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</si>
  <si>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</si>
  <si>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</si>
  <si>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</si>
  <si>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</si>
  <si>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</si>
  <si>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</si>
  <si>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</si>
  <si>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</si>
  <si>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</si>
  <si>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</si>
  <si>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</si>
  <si>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</si>
  <si>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</si>
  <si>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</si>
  <si>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</si>
  <si>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</si>
  <si>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</si>
  <si>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</si>
  <si>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</si>
  <si>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</si>
  <si>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</si>
  <si>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</si>
  <si>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</si>
  <si>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</si>
  <si>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</si>
  <si>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</si>
  <si>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</si>
  <si>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</si>
  <si>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</si>
  <si>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</si>
  <si>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</si>
  <si>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</si>
  <si>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</si>
  <si>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</si>
  <si>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</si>
  <si>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</si>
  <si>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</si>
  <si>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</si>
  <si>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</si>
  <si>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</si>
  <si>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</si>
  <si>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</si>
  <si>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</si>
  <si>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</si>
  <si>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</si>
  <si>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</si>
  <si>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</si>
  <si>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</si>
  <si>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</si>
  <si>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</si>
  <si>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</si>
  <si>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</si>
  <si>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</si>
  <si>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</si>
  <si>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</si>
  <si>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</si>
  <si>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</si>
  <si>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</si>
  <si>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</si>
  <si>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</si>
  <si>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</si>
  <si>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</si>
  <si>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</si>
  <si>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</si>
  <si>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</si>
  <si>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</si>
  <si>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</si>
  <si>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</si>
  <si>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</si>
  <si>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</si>
  <si>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</si>
  <si>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</si>
  <si>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</si>
  <si>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</si>
  <si>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</si>
  <si>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</si>
  <si>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</si>
  <si>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</si>
  <si>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</si>
  <si>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</si>
  <si>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</si>
  <si>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</si>
  <si>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</si>
  <si>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</si>
  <si>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</si>
  <si>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</si>
  <si>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</si>
  <si>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</si>
  <si>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</si>
  <si>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</si>
  <si>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</si>
  <si>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</si>
  <si>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</si>
  <si>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</si>
  <si>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</si>
  <si>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</si>
  <si>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</si>
  <si>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</si>
  <si>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</si>
  <si>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</si>
  <si>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</si>
  <si>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</si>
  <si>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</si>
  <si>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</si>
  <si>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</si>
  <si>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</si>
  <si>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</si>
  <si>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</si>
  <si>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</si>
  <si>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</si>
  <si>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</si>
  <si>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</si>
  <si>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</si>
  <si>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</si>
  <si>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</si>
  <si>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</si>
  <si>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</si>
  <si>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</si>
  <si>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</si>
  <si>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</si>
  <si>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</si>
  <si>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</si>
  <si>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</si>
  <si>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</si>
  <si>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</si>
  <si>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</si>
  <si>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</si>
  <si>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</si>
  <si>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</si>
  <si>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</si>
  <si>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</si>
  <si>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</si>
  <si>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</si>
  <si>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</si>
  <si>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</si>
  <si>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</si>
  <si>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</si>
  <si>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</si>
  <si>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</si>
  <si>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</si>
  <si>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</si>
  <si>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</si>
  <si>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</si>
  <si>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</si>
  <si>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</si>
  <si>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</si>
  <si>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</si>
  <si>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</si>
  <si>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</si>
  <si>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</si>
  <si>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</si>
  <si>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</si>
  <si>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</si>
  <si>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</si>
  <si>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</si>
  <si>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</si>
  <si>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</si>
  <si>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</si>
  <si>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</si>
  <si>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</si>
  <si>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</si>
  <si>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</si>
  <si>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</si>
  <si>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</si>
  <si>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</si>
  <si>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</si>
  <si>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</si>
  <si>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</si>
  <si>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</si>
  <si>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</si>
  <si>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</si>
  <si>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</si>
  <si>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</si>
  <si>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</si>
  <si>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</si>
  <si>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</si>
  <si>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</si>
  <si>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</si>
  <si>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</si>
  <si>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</si>
  <si>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</si>
  <si>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</si>
  <si>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</si>
  <si>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</si>
  <si>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</si>
  <si>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</si>
  <si>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</si>
  <si>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</si>
  <si>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</si>
  <si>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</si>
  <si>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</si>
  <si>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</si>
  <si>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</si>
  <si>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</si>
  <si>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</si>
  <si>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</si>
  <si>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</si>
  <si>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</si>
  <si>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</si>
  <si>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</si>
  <si>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</si>
  <si>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</si>
  <si>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</si>
  <si>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</si>
  <si>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</si>
  <si>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</si>
  <si>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</si>
  <si>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</si>
  <si>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</si>
  <si>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</si>
  <si>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</si>
  <si>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</si>
  <si>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</si>
  <si>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</si>
  <si>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</si>
  <si>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</si>
  <si>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</si>
  <si>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</si>
  <si>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</si>
  <si>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</si>
  <si>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</si>
  <si>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</si>
  <si>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</si>
  <si>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</si>
  <si>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</si>
  <si>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</si>
  <si>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</si>
  <si>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</si>
  <si>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</si>
  <si>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</si>
  <si>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</si>
  <si>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</si>
  <si>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</si>
  <si>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</si>
  <si>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</si>
  <si>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</si>
  <si>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</si>
  <si>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</si>
  <si>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</si>
  <si>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</si>
  <si>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</si>
  <si>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</si>
  <si>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</si>
  <si>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</si>
  <si>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</si>
  <si>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</si>
  <si>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</si>
  <si>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</si>
  <si>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</si>
  <si>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</si>
  <si>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</si>
  <si>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</si>
  <si>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</si>
  <si>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</si>
  <si>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</si>
  <si>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</si>
  <si>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</si>
  <si>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</si>
  <si>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</si>
  <si>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</si>
  <si>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</si>
  <si>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</si>
  <si>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</si>
  <si>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</si>
  <si>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</si>
  <si>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</si>
  <si>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</si>
  <si>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</si>
  <si>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</si>
  <si>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</si>
  <si>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</si>
  <si>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</si>
  <si>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</si>
  <si>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</si>
  <si>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</si>
  <si>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</si>
  <si>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</si>
  <si>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</si>
  <si>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</si>
  <si>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</si>
  <si>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</si>
  <si>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</si>
  <si>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</si>
  <si>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</si>
  <si>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</si>
  <si>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</si>
  <si>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</si>
  <si>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</si>
  <si>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</si>
  <si>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</si>
  <si>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</si>
  <si>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</si>
  <si>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</si>
  <si>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</si>
  <si>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</si>
  <si>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</si>
  <si>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</si>
  <si>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</si>
  <si>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</si>
  <si>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</si>
  <si>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</si>
  <si>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</si>
  <si>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</si>
  <si>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</si>
  <si>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</si>
  <si>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</si>
  <si>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</si>
  <si>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</si>
  <si>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</si>
  <si>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</si>
  <si>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</si>
  <si>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</si>
  <si>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</si>
  <si>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</si>
  <si>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</si>
  <si>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</si>
  <si>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</si>
  <si>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</si>
  <si>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</si>
  <si>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</si>
  <si>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</si>
  <si>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</si>
  <si>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</si>
  <si>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</si>
  <si>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</si>
  <si>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</si>
  <si>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</si>
  <si>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</si>
  <si>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</si>
  <si>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</si>
  <si>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</si>
  <si>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</si>
  <si>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</si>
  <si>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</si>
  <si>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</si>
  <si>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</si>
  <si>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</si>
  <si>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</si>
  <si>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</si>
  <si>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</si>
  <si>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</si>
  <si>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</si>
  <si>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</si>
  <si>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</si>
  <si>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</si>
  <si>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</si>
  <si>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</si>
  <si>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</si>
  <si>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</si>
  <si>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</si>
  <si>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</si>
  <si>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</si>
  <si>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</si>
  <si>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</si>
  <si>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</si>
  <si>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</si>
  <si>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</si>
  <si>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</si>
  <si>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</si>
  <si>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</si>
  <si>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</si>
  <si>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</si>
  <si>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</si>
  <si>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</si>
  <si>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</si>
  <si>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</si>
  <si>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</si>
  <si>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</si>
  <si>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</si>
  <si>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</si>
  <si>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</si>
  <si>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</si>
  <si>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</si>
  <si>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</si>
  <si>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</si>
  <si>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</si>
  <si>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</si>
  <si>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</si>
  <si>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</si>
  <si>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</si>
  <si>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</si>
  <si>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</si>
  <si>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</si>
  <si>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</si>
  <si>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</si>
  <si>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</si>
  <si>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</si>
  <si>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</si>
  <si>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</si>
  <si>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</si>
  <si>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</si>
  <si>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</si>
  <si>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</si>
  <si>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</si>
  <si>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</si>
  <si>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</si>
  <si>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</si>
  <si>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</si>
  <si>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</si>
  <si>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</si>
  <si>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</si>
  <si>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</si>
  <si>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</si>
  <si>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</si>
  <si>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</si>
  <si>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</si>
  <si>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</si>
  <si>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</si>
  <si>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</si>
  <si>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</si>
  <si>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</si>
  <si>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</si>
  <si>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</si>
  <si>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</si>
  <si>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</si>
  <si>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</si>
  <si>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</si>
  <si>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</si>
  <si>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</si>
  <si>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</si>
  <si>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</si>
  <si>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</si>
  <si>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</si>
  <si>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</si>
  <si>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</si>
  <si>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</si>
  <si>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</si>
  <si>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</si>
  <si>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</si>
  <si>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</si>
  <si>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</si>
  <si>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</si>
  <si>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</si>
  <si>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</si>
  <si>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</si>
  <si>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</si>
  <si>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</si>
  <si>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</si>
  <si>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</si>
  <si>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</si>
  <si>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</si>
  <si>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</si>
  <si>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</si>
  <si>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</si>
  <si>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</si>
  <si>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</si>
  <si>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</si>
  <si>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</si>
  <si>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</si>
  <si>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</si>
  <si>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</si>
  <si>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</si>
  <si>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</si>
  <si>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</si>
  <si>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</si>
  <si>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</si>
  <si>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</si>
  <si>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</si>
  <si>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</si>
  <si>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</si>
  <si>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</si>
  <si>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</si>
  <si>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</si>
  <si>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</si>
  <si>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</si>
  <si>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</si>
  <si>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</si>
  <si>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</si>
  <si>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</si>
  <si>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</si>
  <si>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</si>
  <si>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</si>
  <si>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</si>
  <si>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</si>
  <si>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</si>
  <si>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</si>
  <si>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</si>
  <si>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</si>
  <si>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</si>
  <si>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</si>
  <si>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</si>
  <si>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</si>
  <si>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</si>
  <si>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</si>
  <si>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</si>
  <si>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</si>
  <si>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</si>
  <si>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</si>
  <si>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</si>
  <si>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</si>
  <si>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</si>
  <si>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</si>
  <si>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</si>
  <si>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</si>
  <si>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</si>
  <si>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</si>
  <si>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</si>
  <si>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</si>
  <si>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</si>
  <si>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</si>
  <si>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</si>
  <si>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</si>
  <si>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</si>
  <si>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</si>
  <si>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</si>
  <si>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</si>
  <si>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</si>
  <si>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</si>
  <si>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</si>
  <si>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</si>
  <si>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</si>
  <si>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</si>
  <si>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</si>
  <si>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</si>
  <si>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</si>
  <si>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</si>
  <si>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</si>
  <si>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</si>
  <si>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</si>
  <si>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</si>
  <si>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</si>
  <si>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</si>
  <si>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</si>
  <si>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</si>
  <si>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</si>
  <si>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</si>
  <si>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</si>
  <si>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</si>
  <si>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</si>
  <si>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</si>
  <si>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</si>
  <si>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</si>
  <si>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</si>
  <si>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</si>
  <si>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</si>
  <si>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</si>
  <si>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</si>
  <si>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</si>
  <si>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</si>
  <si>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</si>
  <si>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</si>
  <si>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</si>
  <si>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</si>
  <si>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</si>
  <si>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</si>
  <si>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</si>
  <si>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</si>
  <si>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</si>
  <si>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</si>
  <si>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</si>
  <si>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</si>
  <si>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</si>
  <si>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</si>
  <si>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</si>
  <si>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</si>
  <si>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</si>
  <si>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</si>
  <si>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</si>
  <si>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</si>
  <si>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</si>
  <si>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</si>
  <si>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</si>
  <si>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</si>
  <si>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</si>
  <si>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</si>
  <si>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</si>
  <si>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</si>
  <si>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</si>
  <si>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</si>
  <si>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</si>
  <si>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</si>
  <si>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</si>
  <si>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</si>
  <si>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</si>
  <si>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</si>
  <si>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</si>
  <si>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</si>
  <si>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</si>
  <si>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</si>
  <si>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</si>
  <si>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</si>
  <si>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</si>
  <si>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</si>
  <si>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</si>
  <si>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</si>
  <si>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</si>
  <si>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</si>
  <si>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</si>
  <si>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</si>
  <si>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</si>
  <si>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</si>
  <si>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</si>
  <si>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</si>
  <si>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</si>
  <si>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</si>
  <si>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</si>
  <si>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</si>
  <si>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</si>
  <si>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</si>
  <si>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</si>
  <si>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</si>
  <si>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</si>
  <si>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</si>
  <si>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</si>
  <si>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</si>
  <si>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</si>
  <si>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</si>
  <si>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</si>
  <si>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</si>
  <si>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</si>
  <si>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</si>
  <si>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</si>
  <si>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</si>
  <si>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</si>
  <si>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</si>
  <si>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</si>
  <si>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</si>
  <si>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</si>
  <si>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</si>
  <si>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</si>
  <si>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</si>
  <si>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</si>
  <si>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</si>
  <si>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</si>
  <si>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</si>
  <si>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</si>
  <si>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</si>
  <si>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</si>
  <si>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</si>
  <si>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</si>
  <si>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</si>
  <si>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</si>
  <si>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</si>
  <si>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</si>
  <si>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</si>
  <si>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</si>
  <si>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</si>
  <si>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</si>
  <si>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</si>
  <si>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</si>
  <si>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</si>
  <si>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</si>
  <si>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</si>
  <si>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</si>
  <si>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</si>
  <si>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</si>
  <si>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</si>
  <si>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</si>
  <si>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</si>
  <si>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</si>
  <si>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</si>
  <si>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</si>
  <si>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</si>
  <si>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</si>
  <si>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</si>
  <si>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</si>
  <si>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</si>
  <si>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</si>
  <si>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</si>
  <si>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</si>
  <si>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</si>
  <si>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</si>
  <si>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</si>
  <si>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</si>
  <si>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</si>
  <si>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</si>
  <si>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</si>
  <si>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</si>
  <si>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</si>
  <si>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</si>
  <si>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</si>
  <si>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</si>
  <si>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</si>
  <si>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</si>
  <si>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</si>
  <si>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</si>
  <si>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</si>
  <si>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</si>
  <si>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</si>
  <si>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</si>
  <si>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</si>
  <si>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</si>
  <si>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</si>
  <si>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</si>
  <si>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</si>
  <si>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</si>
  <si>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</si>
  <si>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</si>
  <si>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</si>
  <si>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</si>
  <si>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</si>
  <si>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</si>
  <si>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</si>
  <si>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</si>
  <si>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</si>
  <si>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</si>
  <si>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</si>
  <si>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</si>
  <si>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</si>
  <si>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</si>
  <si>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</si>
  <si>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</si>
  <si>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</si>
  <si>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</si>
  <si>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</si>
  <si>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</si>
  <si>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</si>
  <si>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</si>
  <si>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</si>
  <si>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</si>
  <si>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</si>
  <si>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</si>
  <si>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</si>
  <si>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</si>
  <si>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</si>
  <si>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</si>
  <si>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</si>
  <si>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</si>
  <si>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</si>
  <si>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</si>
  <si>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</si>
  <si>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</si>
  <si>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</si>
  <si>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</si>
  <si>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</si>
  <si>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</si>
  <si>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</si>
  <si>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</si>
  <si>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</si>
  <si>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</si>
  <si>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</si>
  <si>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</si>
  <si>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</si>
  <si>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</si>
  <si>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</si>
  <si>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</si>
  <si>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</si>
  <si>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</si>
  <si>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</si>
  <si>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</si>
  <si>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</si>
  <si>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</si>
  <si>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</si>
  <si>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</si>
  <si>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</si>
  <si>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</si>
  <si>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</si>
  <si>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</si>
  <si>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</si>
  <si>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</si>
  <si>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</si>
  <si>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</si>
  <si>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</si>
  <si>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</si>
  <si>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</si>
  <si>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</si>
  <si>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</si>
  <si>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</si>
  <si>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</si>
  <si>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</si>
  <si>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</si>
  <si>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</si>
  <si>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</si>
  <si>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</si>
  <si>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</si>
  <si>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</si>
  <si>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</si>
  <si>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</si>
  <si>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</si>
  <si>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</si>
  <si>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</si>
  <si>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</si>
  <si>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</si>
  <si>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</si>
  <si>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</si>
  <si>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</si>
  <si>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</si>
  <si>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</si>
  <si>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</si>
  <si>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</si>
  <si>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</si>
  <si>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</si>
  <si>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</si>
  <si>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</si>
  <si>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</si>
  <si>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</si>
  <si>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</si>
  <si>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</si>
  <si>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</si>
  <si>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</si>
  <si>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</si>
  <si>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</si>
  <si>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</si>
  <si>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</si>
  <si>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</si>
  <si>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</si>
  <si>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</si>
  <si>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</si>
  <si>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</si>
  <si>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</si>
  <si>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</si>
  <si>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</si>
  <si>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</si>
  <si>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</si>
  <si>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</si>
  <si>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</si>
  <si>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</si>
  <si>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</si>
  <si>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</si>
  <si>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</si>
  <si>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</si>
  <si>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</si>
  <si>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</si>
  <si>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</si>
  <si>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</si>
  <si>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</si>
  <si>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</si>
  <si>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</si>
  <si>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</si>
  <si>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</si>
  <si>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</si>
  <si>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</si>
  <si>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</si>
  <si>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</si>
  <si>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</si>
  <si>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</si>
  <si>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</si>
  <si>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</si>
  <si>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</si>
  <si>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</si>
  <si>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</si>
  <si>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</si>
  <si>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</si>
  <si>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</si>
  <si>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</si>
  <si>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</si>
  <si>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</si>
  <si>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</si>
  <si>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</si>
  <si>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</si>
  <si>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</si>
  <si>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</si>
  <si>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</si>
  <si>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</si>
  <si>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</si>
  <si>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</si>
  <si>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</si>
  <si>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</si>
  <si>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</si>
  <si>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</si>
  <si>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</si>
  <si>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</si>
  <si>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</si>
  <si>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</si>
  <si>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</si>
  <si>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</si>
  <si>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</si>
  <si>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</si>
  <si>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</si>
  <si>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</si>
  <si>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</si>
  <si>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</si>
  <si>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</si>
  <si>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</si>
  <si>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</si>
  <si>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</si>
  <si>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</si>
  <si>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</si>
  <si>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</si>
  <si>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</si>
  <si>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</si>
  <si>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</si>
  <si>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</si>
  <si>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</si>
  <si>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</si>
  <si>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</si>
  <si>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</si>
  <si>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</si>
  <si>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</si>
  <si>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</si>
  <si>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</si>
  <si>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</si>
  <si>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</si>
  <si>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</si>
  <si>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</si>
  <si>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</si>
  <si>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</si>
  <si>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</si>
  <si>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</si>
  <si>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</si>
  <si>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</si>
  <si>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</si>
  <si>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</si>
  <si>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</si>
  <si>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</si>
  <si>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</si>
  <si>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</si>
  <si>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</si>
  <si>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</si>
  <si>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</si>
  <si>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</si>
  <si>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</si>
  <si>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</si>
  <si>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</si>
  <si>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</si>
  <si>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</si>
  <si>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</si>
  <si>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</si>
  <si>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</si>
  <si>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</si>
  <si>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</si>
  <si>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</si>
  <si>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</si>
  <si>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</si>
  <si>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</si>
  <si>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</si>
  <si>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</si>
  <si>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</si>
  <si>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</si>
  <si>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</si>
  <si>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</si>
  <si>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</si>
  <si>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</si>
  <si>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</si>
  <si>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</si>
  <si>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</si>
  <si>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</si>
  <si>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</si>
  <si>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</si>
  <si>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</si>
  <si>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</si>
  <si>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</si>
  <si>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</si>
  <si>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</si>
  <si>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</si>
  <si>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</si>
  <si>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</si>
  <si>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</si>
  <si>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</si>
  <si>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</si>
  <si>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</si>
  <si>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</si>
  <si>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</si>
  <si>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</si>
  <si>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</si>
  <si>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</si>
  <si>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</si>
  <si>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</si>
  <si>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</si>
  <si>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</si>
  <si>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</si>
  <si>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</si>
  <si>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</si>
  <si>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</si>
  <si>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</si>
  <si>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</si>
  <si>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</si>
  <si>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</si>
  <si>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</si>
  <si>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</si>
  <si>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</si>
  <si>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</si>
  <si>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</si>
  <si>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</si>
  <si>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</si>
  <si>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</si>
  <si>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</si>
  <si>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</si>
  <si>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</si>
  <si>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</si>
  <si>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</si>
  <si>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</si>
  <si>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</si>
  <si>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</si>
  <si>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</si>
  <si>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</si>
  <si>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</si>
  <si>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</si>
  <si>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</si>
  <si>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</si>
  <si>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</si>
  <si>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</si>
  <si>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</si>
  <si>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</si>
  <si>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</si>
  <si>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</si>
  <si>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</si>
  <si>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</si>
  <si>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</si>
  <si>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</si>
  <si>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</si>
  <si>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</si>
  <si>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</si>
  <si>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</si>
  <si>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</si>
  <si>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</si>
  <si>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</si>
  <si>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</si>
  <si>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</si>
  <si>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</si>
  <si>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</si>
  <si>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</si>
  <si>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</si>
  <si>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</si>
  <si>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</si>
  <si>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</si>
  <si>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</si>
  <si>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</si>
  <si>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</si>
  <si>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</si>
  <si>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</si>
  <si>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</si>
  <si>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</si>
  <si>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</si>
  <si>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</si>
  <si>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</si>
  <si>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</si>
  <si>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</si>
  <si>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</si>
  <si>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</si>
  <si>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</si>
  <si>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</si>
  <si>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</si>
  <si>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</si>
  <si>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</si>
  <si>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</si>
  <si>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</si>
  <si>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</si>
  <si>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</si>
  <si>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</si>
  <si>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</si>
  <si>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</si>
  <si>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</si>
  <si>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</si>
  <si>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</si>
  <si>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</si>
  <si>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</si>
  <si>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</si>
  <si>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</si>
  <si>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</si>
  <si>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</si>
  <si>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</si>
  <si>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</si>
  <si>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</si>
  <si>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</si>
  <si>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</si>
  <si>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</si>
  <si>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</si>
  <si>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</si>
  <si>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</si>
  <si>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</si>
  <si>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</si>
  <si>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</si>
  <si>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</si>
  <si>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</si>
  <si>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</si>
  <si>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</si>
  <si>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</si>
  <si>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</si>
  <si>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</si>
  <si>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</si>
  <si>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</si>
  <si>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</si>
  <si>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</si>
  <si>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</si>
  <si>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</si>
  <si>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</si>
  <si>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</si>
  <si>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</si>
  <si>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</si>
  <si>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</si>
  <si>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</si>
  <si>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</si>
  <si>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</si>
  <si>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</si>
  <si>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</si>
  <si>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</si>
  <si>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</si>
  <si>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</si>
  <si>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</si>
  <si>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</si>
  <si>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</si>
  <si>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</si>
  <si>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</si>
  <si>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</si>
  <si>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</si>
  <si>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</si>
  <si>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</si>
  <si>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</si>
  <si>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</si>
  <si>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</si>
  <si>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</si>
  <si>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</si>
  <si>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</si>
  <si>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</si>
  <si>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</si>
  <si>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</si>
  <si>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</si>
  <si>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</si>
  <si>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</si>
  <si>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</si>
  <si>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</si>
  <si>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</si>
  <si>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</si>
  <si>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</si>
  <si>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</si>
  <si>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</si>
  <si>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</si>
  <si>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</si>
  <si>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</si>
  <si>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</si>
  <si>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</si>
  <si>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</si>
  <si>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</si>
  <si>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</si>
  <si>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</si>
  <si>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</si>
  <si>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</si>
  <si>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</si>
  <si>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</si>
  <si>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</si>
  <si>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</si>
  <si>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</si>
  <si>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</si>
  <si>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</si>
  <si>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</si>
  <si>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</si>
  <si>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</si>
  <si>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</si>
  <si>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</si>
  <si>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</si>
  <si>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</si>
  <si>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</si>
  <si>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</si>
  <si>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</si>
  <si>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</si>
  <si>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</si>
  <si>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</si>
  <si>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</si>
  <si>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</si>
  <si>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</si>
  <si>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</si>
  <si>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</si>
  <si>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</si>
  <si>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</si>
  <si>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</si>
  <si>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</si>
  <si>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</si>
  <si>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</si>
  <si>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</si>
  <si>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</si>
  <si>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</si>
  <si>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</si>
  <si>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</si>
  <si>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</si>
  <si>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</si>
  <si>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</si>
  <si>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</si>
  <si>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</si>
  <si>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</si>
  <si>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</si>
  <si>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</si>
  <si>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</si>
  <si>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</si>
  <si>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</si>
  <si>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</si>
  <si>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</si>
  <si>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</si>
  <si>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</si>
  <si>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</si>
  <si>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</si>
  <si>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</si>
  <si>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</si>
  <si>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</si>
  <si>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</si>
  <si>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</si>
  <si>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</si>
  <si>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</si>
  <si>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</si>
  <si>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</si>
  <si>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</si>
  <si>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</si>
  <si>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</si>
  <si>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</si>
  <si>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</si>
  <si>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</si>
  <si>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</si>
  <si>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</si>
  <si>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</si>
  <si>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</si>
  <si>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</si>
  <si>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</si>
  <si>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</si>
  <si>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</si>
  <si>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</si>
  <si>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</si>
  <si>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</si>
  <si>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</si>
  <si>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</si>
  <si>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</si>
  <si>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</si>
  <si>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</si>
  <si>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</si>
  <si>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</si>
  <si>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</si>
  <si>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</si>
  <si>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</si>
  <si>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</si>
  <si>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</si>
  <si>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</si>
  <si>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</si>
  <si>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</si>
  <si>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</si>
  <si>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</si>
  <si>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</si>
  <si>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</si>
  <si>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</si>
  <si>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</si>
  <si>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</si>
  <si>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</si>
  <si>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</si>
  <si>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</si>
  <si>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</si>
  <si>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</si>
  <si>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</si>
  <si>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</si>
  <si>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</si>
  <si>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</si>
  <si>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</si>
  <si>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</si>
  <si>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</si>
  <si>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</si>
  <si>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</si>
  <si>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</si>
  <si>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</si>
  <si>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</si>
  <si>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</si>
  <si>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</si>
  <si>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</si>
  <si>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</si>
  <si>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</si>
  <si>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</si>
  <si>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</si>
  <si>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</si>
  <si>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</si>
  <si>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</si>
  <si>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</si>
  <si>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</si>
  <si>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</si>
  <si>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</si>
  <si>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</si>
  <si>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</si>
  <si>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</si>
  <si>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</si>
  <si>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</si>
  <si>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</si>
  <si>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</si>
  <si>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</si>
  <si>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</si>
  <si>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</si>
  <si>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</si>
  <si>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</si>
  <si>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</si>
  <si>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</si>
  <si>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</si>
  <si>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</si>
  <si>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</si>
  <si>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</si>
  <si>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</si>
  <si>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</si>
  <si>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</si>
  <si>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</si>
  <si>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</si>
  <si>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</si>
  <si>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</si>
  <si>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</si>
  <si>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</si>
  <si>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</si>
  <si>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</si>
  <si>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</si>
  <si>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</si>
  <si>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</si>
  <si>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</si>
  <si>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</si>
  <si>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</si>
  <si>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</si>
  <si>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</si>
  <si>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</si>
  <si>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</si>
  <si>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</si>
  <si>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</si>
  <si>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</si>
  <si>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</si>
  <si>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</si>
  <si>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</si>
  <si>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</si>
  <si>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</si>
  <si>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</si>
  <si>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</si>
  <si>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</si>
  <si>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</si>
  <si>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</si>
  <si>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</si>
  <si>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</si>
  <si>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</si>
  <si>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</si>
  <si>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</si>
  <si>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</si>
  <si>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</si>
  <si>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</si>
  <si>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</si>
  <si>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</si>
  <si>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</si>
  <si>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</si>
  <si>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</si>
  <si>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</si>
  <si>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</si>
  <si>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</si>
  <si>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</si>
  <si>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</si>
  <si>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</si>
  <si>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</si>
  <si>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</si>
  <si>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</si>
  <si>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</si>
  <si>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</si>
  <si>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</si>
  <si>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</si>
  <si>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</si>
  <si>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</si>
  <si>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</si>
  <si>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</si>
  <si>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</si>
  <si>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</si>
  <si>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</si>
  <si>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</si>
  <si>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</si>
  <si>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</si>
  <si>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</si>
  <si>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</si>
  <si>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</si>
  <si>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</si>
  <si>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</si>
  <si>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</si>
  <si>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</si>
  <si>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</si>
  <si>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</si>
  <si>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</si>
  <si>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</si>
  <si>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</si>
  <si>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</si>
  <si>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</si>
  <si>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</si>
  <si>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</si>
  <si>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</si>
  <si>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</si>
  <si>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</si>
  <si>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</si>
  <si>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</si>
  <si>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</si>
  <si>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</si>
  <si>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</si>
  <si>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</si>
  <si>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</si>
  <si>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</si>
  <si>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</si>
  <si>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</si>
  <si>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</si>
  <si>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</si>
  <si>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</si>
  <si>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</si>
  <si>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</si>
  <si>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</si>
  <si>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</si>
  <si>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</si>
  <si>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</si>
  <si>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</si>
  <si>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</si>
  <si>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</si>
  <si>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</si>
  <si>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</si>
  <si>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</si>
  <si>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</si>
  <si>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</si>
  <si>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</si>
  <si>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</si>
  <si>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</si>
  <si>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</si>
  <si>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</si>
  <si>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</si>
  <si>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</si>
  <si>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</si>
  <si>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</si>
  <si>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</si>
  <si>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</si>
  <si>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</si>
  <si>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</si>
  <si>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</si>
  <si>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</si>
  <si>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</si>
  <si>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</si>
  <si>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</si>
  <si>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</si>
  <si>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</si>
  <si>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</si>
  <si>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</si>
  <si>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</si>
  <si>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</si>
  <si>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</si>
  <si>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</si>
  <si>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</si>
  <si>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</si>
  <si>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</si>
  <si>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</si>
  <si>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</si>
  <si>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</si>
  <si>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</si>
  <si>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</si>
  <si>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</si>
  <si>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</si>
  <si>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</si>
  <si>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</si>
  <si>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</si>
  <si>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</si>
  <si>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</si>
  <si>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</si>
  <si>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</si>
  <si>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</si>
  <si>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</si>
  <si>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</si>
  <si>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</si>
  <si>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</si>
  <si>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</si>
  <si>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</si>
  <si>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</si>
  <si>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</si>
  <si>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</si>
  <si>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</si>
  <si>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</si>
  <si>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</si>
  <si>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</si>
  <si>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</si>
  <si>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</si>
  <si>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</si>
  <si>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</si>
  <si>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</si>
  <si>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</si>
  <si>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</si>
  <si>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</si>
  <si>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</si>
  <si>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</si>
  <si>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</si>
  <si>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</si>
  <si>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</si>
  <si>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</si>
  <si>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</si>
  <si>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</si>
  <si>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</si>
  <si>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</si>
  <si>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</si>
  <si>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</si>
  <si>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</si>
  <si>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</si>
  <si>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</si>
  <si>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</si>
  <si>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</si>
  <si>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</si>
  <si>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</si>
  <si>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</si>
  <si>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</si>
  <si>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</si>
  <si>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</si>
  <si>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</si>
  <si>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</si>
  <si>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</si>
  <si>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</si>
  <si>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</si>
  <si>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</si>
  <si>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</si>
  <si>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</si>
  <si>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</si>
  <si>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</si>
  <si>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</si>
  <si>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</si>
  <si>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</si>
  <si>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</si>
  <si>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</si>
  <si>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</si>
  <si>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</si>
  <si>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</si>
  <si>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</si>
  <si>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</si>
  <si>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</si>
  <si>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</si>
  <si>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</si>
  <si>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</si>
  <si>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</si>
  <si>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</si>
  <si>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</si>
  <si>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</si>
  <si>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</si>
  <si>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</si>
  <si>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</si>
  <si>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</si>
  <si>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</si>
  <si>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</si>
  <si>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</si>
  <si>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</si>
  <si>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</si>
  <si>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</si>
  <si>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</si>
  <si>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</si>
  <si>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</si>
  <si>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</si>
  <si>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</si>
  <si>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</si>
  <si>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</si>
  <si>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</si>
  <si>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</si>
  <si>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</si>
  <si>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</si>
  <si>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</si>
  <si>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</si>
  <si>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</si>
  <si>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</si>
  <si>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</si>
  <si>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</si>
  <si>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</si>
  <si>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</si>
  <si>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</si>
  <si>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</si>
  <si>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</si>
  <si>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</si>
  <si>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</si>
  <si>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</si>
  <si>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</si>
  <si>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</si>
  <si>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</si>
  <si>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</si>
  <si>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</si>
  <si>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</si>
  <si>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</si>
  <si>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</si>
  <si>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</si>
  <si>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</si>
  <si>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</si>
  <si>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</si>
  <si>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</si>
  <si>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</si>
  <si>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</si>
  <si>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</si>
  <si>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</si>
  <si>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</si>
  <si>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</si>
  <si>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</si>
  <si>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</si>
  <si>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</si>
  <si>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</si>
  <si>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</si>
  <si>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</si>
  <si>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</si>
  <si>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</si>
  <si>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</si>
  <si>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</si>
  <si>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</si>
  <si>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</si>
  <si>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</si>
  <si>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</si>
  <si>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</si>
  <si>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</si>
  <si>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</si>
  <si>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</si>
  <si>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</si>
  <si>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</si>
  <si>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</si>
  <si>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</si>
  <si>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</si>
  <si>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</si>
  <si>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</si>
  <si>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</si>
  <si>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</si>
  <si>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</si>
  <si>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</si>
  <si>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</si>
  <si>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</si>
  <si>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</si>
  <si>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</si>
  <si>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</si>
  <si>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</si>
  <si>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</si>
  <si>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</si>
  <si>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</si>
  <si>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</si>
  <si>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</si>
  <si>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</si>
  <si>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</si>
  <si>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</si>
  <si>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</si>
  <si>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</si>
  <si>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</si>
  <si>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</si>
  <si>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</si>
  <si>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</si>
  <si>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</si>
  <si>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</si>
  <si>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</si>
  <si>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</si>
  <si>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</si>
  <si>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</si>
  <si>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</si>
  <si>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</si>
  <si>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</si>
  <si>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</si>
  <si>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</si>
  <si>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</si>
  <si>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</si>
  <si>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</si>
  <si>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</si>
  <si>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</si>
  <si>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</si>
  <si>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</si>
  <si>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</si>
  <si>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</si>
  <si>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</si>
  <si>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</si>
  <si>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</si>
  <si>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</si>
  <si>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</si>
  <si>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</si>
  <si>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</si>
  <si>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</si>
  <si>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</si>
  <si>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</si>
  <si>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</si>
  <si>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</si>
  <si>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</si>
  <si>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</si>
  <si>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</si>
  <si>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</si>
  <si>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</si>
  <si>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</si>
  <si>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</si>
  <si>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</si>
  <si>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</si>
  <si>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</si>
  <si>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</si>
  <si>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</si>
  <si>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</si>
  <si>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</si>
  <si>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</si>
  <si>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</si>
  <si>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</si>
  <si>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</si>
  <si>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</si>
  <si>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</si>
  <si>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</si>
  <si>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</si>
  <si>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</si>
  <si>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</si>
  <si>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</si>
  <si>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</si>
  <si>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</si>
  <si>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</si>
  <si>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</si>
  <si>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</si>
  <si>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</si>
  <si>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</si>
  <si>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</si>
  <si>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</si>
  <si>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</si>
  <si>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</si>
  <si>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</si>
  <si>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</si>
  <si>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</si>
  <si>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</si>
  <si>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</si>
  <si>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</si>
  <si>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</si>
  <si>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</si>
  <si>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</si>
  <si>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</si>
  <si>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</si>
  <si>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</si>
  <si>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</si>
  <si>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</si>
  <si>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</si>
  <si>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</si>
  <si>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</si>
  <si>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</si>
  <si>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</si>
  <si>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</si>
  <si>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</si>
  <si>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</si>
  <si>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</si>
  <si>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</si>
  <si>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</si>
  <si>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</si>
  <si>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</si>
  <si>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</si>
  <si>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</si>
  <si>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</si>
  <si>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</si>
  <si>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</si>
  <si>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</si>
  <si>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</si>
  <si>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</si>
  <si>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</si>
  <si>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</si>
  <si>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</si>
  <si>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</si>
  <si>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</si>
  <si>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</si>
  <si>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</si>
  <si>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</si>
  <si>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</si>
  <si>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</si>
  <si>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</si>
  <si>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</si>
  <si>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</si>
  <si>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</si>
  <si>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</si>
  <si>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</si>
  <si>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</si>
  <si>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</si>
  <si>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</si>
  <si>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</si>
  <si>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</si>
  <si>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</si>
  <si>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</si>
  <si>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</si>
  <si>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</si>
  <si>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</si>
  <si>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</si>
  <si>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</si>
  <si>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</si>
  <si>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</si>
  <si>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</si>
  <si>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</si>
  <si>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</si>
  <si>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</si>
  <si>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</si>
  <si>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</si>
  <si>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</si>
  <si>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</si>
  <si>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</si>
  <si>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</si>
  <si>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</si>
  <si>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</si>
  <si>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</si>
  <si>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</si>
  <si>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</si>
  <si>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</si>
  <si>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</si>
  <si>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</si>
  <si>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</si>
  <si>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</si>
  <si>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</si>
  <si>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</si>
  <si>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</si>
  <si>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</si>
  <si>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</si>
  <si>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</si>
  <si>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</si>
  <si>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</si>
  <si>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</si>
  <si>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</si>
  <si>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</si>
  <si>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</si>
  <si>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</si>
  <si>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</si>
  <si>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</si>
  <si>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</si>
  <si>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</si>
  <si>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</si>
  <si>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</si>
  <si>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</si>
  <si>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</si>
  <si>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</si>
  <si>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</si>
  <si>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</si>
  <si>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</si>
  <si>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</si>
  <si>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</si>
  <si>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</si>
  <si>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</si>
  <si>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</si>
  <si>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</si>
  <si>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</si>
  <si>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</si>
  <si>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</si>
  <si>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</si>
  <si>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</si>
  <si>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</si>
  <si>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</si>
  <si>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</si>
  <si>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</si>
  <si>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</si>
  <si>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</si>
  <si>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</si>
  <si>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</si>
  <si>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</si>
  <si>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</si>
  <si>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</si>
  <si>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</si>
  <si>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</si>
  <si>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</si>
  <si>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</si>
  <si>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</si>
  <si>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</si>
  <si>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</si>
  <si>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</si>
  <si>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</si>
  <si>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</si>
  <si>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</si>
  <si>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</si>
  <si>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</si>
  <si>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</si>
  <si>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</si>
  <si>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</si>
  <si>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</si>
  <si>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</si>
  <si>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</si>
  <si>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</si>
  <si>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</si>
  <si>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</si>
  <si>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</si>
  <si>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</si>
  <si>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</si>
  <si>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</si>
  <si>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</si>
  <si>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</si>
  <si>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</si>
  <si>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</si>
  <si>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</si>
  <si>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</si>
  <si>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</si>
  <si>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</si>
  <si>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</si>
  <si>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</si>
  <si>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</si>
  <si>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</si>
  <si>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</si>
  <si>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</si>
  <si>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</si>
  <si>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</si>
  <si>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</si>
  <si>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</si>
  <si>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</si>
  <si>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</si>
  <si>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</si>
  <si>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</si>
  <si>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</si>
  <si>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</si>
  <si>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</si>
  <si>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</si>
  <si>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</si>
  <si>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</si>
  <si>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</si>
  <si>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</si>
  <si>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</si>
  <si>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</si>
  <si>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</si>
  <si>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</si>
  <si>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</si>
  <si>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</si>
  <si>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</si>
  <si>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</si>
  <si>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</si>
  <si>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</si>
  <si>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</si>
  <si>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</si>
  <si>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</si>
  <si>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</si>
  <si>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</si>
  <si>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</si>
  <si>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</si>
  <si>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</si>
  <si>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</si>
  <si>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</si>
  <si>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</si>
  <si>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</si>
  <si>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</si>
  <si>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</si>
  <si>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</si>
  <si>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</si>
  <si>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</si>
  <si>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</si>
  <si>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</si>
  <si>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</si>
  <si>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</si>
  <si>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</si>
  <si>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</si>
  <si>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</si>
  <si>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</si>
  <si>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</si>
  <si>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</si>
  <si>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</si>
  <si>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</si>
  <si>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住宅</t>
  </si>
  <si>
    <t>王鹏</t>
  </si>
  <si>
    <t>郑燚</t>
  </si>
  <si>
    <t>抵押</t>
  </si>
  <si>
    <t>房地产抵押价值</t>
  </si>
  <si>
    <t>其他：</t>
  </si>
  <si>
    <t>江苏省</t>
    <phoneticPr fontId="7" type="noConversion"/>
  </si>
  <si>
    <t>是</t>
  </si>
  <si>
    <t>居住项目</t>
  </si>
  <si>
    <t>在建</t>
  </si>
  <si>
    <t>通路</t>
  </si>
  <si>
    <t>通电</t>
  </si>
  <si>
    <t>通上水</t>
  </si>
  <si>
    <r>
      <t>A</t>
    </r>
    <r>
      <rPr>
        <sz val="11"/>
        <color theme="1"/>
        <rFont val="宋体"/>
        <family val="3"/>
        <charset val="134"/>
        <scheme val="minor"/>
      </rPr>
      <t>1地块</t>
    </r>
    <phoneticPr fontId="144" type="noConversion"/>
  </si>
  <si>
    <r>
      <t>A</t>
    </r>
    <r>
      <rPr>
        <sz val="11"/>
        <color theme="1"/>
        <rFont val="宋体"/>
        <family val="3"/>
        <charset val="134"/>
        <scheme val="minor"/>
      </rPr>
      <t>2地块</t>
    </r>
    <r>
      <rPr>
        <sz val="11"/>
        <color theme="1"/>
        <rFont val="宋体"/>
        <family val="2"/>
        <charset val="134"/>
        <scheme val="minor"/>
      </rPr>
      <t/>
    </r>
  </si>
  <si>
    <t>土地面积</t>
    <phoneticPr fontId="144" type="noConversion"/>
  </si>
  <si>
    <t>建筑面积</t>
    <phoneticPr fontId="144" type="noConversion"/>
  </si>
  <si>
    <t>商业</t>
    <phoneticPr fontId="144" type="noConversion"/>
  </si>
  <si>
    <t>公共配套</t>
    <phoneticPr fontId="144" type="noConversion"/>
  </si>
  <si>
    <t>物业管理</t>
    <phoneticPr fontId="144" type="noConversion"/>
  </si>
  <si>
    <t>设备</t>
    <phoneticPr fontId="144" type="noConversion"/>
  </si>
  <si>
    <r>
      <t>1</t>
    </r>
    <r>
      <rPr>
        <sz val="11"/>
        <color theme="1"/>
        <rFont val="宋体"/>
        <family val="3"/>
        <charset val="134"/>
        <scheme val="minor"/>
      </rPr>
      <t>#</t>
    </r>
    <phoneticPr fontId="14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</si>
  <si>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</si>
  <si>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</si>
  <si>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</si>
  <si>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</si>
  <si>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t>A#</t>
    <phoneticPr fontId="144" type="noConversion"/>
  </si>
  <si>
    <t>住宅</t>
    <phoneticPr fontId="144" type="noConversion"/>
  </si>
  <si>
    <t>地下室</t>
    <phoneticPr fontId="144" type="noConversion"/>
  </si>
  <si>
    <t>7#</t>
  </si>
  <si>
    <t>20#</t>
  </si>
  <si>
    <t>16#</t>
  </si>
  <si>
    <t>2#</t>
  </si>
  <si>
    <t>4#</t>
  </si>
  <si>
    <t>21#</t>
  </si>
  <si>
    <t>17#</t>
  </si>
  <si>
    <t>19#</t>
  </si>
  <si>
    <t>14#</t>
  </si>
  <si>
    <t>8#</t>
  </si>
  <si>
    <t>13#</t>
  </si>
  <si>
    <t>5#</t>
  </si>
  <si>
    <t>23#</t>
  </si>
  <si>
    <t>15#</t>
  </si>
  <si>
    <t>12#</t>
  </si>
  <si>
    <t>1#</t>
    <phoneticPr fontId="144" type="noConversion"/>
  </si>
  <si>
    <t>18#</t>
  </si>
  <si>
    <t>9#</t>
  </si>
  <si>
    <t>22#</t>
  </si>
  <si>
    <t>10#</t>
  </si>
  <si>
    <r>
      <t>1</t>
    </r>
    <r>
      <rPr>
        <sz val="11"/>
        <color theme="1"/>
        <rFont val="宋体"/>
        <family val="3"/>
        <charset val="134"/>
        <scheme val="minor"/>
      </rPr>
      <t>6层</t>
    </r>
    <phoneticPr fontId="144" type="noConversion"/>
  </si>
  <si>
    <t>22层</t>
    <phoneticPr fontId="144" type="noConversion"/>
  </si>
  <si>
    <t>16层</t>
    <phoneticPr fontId="144" type="noConversion"/>
  </si>
  <si>
    <t>22层</t>
    <phoneticPr fontId="144" type="noConversion"/>
  </si>
  <si>
    <t>2层</t>
    <phoneticPr fontId="144" type="noConversion"/>
  </si>
  <si>
    <t>地下1层</t>
    <phoneticPr fontId="144" type="noConversion"/>
  </si>
  <si>
    <t>1#楼14层墙柱15层钢筋绑扎完成，梁板待浇砼</t>
    <phoneticPr fontId="144" type="noConversion"/>
  </si>
  <si>
    <t>2#楼9层墙柱10层钢筋绑扎完成，梁板待浇砼</t>
    <phoneticPr fontId="144" type="noConversion"/>
  </si>
  <si>
    <r>
      <t>3#</t>
    </r>
    <r>
      <rPr>
        <sz val="10.5"/>
        <color theme="1"/>
        <rFont val="宋体"/>
        <family val="3"/>
        <charset val="134"/>
        <scheme val="minor"/>
      </rPr>
      <t>楼</t>
    </r>
    <r>
      <rPr>
        <sz val="10.5"/>
        <color theme="1"/>
        <rFont val="Arial"/>
        <family val="2"/>
      </rPr>
      <t>8</t>
    </r>
    <r>
      <rPr>
        <sz val="10.5"/>
        <color theme="1"/>
        <rFont val="宋体"/>
        <family val="3"/>
        <charset val="134"/>
        <scheme val="minor"/>
      </rPr>
      <t>层墙柱</t>
    </r>
    <r>
      <rPr>
        <sz val="10.5"/>
        <color theme="1"/>
        <rFont val="Arial"/>
        <family val="2"/>
      </rPr>
      <t>9</t>
    </r>
    <r>
      <rPr>
        <sz val="10.5"/>
        <color theme="1"/>
        <rFont val="宋体"/>
        <family val="3"/>
        <charset val="134"/>
        <scheme val="minor"/>
      </rPr>
      <t>层钢筋绑扎完成，梁板待浇砼</t>
    </r>
  </si>
  <si>
    <r>
      <t>4#</t>
    </r>
    <r>
      <rPr>
        <sz val="10.5"/>
        <color theme="1"/>
        <rFont val="宋体"/>
        <family val="3"/>
        <charset val="134"/>
        <scheme val="minor"/>
      </rPr>
      <t>楼</t>
    </r>
    <r>
      <rPr>
        <sz val="10.5"/>
        <color theme="1"/>
        <rFont val="Arial"/>
        <family val="2"/>
      </rPr>
      <t>15</t>
    </r>
    <r>
      <rPr>
        <sz val="10.5"/>
        <color theme="1"/>
        <rFont val="宋体"/>
        <family val="3"/>
        <charset val="134"/>
        <scheme val="minor"/>
      </rPr>
      <t>层墙柱</t>
    </r>
    <r>
      <rPr>
        <sz val="10.5"/>
        <color theme="1"/>
        <rFont val="Arial"/>
        <family val="2"/>
      </rPr>
      <t>16</t>
    </r>
    <r>
      <rPr>
        <sz val="10.5"/>
        <color theme="1"/>
        <rFont val="宋体"/>
        <family val="3"/>
        <charset val="134"/>
        <scheme val="minor"/>
      </rPr>
      <t>层钢筋绑扎完成，结构混凝土待浇筑</t>
    </r>
  </si>
  <si>
    <r>
      <t>5#</t>
    </r>
    <r>
      <rPr>
        <sz val="10.5"/>
        <color theme="1"/>
        <rFont val="宋体"/>
        <family val="3"/>
        <charset val="134"/>
        <scheme val="minor"/>
      </rPr>
      <t>楼</t>
    </r>
    <r>
      <rPr>
        <sz val="10.5"/>
        <color theme="1"/>
        <rFont val="Arial"/>
        <family val="2"/>
      </rPr>
      <t>7</t>
    </r>
    <r>
      <rPr>
        <sz val="10.5"/>
        <color theme="1"/>
        <rFont val="宋体"/>
        <family val="3"/>
        <charset val="134"/>
        <scheme val="minor"/>
      </rPr>
      <t>层墙柱钢筋绑扎</t>
    </r>
  </si>
  <si>
    <t>工程进度</t>
    <phoneticPr fontId="144" type="noConversion"/>
  </si>
  <si>
    <t>无锡</t>
  </si>
  <si>
    <t>无锡</t>
    <phoneticPr fontId="4" type="noConversion"/>
  </si>
  <si>
    <t>6#</t>
    <phoneticPr fontId="144" type="noConversion"/>
  </si>
  <si>
    <t>11#</t>
    <phoneticPr fontId="144" type="noConversion"/>
  </si>
  <si>
    <t>A#</t>
    <phoneticPr fontId="144" type="noConversion"/>
  </si>
  <si>
    <t>B区地下室</t>
    <phoneticPr fontId="144" type="noConversion"/>
  </si>
  <si>
    <t>3#</t>
    <phoneticPr fontId="144" type="noConversion"/>
  </si>
  <si>
    <t>A区地下室</t>
    <phoneticPr fontId="144" type="noConversion"/>
  </si>
  <si>
    <t>1层</t>
    <phoneticPr fontId="144" type="noConversion"/>
  </si>
  <si>
    <t>地下1层</t>
    <phoneticPr fontId="144" type="noConversion"/>
  </si>
  <si>
    <t>5层</t>
    <phoneticPr fontId="144" type="noConversion"/>
  </si>
  <si>
    <t>6层</t>
    <phoneticPr fontId="144" type="noConversion"/>
  </si>
  <si>
    <t>9层</t>
    <phoneticPr fontId="144" type="noConversion"/>
  </si>
  <si>
    <r>
      <t>3#</t>
    </r>
    <r>
      <rPr>
        <sz val="10.5"/>
        <color theme="1"/>
        <rFont val="宋体"/>
        <family val="3"/>
        <charset val="134"/>
        <scheme val="minor"/>
      </rPr>
      <t>楼六层墙柱钢筋封模</t>
    </r>
  </si>
  <si>
    <r>
      <t>6#</t>
    </r>
    <r>
      <rPr>
        <sz val="10.5"/>
        <color theme="1"/>
        <rFont val="宋体"/>
        <family val="3"/>
        <charset val="134"/>
        <scheme val="minor"/>
      </rPr>
      <t>楼六层楼</t>
    </r>
  </si>
  <si>
    <r>
      <t>23#</t>
    </r>
    <r>
      <rPr>
        <sz val="10.5"/>
        <color theme="1"/>
        <rFont val="宋体"/>
        <family val="3"/>
        <charset val="134"/>
        <scheme val="minor"/>
      </rPr>
      <t>楼八层楼面梁板钢筋绑扎完成</t>
    </r>
  </si>
  <si>
    <t>六层楼</t>
    <phoneticPr fontId="144" type="noConversion"/>
  </si>
  <si>
    <r>
      <t>11#</t>
    </r>
    <r>
      <rPr>
        <sz val="10.5"/>
        <color theme="1"/>
        <rFont val="宋体"/>
        <family val="3"/>
        <charset val="134"/>
        <scheme val="minor"/>
      </rPr>
      <t>楼七层楼面平板铺设完成</t>
    </r>
  </si>
  <si>
    <r>
      <t>13#</t>
    </r>
    <r>
      <rPr>
        <sz val="10.5"/>
        <color theme="1"/>
        <rFont val="宋体"/>
        <family val="3"/>
        <charset val="134"/>
        <scheme val="minor"/>
      </rPr>
      <t>楼五层墙柱钢筋封模</t>
    </r>
  </si>
  <si>
    <r>
      <t>16#</t>
    </r>
    <r>
      <rPr>
        <sz val="10.5"/>
        <color theme="1"/>
        <rFont val="宋体"/>
        <family val="3"/>
        <charset val="134"/>
        <scheme val="minor"/>
      </rPr>
      <t>楼七层楼面平板铺设</t>
    </r>
  </si>
  <si>
    <r>
      <t>21#</t>
    </r>
    <r>
      <rPr>
        <sz val="10.5"/>
        <color theme="1"/>
        <rFont val="宋体"/>
        <family val="3"/>
        <charset val="134"/>
        <scheme val="minor"/>
      </rPr>
      <t>楼八层楼面梁板钢筋绑扎</t>
    </r>
  </si>
  <si>
    <r>
      <t>22#</t>
    </r>
    <r>
      <rPr>
        <sz val="10.5"/>
        <color theme="1"/>
        <rFont val="宋体"/>
        <family val="3"/>
        <charset val="134"/>
        <scheme val="minor"/>
      </rPr>
      <t>楼九层楼面叠合板吊装</t>
    </r>
  </si>
  <si>
    <t>七层楼</t>
    <phoneticPr fontId="144" type="noConversion"/>
  </si>
  <si>
    <t>地上</t>
  </si>
  <si>
    <t>高层</t>
  </si>
  <si>
    <t>多层</t>
    <phoneticPr fontId="144" type="noConversion"/>
  </si>
  <si>
    <t>高层</t>
    <phoneticPr fontId="144" type="noConversion"/>
  </si>
  <si>
    <t>高层</t>
    <phoneticPr fontId="4"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</si>
  <si>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</si>
  <si>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</si>
  <si>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</si>
  <si>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</si>
  <si>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</si>
  <si>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</si>
  <si>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</si>
  <si>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</si>
  <si>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</si>
  <si>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</si>
  <si>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</si>
  <si>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</si>
  <si>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</si>
  <si>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</si>
  <si>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</si>
  <si>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惠山区洛社新城站前北路与新河路交叉口东北侧</t>
  </si>
  <si>
    <t>无锡市</t>
  </si>
  <si>
    <t>综合用地(含住宅)</t>
  </si>
  <si>
    <t>＞1.0且≤1.6-1.8</t>
  </si>
  <si>
    <t>挂牌</t>
  </si>
  <si>
    <t>2019-10-30</t>
  </si>
  <si>
    <t>江苏华广置业有限公司</t>
  </si>
  <si>
    <t>3星</t>
  </si>
  <si>
    <t>惠山区利市路与惠宁路交叉口东南侧</t>
  </si>
  <si>
    <t>住宅用地</t>
  </si>
  <si>
    <t>＞1.0且≤2.2-2.4</t>
  </si>
  <si>
    <t>2019-10-10</t>
  </si>
  <si>
    <t>无锡隽融企业管理有限公司</t>
  </si>
  <si>
    <t>4星</t>
  </si>
  <si>
    <t>惠山区天丰路与西元路交叉口西北侧</t>
  </si>
  <si>
    <t>＞1并且≤2.3-2.5</t>
  </si>
  <si>
    <t>2019-05-30</t>
  </si>
  <si>
    <t>浙江瑞坤企业管理有限公司</t>
  </si>
  <si>
    <t>惠山区凤宾路与林新路交叉口</t>
  </si>
  <si>
    <t>＞1并且≤2.5-2.75</t>
  </si>
  <si>
    <t>无锡市碧桂园房地产开发有限公司</t>
  </si>
  <si>
    <t>5星</t>
  </si>
  <si>
    <t>惠山区洛社新城新盛路北侧、新城东路西侧</t>
  </si>
  <si>
    <t>＞1并且≤2.2</t>
  </si>
  <si>
    <t>2019-04-03</t>
  </si>
  <si>
    <t>无锡红星华广置业有限公司</t>
  </si>
  <si>
    <t>惠山区惠山新城白屈港东侧、融泽路南侧</t>
  </si>
  <si>
    <t>＞1并且≤1.7</t>
  </si>
  <si>
    <t>无锡璞融企业管理有限公司(融创)</t>
  </si>
  <si>
    <t>惠山区洛社新城新盛路北侧、规划道路东侧</t>
  </si>
  <si>
    <t>2018-11-21</t>
  </si>
  <si>
    <t>惠山区钱桥街道S342南侧、藕中路东侧</t>
  </si>
  <si>
    <t>＞1并且≤2.5</t>
  </si>
  <si>
    <t>2018-09-27</t>
  </si>
  <si>
    <t>无锡泓宇投资有限公司</t>
  </si>
  <si>
    <t>惠山区洛社镇洛中路南侧、洛雅路西侧</t>
  </si>
  <si>
    <t>无锡广厦置业有限公司</t>
  </si>
  <si>
    <t>惠山区钱桥街道新邺大道和洋溪路交叉口东北侧</t>
  </si>
  <si>
    <t>＞1且≤2.2</t>
  </si>
  <si>
    <t>2018-07-31</t>
  </si>
  <si>
    <t>无锡金科科润房地产开发有限公司</t>
  </si>
  <si>
    <t>惠山区阳山镇安阳路南侧</t>
  </si>
  <si>
    <t>＞1且≤1.2</t>
  </si>
  <si>
    <t>无锡市惠都置业发展有限公司</t>
  </si>
  <si>
    <t>1星</t>
  </si>
  <si>
    <t>XDG-2016-40号地块</t>
  </si>
  <si>
    <t>2.20≤容积率≤2.50</t>
  </si>
  <si>
    <t>2018-06-13</t>
  </si>
  <si>
    <t>常州环宇置业有限公司(龙湖)</t>
  </si>
  <si>
    <t>XDG-2017-14号地块</t>
  </si>
  <si>
    <t>2≤容积率≤2.20</t>
  </si>
  <si>
    <t>2018-04-26</t>
  </si>
  <si>
    <t>无锡国瑞房地产开发有限公司</t>
  </si>
  <si>
    <t>XDG-2012-54号地块</t>
  </si>
  <si>
    <t>容积率≤2.50</t>
  </si>
  <si>
    <t>2017-10-30</t>
  </si>
  <si>
    <t>无锡苏源檀溪湾置业有限公司</t>
  </si>
  <si>
    <t>XDG-2016-45号地块</t>
  </si>
  <si>
    <t>容积率≤2</t>
  </si>
  <si>
    <t>南京美的房地产发展有限公司</t>
  </si>
  <si>
    <t>出让</t>
  </si>
  <si>
    <t>假设开发法</t>
  </si>
  <si>
    <t>成本法</t>
  </si>
  <si>
    <t>未包含在土地购买价格中</t>
  </si>
  <si>
    <t>全部缴纳</t>
  </si>
  <si>
    <t>成本比率</t>
  </si>
  <si>
    <t>否</t>
  </si>
  <si>
    <t>无锡市惠山新城白屈港东侧、融泽路南侧</t>
    <phoneticPr fontId="7" type="noConversion"/>
  </si>
  <si>
    <t>企业</t>
  </si>
  <si>
    <t>住宅</t>
    <phoneticPr fontId="7" type="noConversion"/>
  </si>
  <si>
    <r>
      <rPr>
        <sz val="12"/>
        <color theme="9" tint="-0.249977111117893"/>
        <rFont val="宋体"/>
        <family val="3"/>
        <charset val="134"/>
      </rPr>
      <t>住宅</t>
    </r>
    <r>
      <rPr>
        <sz val="12"/>
        <color theme="9" tint="-0.249977111117893"/>
        <rFont val="Arial"/>
        <family val="2"/>
      </rPr>
      <t>69.15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</si>
  <si>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2019</t>
    </r>
    <r>
      <rPr>
        <sz val="12"/>
        <color theme="9" tint="-0.249977111117893"/>
        <rFont val="宋体"/>
        <family val="3"/>
        <charset val="134"/>
      </rPr>
      <t>）无锡市不动产权第</t>
    </r>
    <r>
      <rPr>
        <sz val="12"/>
        <color theme="9" tint="-0.249977111117893"/>
        <rFont val="Arial"/>
        <family val="2"/>
      </rPr>
      <t>0173833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</si>
  <si>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、《无锡市房屋建筑面积测绘报告》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t>
    </r>
    <r>
      <rPr>
        <sz val="12"/>
        <color theme="9" tint="-0.249977111117893"/>
        <rFont val="宋体"/>
        <family val="3"/>
        <charset val="134"/>
      </rPr>
      <t>（</t>
    </r>
    <r>
      <rPr>
        <sz val="12"/>
        <color theme="9" tint="-0.249977111117893"/>
        <rFont val="Arial"/>
        <family val="2"/>
      </rPr>
      <t>0067</t>
    </r>
    <r>
      <rPr>
        <sz val="12"/>
        <color theme="9" tint="-0.249977111117893"/>
        <rFont val="宋体"/>
        <family val="3"/>
        <charset val="134"/>
      </rPr>
      <t>）</t>
    </r>
    <r>
      <rPr>
        <sz val="12"/>
        <color theme="9" tint="-0.249977111117893"/>
        <rFont val="Arial"/>
        <family val="2"/>
      </rPr>
      <t>]</t>
    </r>
    <phoneticPr fontId="7" type="noConversion"/>
  </si>
  <si>
    <t>无</t>
  </si>
  <si>
    <t>小高层</t>
  </si>
  <si>
    <t>小高层</t>
    <phoneticPr fontId="4" type="noConversion"/>
  </si>
  <si>
    <t>洋房</t>
    <phoneticPr fontId="4" type="noConversion"/>
  </si>
  <si>
    <t>叠拼</t>
    <phoneticPr fontId="4" type="noConversion"/>
  </si>
  <si>
    <t>其他部分面积</t>
    <phoneticPr fontId="4" type="noConversion"/>
  </si>
  <si>
    <t>非住宅</t>
    <phoneticPr fontId="144" type="noConversion"/>
  </si>
  <si>
    <t>12#</t>
    <phoneticPr fontId="144" type="noConversion"/>
  </si>
  <si>
    <t>13#</t>
    <phoneticPr fontId="144" type="noConversion"/>
  </si>
  <si>
    <r>
      <t>3</t>
    </r>
    <r>
      <rPr>
        <sz val="11"/>
        <color theme="1"/>
        <rFont val="宋体"/>
        <family val="3"/>
        <charset val="134"/>
        <scheme val="minor"/>
      </rPr>
      <t>2，33,34</t>
    </r>
    <phoneticPr fontId="144" type="noConversion"/>
  </si>
  <si>
    <t>35,36,37,38</t>
    <phoneticPr fontId="144" type="noConversion"/>
  </si>
  <si>
    <r>
      <t>4</t>
    </r>
    <r>
      <rPr>
        <sz val="11"/>
        <color theme="1"/>
        <rFont val="宋体"/>
        <family val="3"/>
        <charset val="134"/>
        <scheme val="minor"/>
      </rPr>
      <t>0-1~6</t>
    </r>
    <phoneticPr fontId="144" type="noConversion"/>
  </si>
  <si>
    <t>39,40,40-7~9</t>
    <phoneticPr fontId="144" type="noConversion"/>
  </si>
  <si>
    <t>41,42,43,44</t>
    <phoneticPr fontId="144" type="noConversion"/>
  </si>
  <si>
    <t>45,46,47,48</t>
    <phoneticPr fontId="144" type="noConversion"/>
  </si>
  <si>
    <t>49,50</t>
    <phoneticPr fontId="144" type="noConversion"/>
  </si>
  <si>
    <t>51,52,53</t>
    <phoneticPr fontId="144" type="noConversion"/>
  </si>
  <si>
    <t>54,55,</t>
    <phoneticPr fontId="144" type="noConversion"/>
  </si>
  <si>
    <t>56,57,58</t>
    <phoneticPr fontId="144" type="noConversion"/>
  </si>
  <si>
    <r>
      <t>6</t>
    </r>
    <r>
      <rPr>
        <sz val="11"/>
        <color theme="1"/>
        <rFont val="宋体"/>
        <family val="3"/>
        <charset val="134"/>
        <scheme val="minor"/>
      </rPr>
      <t>0,61</t>
    </r>
    <phoneticPr fontId="144" type="noConversion"/>
  </si>
  <si>
    <r>
      <t>6</t>
    </r>
    <r>
      <rPr>
        <sz val="11"/>
        <color theme="1"/>
        <rFont val="宋体"/>
        <family val="3"/>
        <charset val="134"/>
        <scheme val="minor"/>
      </rPr>
      <t>3,64</t>
    </r>
    <phoneticPr fontId="144" type="noConversion"/>
  </si>
  <si>
    <t>65,66</t>
    <phoneticPr fontId="144" type="noConversion"/>
  </si>
  <si>
    <t>地下室二</t>
    <phoneticPr fontId="144" type="noConversion"/>
  </si>
  <si>
    <t>已售及非住宅</t>
  </si>
  <si>
    <t>已售及非住宅</t>
    <phoneticPr fontId="4" type="noConversion"/>
  </si>
  <si>
    <t>封顶</t>
    <phoneticPr fontId="144" type="noConversion"/>
  </si>
  <si>
    <t>主体6层</t>
    <phoneticPr fontId="144" type="noConversion"/>
  </si>
  <si>
    <t>主体8层</t>
    <phoneticPr fontId="144" type="noConversion"/>
  </si>
  <si>
    <t>住宅</t>
    <phoneticPr fontId="32" type="noConversion"/>
  </si>
  <si>
    <t>住宅、商业</t>
  </si>
  <si>
    <t>住宅、商业</t>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</si>
  <si>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</si>
  <si>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</si>
  <si>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</si>
  <si>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较好</t>
  </si>
  <si>
    <t>一般</t>
  </si>
  <si>
    <t>六通</t>
  </si>
  <si>
    <t>多面临街</t>
  </si>
  <si>
    <t>单面临街</t>
  </si>
  <si>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</si>
  <si>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</si>
  <si>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</si>
  <si>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</si>
  <si>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</si>
  <si>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</si>
  <si>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</si>
  <si>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</si>
  <si>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</si>
  <si>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一般适宜</t>
    <phoneticPr fontId="32" type="noConversion"/>
  </si>
  <si>
    <t>较不适宜</t>
    <phoneticPr fontId="32" type="noConversion"/>
  </si>
  <si>
    <t>不适宜</t>
    <phoneticPr fontId="32" type="noConversion"/>
  </si>
  <si>
    <t>七通</t>
    <phoneticPr fontId="32" type="noConversion"/>
  </si>
  <si>
    <t>六通</t>
    <phoneticPr fontId="32" type="noConversion"/>
  </si>
  <si>
    <t>五通</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</si>
  <si>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</si>
  <si>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</si>
  <si>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</si>
  <si>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</si>
  <si>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</si>
  <si>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高速</t>
    <phoneticPr fontId="32" type="noConversion"/>
  </si>
  <si>
    <t>快速</t>
    <phoneticPr fontId="32" type="noConversion"/>
  </si>
  <si>
    <t>主干道</t>
    <phoneticPr fontId="32" type="noConversion"/>
  </si>
  <si>
    <t>次干道</t>
  </si>
  <si>
    <t>次干道</t>
    <phoneticPr fontId="32" type="noConversion"/>
  </si>
  <si>
    <t>支路</t>
  </si>
  <si>
    <t>支路</t>
    <phoneticPr fontId="32" type="noConversion"/>
  </si>
  <si>
    <t>四通</t>
    <phoneticPr fontId="32" type="noConversion"/>
  </si>
  <si>
    <t>三通</t>
  </si>
  <si>
    <t>三通</t>
    <phoneticPr fontId="32" type="noConversion"/>
  </si>
  <si>
    <t>惠山映</t>
    <phoneticPr fontId="4" type="noConversion"/>
  </si>
  <si>
    <t>住宅</t>
    <phoneticPr fontId="26" type="noConversion"/>
  </si>
  <si>
    <t>60-70（含）</t>
  </si>
  <si>
    <t>钢混</t>
  </si>
  <si>
    <t>钢混</t>
    <phoneticPr fontId="26" type="noConversion"/>
  </si>
  <si>
    <t>高档</t>
  </si>
  <si>
    <t>高档</t>
    <phoneticPr fontId="26" type="noConversion"/>
  </si>
  <si>
    <t>中档</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</si>
  <si>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</si>
  <si>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</si>
  <si>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</si>
  <si>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</si>
  <si>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</si>
  <si>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</si>
  <si>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</si>
  <si>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</si>
  <si>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</si>
  <si>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</si>
  <si>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</si>
  <si>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</si>
  <si>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洋房</t>
    <phoneticPr fontId="26" type="noConversion"/>
  </si>
  <si>
    <t>小高层</t>
    <phoneticPr fontId="26" type="noConversion"/>
  </si>
  <si>
    <t>高层</t>
    <phoneticPr fontId="26" type="noConversion"/>
  </si>
  <si>
    <t>叠拼</t>
    <phoneticPr fontId="26" type="noConversion"/>
  </si>
  <si>
    <t>美的国宾府</t>
    <phoneticPr fontId="4" type="noConversion"/>
  </si>
  <si>
    <t>碧桂园都荟</t>
    <phoneticPr fontId="4" type="noConversion"/>
  </si>
  <si>
    <t>已全部缴纳</t>
  </si>
  <si>
    <t>已包含在土地取得成本中</t>
  </si>
  <si>
    <t>高层</t>
    <phoneticPr fontId="8" type="noConversion"/>
  </si>
  <si>
    <t>德信云溪名著</t>
    <phoneticPr fontId="4" type="noConversion"/>
  </si>
  <si>
    <t>光大兴陇信托有限责任公司</t>
    <phoneticPr fontId="7" type="noConversion"/>
  </si>
  <si>
    <t>无锡向融置业有限公司</t>
    <phoneticPr fontId="7" type="noConversion"/>
  </si>
  <si>
    <t>德信云溪名著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</si>
</sst>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5"/>
      <color theme="1"/>
      <name val="Arial"/>
      <family val="2"/>
    </font>
    <font>
      <sz val="10.5"/>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cellStyleXfs>
  <cellXfs count="33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6"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257" fillId="0" borderId="0" xfId="0" applyFont="1">
      <alignment vertical="center"/>
    </xf>
    <xf numFmtId="0" fontId="100" fillId="5" borderId="0" xfId="0" applyFont="1" applyFill="1">
      <alignment vertical="center"/>
    </xf>
    <xf numFmtId="0" fontId="0" fillId="5" borderId="0" xfId="0" applyFill="1">
      <alignment vertical="center"/>
    </xf>
    <xf numFmtId="0" fontId="100" fillId="0" borderId="0" xfId="0" applyFont="1" applyFill="1">
      <alignment vertical="center"/>
    </xf>
    <xf numFmtId="0" fontId="0" fillId="0" borderId="0" xfId="0" applyFill="1">
      <alignment vertical="center"/>
    </xf>
    <xf numFmtId="0" fontId="256" fillId="0" borderId="0" xfId="0" applyFont="1" applyFill="1">
      <alignment vertical="center"/>
    </xf>
    <xf numFmtId="10" fontId="0" fillId="17" borderId="0" xfId="0" applyNumberFormat="1" applyFill="1">
      <alignment vertical="center"/>
    </xf>
    <xf numFmtId="0" fontId="0" fillId="17" borderId="0" xfId="0" applyFill="1">
      <alignment vertical="center"/>
    </xf>
    <xf numFmtId="9" fontId="0" fillId="17" borderId="0" xfId="0" applyNumberFormat="1" applyFill="1">
      <alignment vertical="center"/>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9" fontId="0" fillId="5" borderId="0" xfId="17" applyFont="1" applyFill="1">
      <alignment vertical="center"/>
    </xf>
    <xf numFmtId="0" fontId="0" fillId="17" borderId="0" xfId="0" applyFill="1" applyAlignment="1"/>
    <xf numFmtId="0" fontId="102" fillId="0" borderId="0" xfId="0" applyFont="1" applyAlignment="1"/>
    <xf numFmtId="9" fontId="0" fillId="17" borderId="0" xfId="17" applyFont="1" applyFill="1">
      <alignment vertical="center"/>
    </xf>
    <xf numFmtId="176" fontId="107" fillId="5" borderId="24" xfId="1" applyNumberFormat="1" applyFont="1" applyFill="1" applyBorder="1" applyAlignment="1" applyProtection="1">
      <alignment horizontal="center" vertical="center"/>
      <protection locked="0"/>
    </xf>
    <xf numFmtId="9" fontId="57" fillId="7" borderId="5"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14" fontId="100" fillId="0" borderId="0" xfId="0" applyNumberFormat="1" applyFont="1">
      <alignment vertical="center"/>
    </xf>
    <xf numFmtId="0" fontId="102" fillId="0" borderId="0" xfId="0" applyFont="1">
      <alignment vertical="center"/>
    </xf>
    <xf numFmtId="0" fontId="258" fillId="0" borderId="0" xfId="0" applyFont="1">
      <alignment vertical="center"/>
    </xf>
    <xf numFmtId="9" fontId="0" fillId="0" borderId="0" xfId="0" applyNumberFormat="1">
      <alignment vertical="center"/>
    </xf>
    <xf numFmtId="9" fontId="100" fillId="0" borderId="0" xfId="17" applyFont="1">
      <alignment vertical="center"/>
    </xf>
    <xf numFmtId="9" fontId="0" fillId="0" borderId="0" xfId="17" applyFont="1">
      <alignment vertic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0" fontId="57" fillId="0" borderId="1" xfId="1" applyNumberFormat="1"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0" fillId="0" borderId="0" xfId="0" applyNumberFormat="1" applyFill="1">
      <alignment vertical="center"/>
    </xf>
    <xf numFmtId="9" fontId="0" fillId="0" borderId="0" xfId="17" applyFont="1" applyFill="1">
      <alignment vertical="center"/>
    </xf>
    <xf numFmtId="9" fontId="0" fillId="0" borderId="0" xfId="0" applyNumberFormat="1" applyFill="1">
      <alignment vertical="center"/>
    </xf>
    <xf numFmtId="177" fontId="57" fillId="7" borderId="1" xfId="1" applyNumberFormat="1" applyFont="1" applyFill="1" applyBorder="1" applyAlignment="1" applyProtection="1">
      <alignment horizontal="center" vertical="center"/>
      <protection locked="0"/>
    </xf>
    <xf numFmtId="10" fontId="57" fillId="7" borderId="1"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647107</xdr:colOff>
      <xdr:row>48</xdr:row>
      <xdr:rowOff>46977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4742857" cy="5190477"/>
        </a:xfrm>
        <a:prstGeom prst="rect">
          <a:avLst/>
        </a:prstGeom>
      </xdr:spPr>
    </xdr:pic>
    <xdr:clientData/>
  </xdr:twoCellAnchor>
  <xdr:twoCellAnchor editAs="oneCell">
    <xdr:from>
      <xdr:col>5</xdr:col>
      <xdr:colOff>0</xdr:colOff>
      <xdr:row>18</xdr:row>
      <xdr:rowOff>0</xdr:rowOff>
    </xdr:from>
    <xdr:to>
      <xdr:col>12</xdr:col>
      <xdr:colOff>113686</xdr:colOff>
      <xdr:row>48</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5467350" y="3086100"/>
          <a:ext cx="4914286" cy="5266667"/>
        </a:xfrm>
        <a:prstGeom prst="rect">
          <a:avLst/>
        </a:prstGeom>
      </xdr:spPr>
    </xdr:pic>
    <xdr:clientData/>
  </xdr:twoCellAnchor>
  <xdr:twoCellAnchor editAs="oneCell">
    <xdr:from>
      <xdr:col>0</xdr:col>
      <xdr:colOff>0</xdr:colOff>
      <xdr:row>51</xdr:row>
      <xdr:rowOff>0</xdr:rowOff>
    </xdr:from>
    <xdr:to>
      <xdr:col>4</xdr:col>
      <xdr:colOff>161307</xdr:colOff>
      <xdr:row>81</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4942857"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6080;&#38177;A2&#22320;&#22359;&#22312;&#24314;2020-3-1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2)"/>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小高层"/>
      <sheetName val="比较法-住宅-洋房"/>
      <sheetName val="比较法-住宅-叠拼"/>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37750.36</v>
          </cell>
          <cell r="C14">
            <v>16376</v>
          </cell>
          <cell r="D14">
            <v>62312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江苏省无锡市惠山新城白屈港东侧、融泽路南侧出让国有建设用地使用权及在建建筑物房地产抵押价值预评估</v>
      </c>
    </row>
    <row r="3" spans="1:2" s="1591" customFormat="1">
      <c r="A3" s="1589" t="s">
        <v>1215</v>
      </c>
      <c r="B3" s="1590" t="str">
        <f>'预评函-封皮'!B40</f>
        <v>光大兴陇信托有限责任公司</v>
      </c>
    </row>
    <row r="4" spans="1:2" s="1591" customFormat="1">
      <c r="A4" s="1589" t="s">
        <v>1216</v>
      </c>
      <c r="B4" s="1590" t="str">
        <f ca="1">'预评函-封皮'!B46</f>
        <v>王鹏（注册号：1120050019)、郑燚（注册号：1120070131)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受贵公司委托，我公司对江苏省无锡市惠山新城白屈港东侧、融泽路南侧出让国有建设用地使用权及在建建筑物房地产抵押价值进行了预评估。</v>
      </c>
    </row>
    <row r="7" spans="1:2" s="1591" customFormat="1">
      <c r="A7" s="1589" t="s">
        <v>1258</v>
      </c>
      <c r="B7" s="1590" t="str">
        <f>'预评函-1'!A7</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75.39平方米。根据《建设工程规划许可证》[]、《无锡市房屋建筑面积测绘报告》[编号：2019（0067）]，估价对象建筑面积为221.26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75.39平方米。根据《建设工程规划许可证》[]、《无锡市房屋建筑面积测绘报告》[编号：2019（0067）]，估价对象规划建筑面积为221.26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2" spans="1:2" s="1591" customFormat="1">
      <c r="A12" s="1589" t="s">
        <v>1220</v>
      </c>
      <c r="B12" s="1590" t="str">
        <f>'预评函-1'!A15</f>
        <v>2020年3月16日（评估专业人员实地查勘之日）</v>
      </c>
    </row>
    <row r="13" spans="1:2" s="1591" customFormat="1">
      <c r="A13" s="1589" t="s">
        <v>1221</v>
      </c>
      <c r="B13" s="1590" t="str">
        <f>'预评函-1'!A18</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4" spans="1:2" s="1591" customFormat="1">
      <c r="A14" s="1589" t="s">
        <v>1222</v>
      </c>
      <c r="B14" s="1590" t="str">
        <f>'预评函-1'!A19</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1226</v>
      </c>
      <c r="B18" s="1593" t="str">
        <f>'预评函-1'!A24</f>
        <v>本次评估采用的主估价方法为成本法和假设开发法。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296</v>
      </c>
    </row>
    <row r="21" spans="1:2" s="1591" customFormat="1">
      <c r="A21" s="1589" t="s">
        <v>1229</v>
      </c>
      <c r="B21" s="1590">
        <f ca="1">'预评函-2'!D7</f>
        <v>13378</v>
      </c>
    </row>
    <row r="22" spans="1:2" s="1591" customFormat="1">
      <c r="A22" s="1589" t="s">
        <v>1230</v>
      </c>
      <c r="B22" s="1590" t="str">
        <f ca="1">'预评函-2'!D6</f>
        <v>贰佰玖拾陆万元整</v>
      </c>
    </row>
    <row r="23" spans="1:2" s="1591" customFormat="1">
      <c r="A23" s="1589" t="s">
        <v>1281</v>
      </c>
      <c r="B23" s="1590" t="str">
        <f>'预评函-2'!B8</f>
        <v>2.估价师知悉的法定优先受偿款</v>
      </c>
    </row>
    <row r="24" spans="1:2" s="1591" customFormat="1">
      <c r="A24" s="1589" t="s">
        <v>1287</v>
      </c>
      <c r="B24" s="1590">
        <f>'预评函-2'!D8</f>
        <v>0</v>
      </c>
    </row>
    <row r="25" spans="1:2" s="1591" customFormat="1">
      <c r="A25" s="1589" t="s">
        <v>1231</v>
      </c>
      <c r="B25" s="1590" t="str">
        <f>'预评函-2'!D9</f>
        <v>零元整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0</v>
      </c>
    </row>
    <row r="29" spans="1:2" s="1591" customFormat="1">
      <c r="A29" s="1589" t="s">
        <v>1285</v>
      </c>
      <c r="B29" s="1590" t="str">
        <f>'预评函-2'!B13</f>
        <v>3.房地产抵押价值</v>
      </c>
    </row>
    <row r="30" spans="1:2" s="1591" customFormat="1">
      <c r="A30" s="1589" t="s">
        <v>1286</v>
      </c>
      <c r="B30" s="1590">
        <f ca="1">'预评函-2'!D13</f>
        <v>296</v>
      </c>
    </row>
    <row r="31" spans="1:2" s="1591" customFormat="1">
      <c r="A31" s="1589" t="s">
        <v>1268</v>
      </c>
      <c r="B31" s="1590">
        <f ca="1">'预评函-2'!D15</f>
        <v>13378</v>
      </c>
    </row>
    <row r="32" spans="1:2" s="1591" customFormat="1">
      <c r="A32" s="1589" t="s">
        <v>1235</v>
      </c>
      <c r="B32" s="1590" t="str">
        <f ca="1">'预评函-2'!D14</f>
        <v>贰佰玖拾陆万元整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江苏省无锡市惠山新城白屈港东侧、融泽路南侧出让国有建设用地使用权及在建建筑物房地产</v>
      </c>
    </row>
    <row r="42" spans="1:2" s="1591" customFormat="1">
      <c r="A42" s="1589" t="s">
        <v>1282</v>
      </c>
      <c r="B42" s="1590" t="str">
        <f>'预评函-3'!B2</f>
        <v>建筑面积</v>
      </c>
    </row>
    <row r="43" spans="1:2" s="1591" customFormat="1">
      <c r="A43" s="1589" t="s">
        <v>1283</v>
      </c>
      <c r="B43" s="1590">
        <f>'预评函-3'!B4</f>
        <v>221.26</v>
      </c>
    </row>
    <row r="44" spans="1:2" s="1591" customFormat="1">
      <c r="A44" s="1589" t="s">
        <v>1267</v>
      </c>
      <c r="B44" s="1590" t="str">
        <f>'预评函-3'!C2</f>
        <v>(分摊)土地面积</v>
      </c>
    </row>
    <row r="45" spans="1:2" s="1591" customFormat="1">
      <c r="A45" s="1589" t="s">
        <v>1239</v>
      </c>
      <c r="B45" s="1590">
        <f>'预评函-3'!C4</f>
        <v>75.39</v>
      </c>
    </row>
    <row r="46" spans="1:2" s="1591" customFormat="1">
      <c r="A46" s="1589" t="s">
        <v>1265</v>
      </c>
      <c r="B46" s="1590" t="str">
        <f>'预评函-3'!D2</f>
        <v>出让国有建设用地使用权价值</v>
      </c>
    </row>
    <row r="47" spans="1:2" s="1591" customFormat="1">
      <c r="A47" s="1589" t="s">
        <v>1240</v>
      </c>
      <c r="B47" s="1590">
        <f ca="1">'预评函-3'!D4</f>
        <v>272</v>
      </c>
    </row>
    <row r="48" spans="1:2" s="1591" customFormat="1">
      <c r="A48" s="1589" t="s">
        <v>1241</v>
      </c>
      <c r="B48" s="1590">
        <f ca="1">'预评函-3'!E4</f>
        <v>12293</v>
      </c>
    </row>
    <row r="49" spans="1:2" s="1591" customFormat="1">
      <c r="A49" s="1589" t="s">
        <v>1242</v>
      </c>
      <c r="B49" s="1590" t="str">
        <f ca="1">'预评函-3'!D5</f>
        <v>贰佰柒拾贰万元整</v>
      </c>
    </row>
    <row r="50" spans="1:2" s="1591" customFormat="1">
      <c r="A50" s="1589" t="s">
        <v>1266</v>
      </c>
      <c r="B50" s="1590" t="str">
        <f>'预评函-3'!F2</f>
        <v>在建建筑物价值</v>
      </c>
    </row>
    <row r="51" spans="1:2" s="1591" customFormat="1">
      <c r="A51" s="1589" t="s">
        <v>1243</v>
      </c>
      <c r="B51" s="1590">
        <f ca="1">'预评函-3'!F4</f>
        <v>24</v>
      </c>
    </row>
    <row r="52" spans="1:2" s="1591" customFormat="1">
      <c r="A52" s="1589" t="s">
        <v>1244</v>
      </c>
      <c r="B52" s="1590">
        <f ca="1">'预评函-3'!G4</f>
        <v>1085</v>
      </c>
    </row>
    <row r="53" spans="1:2" s="1591" customFormat="1">
      <c r="A53" s="1589" t="s">
        <v>1272</v>
      </c>
      <c r="B53" s="1590" t="str">
        <f ca="1">'预评函-3'!F5</f>
        <v>贰拾肆万元整</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故，本次评估不存在估价师知悉的法定优先受偿款</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1263</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王鹏</v>
      </c>
    </row>
    <row r="71" spans="1:2">
      <c r="A71" s="1589" t="s">
        <v>1255</v>
      </c>
      <c r="B71" s="1590">
        <f ca="1">'预评函-4'!B4</f>
        <v>1120050019</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30" zoomScaleNormal="130" workbookViewId="0">
      <selection activeCell="B23" sqref="B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70</v>
      </c>
      <c r="B1" s="2005" t="s">
        <v>1683</v>
      </c>
      <c r="C1" s="2006" t="s">
        <v>758</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752</v>
      </c>
      <c r="Q1" s="2008" t="s">
        <v>1139</v>
      </c>
      <c r="R1" s="2007" t="s">
        <v>1133</v>
      </c>
      <c r="S1" s="2007" t="s">
        <v>1696</v>
      </c>
      <c r="T1" s="2009" t="s">
        <v>1697</v>
      </c>
      <c r="U1" s="2007" t="s">
        <v>1698</v>
      </c>
      <c r="V1" s="2007" t="s">
        <v>1699</v>
      </c>
      <c r="W1" s="2007" t="s">
        <v>754</v>
      </c>
    </row>
    <row r="2" spans="1:23">
      <c r="A2" s="2963" t="s">
        <v>3106</v>
      </c>
      <c r="B2" s="2011" t="s">
        <v>1700</v>
      </c>
      <c r="C2" s="2012" t="s">
        <v>759</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1135</v>
      </c>
      <c r="S2" s="2013" t="s">
        <v>1706</v>
      </c>
      <c r="T2" s="2013" t="s">
        <v>1707</v>
      </c>
      <c r="U2" s="2013" t="s">
        <v>1706</v>
      </c>
      <c r="V2" s="2013" t="s">
        <v>1708</v>
      </c>
      <c r="W2" s="2013" t="s">
        <v>1706</v>
      </c>
    </row>
    <row r="3" spans="1:23">
      <c r="A3" s="2964" t="s">
        <v>3197</v>
      </c>
      <c r="B3" s="2014" t="s">
        <v>1140</v>
      </c>
      <c r="C3" s="2015" t="s">
        <v>760</v>
      </c>
      <c r="D3" s="2013" t="s">
        <v>1709</v>
      </c>
      <c r="E3" s="2013" t="s">
        <v>16</v>
      </c>
      <c r="F3" s="2013" t="s">
        <v>1710</v>
      </c>
      <c r="G3" s="2013">
        <v>50</v>
      </c>
      <c r="H3" s="2013" t="s">
        <v>1710</v>
      </c>
      <c r="I3" s="2013" t="s">
        <v>1711</v>
      </c>
      <c r="J3" s="2013" t="s">
        <v>1712</v>
      </c>
      <c r="K3" s="2013" t="s">
        <v>1713</v>
      </c>
      <c r="L3" s="2013" t="s">
        <v>1713</v>
      </c>
      <c r="M3" s="2013" t="s">
        <v>1713</v>
      </c>
      <c r="N3" s="2013" t="s">
        <v>1713</v>
      </c>
      <c r="O3" s="2013" t="s">
        <v>1713</v>
      </c>
      <c r="P3" s="2013" t="s">
        <v>1713</v>
      </c>
      <c r="Q3" s="2013" t="s">
        <v>1713</v>
      </c>
      <c r="R3" s="2013" t="s">
        <v>1134</v>
      </c>
      <c r="S3" s="2013" t="s">
        <v>1713</v>
      </c>
      <c r="T3" s="2013" t="s">
        <v>1714</v>
      </c>
      <c r="U3" s="2013" t="s">
        <v>1713</v>
      </c>
      <c r="V3" s="2013" t="s">
        <v>1715</v>
      </c>
      <c r="W3" s="2013" t="s">
        <v>1713</v>
      </c>
    </row>
    <row r="4" spans="1:23">
      <c r="A4" s="2964" t="s">
        <v>3198</v>
      </c>
      <c r="B4" s="2011" t="s">
        <v>1716</v>
      </c>
      <c r="C4" s="2012" t="s">
        <v>761</v>
      </c>
      <c r="D4" s="2013" t="s">
        <v>863</v>
      </c>
      <c r="E4" s="2013" t="s">
        <v>1717</v>
      </c>
      <c r="F4" s="2013" t="s">
        <v>1718</v>
      </c>
      <c r="G4" s="2013">
        <v>70</v>
      </c>
      <c r="H4" s="2013" t="s">
        <v>1718</v>
      </c>
      <c r="I4" s="2013" t="s">
        <v>1719</v>
      </c>
      <c r="K4" s="2013" t="s">
        <v>1720</v>
      </c>
      <c r="L4" s="2013" t="s">
        <v>1720</v>
      </c>
      <c r="M4" s="2013" t="s">
        <v>1720</v>
      </c>
      <c r="N4" s="2013" t="s">
        <v>1720</v>
      </c>
      <c r="O4" s="2013" t="s">
        <v>1720</v>
      </c>
      <c r="P4" s="2013" t="s">
        <v>1720</v>
      </c>
      <c r="Q4" s="2013" t="s">
        <v>1720</v>
      </c>
      <c r="R4" s="2013" t="s">
        <v>1136</v>
      </c>
      <c r="S4" s="2013" t="s">
        <v>1720</v>
      </c>
      <c r="T4" s="2013" t="s">
        <v>1721</v>
      </c>
      <c r="U4" s="2013" t="s">
        <v>1720</v>
      </c>
      <c r="W4" s="2013" t="s">
        <v>1720</v>
      </c>
    </row>
    <row r="5" spans="1:23">
      <c r="A5" s="2964" t="s">
        <v>3199</v>
      </c>
      <c r="B5" s="2011" t="s">
        <v>1722</v>
      </c>
      <c r="C5" s="2012" t="s">
        <v>762</v>
      </c>
      <c r="F5" s="2013" t="s">
        <v>1723</v>
      </c>
      <c r="H5" s="2013" t="s">
        <v>1724</v>
      </c>
      <c r="I5" s="2013" t="s">
        <v>1725</v>
      </c>
      <c r="K5" s="2013" t="s">
        <v>1726</v>
      </c>
      <c r="L5" s="2013" t="s">
        <v>1726</v>
      </c>
      <c r="M5" s="2013" t="s">
        <v>1726</v>
      </c>
      <c r="N5" s="2013" t="s">
        <v>1726</v>
      </c>
      <c r="O5" s="2013" t="s">
        <v>1726</v>
      </c>
      <c r="P5" s="2013" t="s">
        <v>1726</v>
      </c>
      <c r="Q5" s="2013" t="s">
        <v>1726</v>
      </c>
      <c r="R5" s="2013" t="s">
        <v>1137</v>
      </c>
      <c r="S5" s="2013" t="s">
        <v>1726</v>
      </c>
      <c r="T5" s="2013" t="s">
        <v>1727</v>
      </c>
      <c r="U5" s="2013" t="s">
        <v>1726</v>
      </c>
      <c r="W5" s="2013" t="s">
        <v>1726</v>
      </c>
    </row>
    <row r="6" spans="1:23">
      <c r="A6" s="2964" t="s">
        <v>3219</v>
      </c>
      <c r="B6" s="2014" t="s">
        <v>1141</v>
      </c>
      <c r="C6" s="2017" t="s">
        <v>29</v>
      </c>
      <c r="F6" s="2013" t="s">
        <v>1724</v>
      </c>
      <c r="H6" s="2013" t="s">
        <v>1728</v>
      </c>
      <c r="I6" s="2013" t="s">
        <v>1729</v>
      </c>
      <c r="K6" s="2013" t="s">
        <v>1730</v>
      </c>
      <c r="L6" s="2013" t="s">
        <v>1730</v>
      </c>
      <c r="M6" s="2013" t="s">
        <v>1730</v>
      </c>
      <c r="N6" s="2013" t="s">
        <v>1730</v>
      </c>
      <c r="O6" s="2013" t="s">
        <v>1730</v>
      </c>
      <c r="P6" s="2013" t="s">
        <v>1730</v>
      </c>
      <c r="Q6" s="2013" t="s">
        <v>1730</v>
      </c>
      <c r="R6" s="2013" t="s">
        <v>1138</v>
      </c>
      <c r="S6" s="2013" t="s">
        <v>1730</v>
      </c>
      <c r="T6" s="2013"/>
      <c r="U6" s="2013" t="s">
        <v>1730</v>
      </c>
      <c r="W6" s="2013" t="s">
        <v>1730</v>
      </c>
    </row>
    <row r="7" spans="1:23">
      <c r="A7" s="2011"/>
      <c r="B7" s="2014" t="s">
        <v>1142</v>
      </c>
      <c r="C7" s="2012" t="s">
        <v>30</v>
      </c>
      <c r="F7" s="2013" t="s">
        <v>1731</v>
      </c>
      <c r="H7" s="2013" t="s">
        <v>1732</v>
      </c>
      <c r="I7" s="2013" t="s">
        <v>1733</v>
      </c>
    </row>
    <row r="8" spans="1:23">
      <c r="A8" s="2011"/>
      <c r="B8" s="2011" t="s">
        <v>1734</v>
      </c>
      <c r="C8" s="2012" t="s">
        <v>763</v>
      </c>
      <c r="F8" s="2013" t="s">
        <v>1735</v>
      </c>
      <c r="H8" s="2013"/>
      <c r="I8" s="2013" t="s">
        <v>1736</v>
      </c>
    </row>
    <row r="9" spans="1:23">
      <c r="A9" s="2011"/>
      <c r="B9" s="2011" t="s">
        <v>1737</v>
      </c>
      <c r="C9" s="2012" t="s">
        <v>764</v>
      </c>
      <c r="F9" s="2013" t="s">
        <v>1738</v>
      </c>
      <c r="H9" s="2013"/>
    </row>
    <row r="10" spans="1:23">
      <c r="A10" s="2011"/>
      <c r="B10" s="2011" t="s">
        <v>1739</v>
      </c>
      <c r="C10" s="2012" t="s">
        <v>765</v>
      </c>
      <c r="F10" s="2013" t="s">
        <v>16</v>
      </c>
    </row>
    <row r="11" spans="1:23">
      <c r="A11" s="2011"/>
      <c r="B11" s="2011" t="s">
        <v>1740</v>
      </c>
      <c r="C11" s="2012" t="s">
        <v>766</v>
      </c>
    </row>
    <row r="12" spans="1:23">
      <c r="A12" s="2011"/>
      <c r="B12" s="2011" t="s">
        <v>1741</v>
      </c>
      <c r="C12" s="2012" t="s">
        <v>767</v>
      </c>
    </row>
    <row r="13" spans="1:23">
      <c r="A13" s="2011"/>
      <c r="B13" s="2011" t="s">
        <v>1742</v>
      </c>
      <c r="C13" s="2012" t="s">
        <v>768</v>
      </c>
    </row>
    <row r="14" spans="1:23">
      <c r="A14" s="2011"/>
      <c r="B14" s="2011" t="s">
        <v>1743</v>
      </c>
      <c r="C14" s="2013" t="s">
        <v>16</v>
      </c>
    </row>
    <row r="15" spans="1:23">
      <c r="A15" s="2011"/>
      <c r="B15" s="2011" t="s">
        <v>1744</v>
      </c>
      <c r="C15" s="2012"/>
    </row>
    <row r="16" spans="1:23">
      <c r="A16" s="2011"/>
      <c r="B16" s="2011" t="s">
        <v>755</v>
      </c>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c r="B27" s="2011" t="s">
        <v>756</v>
      </c>
      <c r="C27" s="2012"/>
    </row>
    <row r="28" spans="1:3">
      <c r="A28" s="2011"/>
      <c r="B28" s="2011" t="s">
        <v>756</v>
      </c>
      <c r="C28" s="2012"/>
    </row>
    <row r="29" spans="1:3">
      <c r="A29" s="2011"/>
      <c r="B29" s="2011" t="s">
        <v>756</v>
      </c>
      <c r="C29" s="2012"/>
    </row>
    <row r="30" spans="1:3">
      <c r="A30" s="2011"/>
      <c r="B30" s="2011" t="s">
        <v>756</v>
      </c>
      <c r="C30" s="2012"/>
    </row>
    <row r="31" spans="1:3">
      <c r="A31" s="2011"/>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852</v>
      </c>
      <c r="B51" s="2019"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2019" t="s">
        <v>1278</v>
      </c>
    </row>
    <row r="52" spans="1:4">
      <c r="A52" s="2018" t="s">
        <v>853</v>
      </c>
      <c r="B52" s="2018" t="s">
        <v>854</v>
      </c>
      <c r="C52" s="2016" t="s">
        <v>855</v>
      </c>
      <c r="D52" s="2016" t="s">
        <v>856</v>
      </c>
    </row>
    <row r="53" spans="1:4">
      <c r="A53" s="3040" t="s">
        <v>857</v>
      </c>
      <c r="B53" s="2019" t="s">
        <v>858</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0"/>
      <c r="B54" s="2019" t="s">
        <v>859</v>
      </c>
      <c r="C54" s="2016" t="s">
        <v>1275</v>
      </c>
    </row>
    <row r="55" spans="1:4">
      <c r="A55" s="3040"/>
      <c r="B55" s="2019" t="s">
        <v>860</v>
      </c>
      <c r="C55" s="2016" t="s">
        <v>1276</v>
      </c>
    </row>
    <row r="56" spans="1:4">
      <c r="A56" s="3040"/>
      <c r="B56" s="2019" t="s">
        <v>861</v>
      </c>
      <c r="C56" s="2016" t="s">
        <v>1280</v>
      </c>
    </row>
    <row r="57" spans="1:4">
      <c r="A57" s="3040"/>
      <c r="B57" s="2019" t="s">
        <v>862</v>
      </c>
      <c r="C57" s="2016" t="s">
        <v>1277</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2" sqref="B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1745</v>
      </c>
      <c r="B1" s="3041" t="str">
        <f>IF(B10="北京市","北京市",C10)&amp;F10&amp;IF(结果表!G1="在建","出让国有建设用地使用权及在建建筑物",IF(结果表!G1="土地","出让国有建设用地使用权",))&amp;B9&amp;"预评估"</f>
        <v>江苏省无锡市惠山新城白屈港东侧、融泽路南侧出让国有建设用地使用权及在建建筑物房地产抵押价值预评估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江苏省无锡市惠山新城白屈港东侧、融泽路南侧出让国有建设用地使用权及在建建筑物房地产抵押价值</v>
      </c>
    </row>
    <row r="2" spans="1:19" ht="18" customHeight="1">
      <c r="A2" s="2023" t="s">
        <v>1746</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江苏省无锡市惠山新城白屈港东侧、融泽路南侧出让国有建设用地使用权及在建建筑物房地产</v>
      </c>
    </row>
    <row r="3" spans="1:19" ht="18" customHeight="1">
      <c r="A3" s="2032" t="s">
        <v>1747</v>
      </c>
      <c r="B3" s="2033">
        <v>43906</v>
      </c>
      <c r="C3" s="2034" t="s">
        <v>1748</v>
      </c>
      <c r="D3" s="2033">
        <f>B3</f>
        <v>43906</v>
      </c>
      <c r="E3" s="2023"/>
      <c r="F3" s="2023"/>
      <c r="G3" s="2023"/>
      <c r="H3" s="2023"/>
      <c r="I3" s="2023"/>
      <c r="J3" s="2023"/>
      <c r="K3" s="2024"/>
      <c r="L3" s="2025"/>
      <c r="M3" s="2025"/>
      <c r="N3" s="2026"/>
      <c r="O3" s="2027"/>
      <c r="P3" s="2026"/>
      <c r="Q3" s="2026"/>
      <c r="R3" s="2026"/>
      <c r="S3" s="2028"/>
    </row>
    <row r="4" spans="1:19" ht="18" customHeight="1" thickBot="1">
      <c r="A4" s="2035" t="s">
        <v>1749</v>
      </c>
      <c r="B4" s="2036" t="s">
        <v>3019</v>
      </c>
      <c r="C4" s="1035">
        <f ca="1">SUMIF(注册房地产估价师,B4,估价师及机构信息!B3:B24)</f>
        <v>1120050019</v>
      </c>
      <c r="D4" s="2036" t="s">
        <v>3020</v>
      </c>
      <c r="E4" s="1036">
        <f ca="1">SUMIF(注册房地产估价师,D4,估价师及机构信息!B3:B24)</f>
        <v>1120070131</v>
      </c>
      <c r="F4" s="2036" t="s">
        <v>69</v>
      </c>
      <c r="G4" s="2037">
        <f>SUMIF(注册房地产估价师,F4,估价师及机构信息!B3:B24)</f>
        <v>0</v>
      </c>
      <c r="H4" s="2036" t="s">
        <v>69</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1750</v>
      </c>
      <c r="B5" s="2947" t="s">
        <v>3294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1751</v>
      </c>
      <c r="B6" s="2045" t="str">
        <f>B5</f>
        <v>光大兴陇信托有限责任公司</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1752</v>
      </c>
      <c r="B7" s="2049"/>
      <c r="C7" s="2046"/>
      <c r="D7" s="2047"/>
      <c r="E7" s="2031"/>
      <c r="F7" s="2039"/>
      <c r="G7" s="2039"/>
      <c r="H7" s="2039"/>
      <c r="I7" s="2039"/>
      <c r="J7" s="2039"/>
      <c r="K7" s="2050"/>
      <c r="L7" s="2025"/>
      <c r="M7" s="2025"/>
      <c r="N7" s="2026"/>
      <c r="O7" s="2027"/>
      <c r="P7" s="2026"/>
      <c r="Q7" s="2026"/>
      <c r="R7" s="2026"/>
    </row>
    <row r="8" spans="1:19" ht="18" customHeight="1">
      <c r="A8" s="2044" t="s">
        <v>1753</v>
      </c>
      <c r="B8" s="2051" t="s">
        <v>3021</v>
      </c>
      <c r="C8" s="2052"/>
      <c r="D8" s="3044" t="s">
        <v>1754</v>
      </c>
      <c r="E8" s="2053" t="s">
        <v>3022</v>
      </c>
      <c r="F8" s="2054"/>
      <c r="G8" s="2023"/>
      <c r="H8" s="2023"/>
      <c r="I8" s="2023"/>
      <c r="J8" s="2039"/>
      <c r="K8" s="2040"/>
      <c r="L8" s="2025"/>
      <c r="M8" s="2025"/>
      <c r="N8" s="2026"/>
      <c r="O8" s="2027"/>
      <c r="P8" s="2026"/>
      <c r="Q8" s="2026"/>
      <c r="R8" s="2026"/>
    </row>
    <row r="9" spans="1:19" ht="18" customHeight="1" thickBot="1">
      <c r="A9" s="2037" t="s">
        <v>1755</v>
      </c>
      <c r="B9" s="2055" t="s">
        <v>3022</v>
      </c>
      <c r="C9" s="2056"/>
      <c r="D9" s="3045"/>
      <c r="E9" s="2055"/>
      <c r="F9" s="2057"/>
      <c r="G9" s="2058"/>
      <c r="H9" s="2058"/>
      <c r="I9" s="2058"/>
      <c r="J9" s="2039"/>
      <c r="K9" s="2050"/>
      <c r="L9" s="2025"/>
      <c r="M9" s="2025"/>
      <c r="N9" s="2026"/>
      <c r="O9" s="2027"/>
      <c r="P9" s="2026"/>
      <c r="Q9" s="2026"/>
      <c r="R9" s="2026"/>
    </row>
    <row r="10" spans="1:19" ht="18" customHeight="1" thickTop="1">
      <c r="A10" s="2059" t="s">
        <v>1756</v>
      </c>
      <c r="B10" s="2060" t="s">
        <v>3023</v>
      </c>
      <c r="C10" s="2948" t="s">
        <v>3024</v>
      </c>
      <c r="D10" s="2043"/>
      <c r="E10" s="2061" t="s">
        <v>1757</v>
      </c>
      <c r="F10" s="2949" t="s">
        <v>3189</v>
      </c>
      <c r="G10" s="2062"/>
      <c r="H10" s="2063"/>
      <c r="I10" s="2043"/>
      <c r="J10" s="2039"/>
      <c r="K10" s="2050"/>
      <c r="L10" s="2025"/>
      <c r="M10" s="2025"/>
      <c r="N10" s="2026"/>
      <c r="O10" s="2027"/>
      <c r="P10" s="2026"/>
      <c r="Q10" s="2026"/>
      <c r="R10" s="2026"/>
    </row>
    <row r="11" spans="1:19" ht="18" customHeight="1">
      <c r="A11" s="2064" t="s">
        <v>1758</v>
      </c>
      <c r="B11" s="2065" t="s">
        <v>3190</v>
      </c>
      <c r="C11" s="2978" t="s">
        <v>3295</v>
      </c>
      <c r="D11" s="2066"/>
      <c r="E11" s="2039"/>
      <c r="F11" s="2039"/>
      <c r="G11" s="2039"/>
      <c r="H11" s="2039"/>
      <c r="I11" s="2039"/>
      <c r="J11" s="2039"/>
      <c r="K11" s="2050"/>
      <c r="L11" s="2025"/>
      <c r="M11" s="2025"/>
      <c r="N11" s="2026"/>
      <c r="O11" s="2027"/>
      <c r="P11" s="2026"/>
      <c r="Q11" s="2026"/>
      <c r="R11" s="2026"/>
    </row>
    <row r="12" spans="1:19" ht="18" customHeight="1">
      <c r="A12" s="2067" t="s">
        <v>1759</v>
      </c>
      <c r="B12" s="2065" t="s">
        <v>3182</v>
      </c>
      <c r="C12" s="2068" t="s">
        <v>1760</v>
      </c>
      <c r="D12" s="2069" t="s">
        <v>1761</v>
      </c>
      <c r="E12" s="2069" t="s">
        <v>1762</v>
      </c>
      <c r="F12" s="2069" t="s">
        <v>1763</v>
      </c>
      <c r="G12" s="2069" t="s">
        <v>1764</v>
      </c>
      <c r="H12" s="2069" t="s">
        <v>1765</v>
      </c>
      <c r="I12" s="2069" t="s">
        <v>1766</v>
      </c>
      <c r="J12" s="2039"/>
      <c r="K12" s="2050"/>
      <c r="L12" s="2025"/>
      <c r="M12" s="2025"/>
      <c r="N12" s="2026"/>
      <c r="O12" s="2027"/>
      <c r="P12" s="2026"/>
      <c r="Q12" s="2026"/>
      <c r="R12" s="2026"/>
    </row>
    <row r="13" spans="1:19" ht="18" customHeight="1">
      <c r="A13" s="2070"/>
      <c r="B13" s="2071"/>
      <c r="C13" s="2072" t="s">
        <v>1767</v>
      </c>
      <c r="D13" s="2073">
        <v>69147</v>
      </c>
      <c r="E13" s="2073"/>
      <c r="F13" s="2073"/>
      <c r="G13" s="2073"/>
      <c r="H13" s="2073"/>
      <c r="I13" s="1045"/>
      <c r="J13" s="2039"/>
      <c r="K13" s="2050"/>
      <c r="L13" s="2025"/>
      <c r="M13" s="2025"/>
      <c r="N13" s="2026"/>
      <c r="O13" s="2027"/>
      <c r="P13" s="2026"/>
      <c r="Q13" s="2026"/>
      <c r="R13" s="2026"/>
    </row>
    <row r="14" spans="1:19" ht="18" customHeight="1">
      <c r="A14" s="2070"/>
      <c r="B14" s="2071"/>
      <c r="C14" s="2072" t="s">
        <v>1768</v>
      </c>
      <c r="D14" s="1048">
        <v>70</v>
      </c>
      <c r="E14" s="1048"/>
      <c r="F14" s="1048"/>
      <c r="G14" s="1048"/>
      <c r="H14" s="1048"/>
      <c r="I14" s="1048"/>
      <c r="J14" s="2039"/>
      <c r="K14" s="2074"/>
      <c r="L14" s="2025"/>
      <c r="M14" s="2025"/>
      <c r="N14" s="2026"/>
      <c r="O14" s="2027"/>
      <c r="P14" s="2026"/>
      <c r="Q14" s="2026"/>
      <c r="R14" s="2026"/>
    </row>
    <row r="15" spans="1:19" ht="18" customHeight="1">
      <c r="A15" s="2059"/>
      <c r="B15" s="2075"/>
      <c r="C15" s="2072" t="s">
        <v>1769</v>
      </c>
      <c r="D15" s="1047">
        <f>IF(B12="出让",IF(D13="","",ROUNDDOWN(MIN((D13-$D$3)/365,D14),2)),D14)</f>
        <v>69.150000000000006</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1770</v>
      </c>
      <c r="B16" s="3051" t="s">
        <v>3191</v>
      </c>
      <c r="C16" s="3052"/>
      <c r="D16" s="3053"/>
      <c r="E16" s="2079" t="s">
        <v>1771</v>
      </c>
      <c r="F16" s="3054" t="s">
        <v>3192</v>
      </c>
      <c r="G16" s="3055"/>
      <c r="H16" s="3055"/>
      <c r="I16" s="3056"/>
      <c r="J16" s="2026"/>
      <c r="K16" s="2076"/>
      <c r="L16" s="2077"/>
      <c r="M16" s="2077"/>
      <c r="N16" s="2078"/>
      <c r="O16" s="2077"/>
      <c r="P16" s="2078"/>
      <c r="Q16" s="2026"/>
      <c r="R16" s="2026"/>
    </row>
    <row r="17" spans="1:22" ht="18" customHeight="1">
      <c r="A17" s="2080" t="s">
        <v>1772</v>
      </c>
      <c r="B17" s="2032" t="s">
        <v>1773</v>
      </c>
      <c r="C17" s="1052">
        <f>'数据-汇总表'!E3</f>
        <v>221.26</v>
      </c>
      <c r="D17" s="2081" t="s">
        <v>1774</v>
      </c>
      <c r="E17" s="3057" t="s">
        <v>3194</v>
      </c>
      <c r="F17" s="3058"/>
      <c r="G17" s="3058"/>
      <c r="H17" s="3058"/>
      <c r="I17" s="3059"/>
      <c r="J17" s="2026"/>
      <c r="K17" s="2082"/>
      <c r="L17" s="2077"/>
      <c r="M17" s="2077"/>
      <c r="N17" s="2078"/>
      <c r="O17" s="2077"/>
      <c r="P17" s="2078"/>
      <c r="Q17" s="2026"/>
      <c r="R17" s="2026"/>
      <c r="S17" s="2026"/>
      <c r="T17" s="2026"/>
      <c r="U17" s="2026"/>
      <c r="V17" s="2026"/>
    </row>
    <row r="18" spans="1:22" ht="36" customHeight="1" thickBot="1">
      <c r="A18" s="2083" t="s">
        <v>69</v>
      </c>
      <c r="B18" s="2035" t="s">
        <v>1775</v>
      </c>
      <c r="C18" s="1442">
        <f>'数据-汇总表'!D3</f>
        <v>75.39</v>
      </c>
      <c r="D18" s="2084" t="s">
        <v>1774</v>
      </c>
      <c r="E18" s="3060" t="s">
        <v>3193</v>
      </c>
      <c r="F18" s="3061"/>
      <c r="G18" s="3061"/>
      <c r="H18" s="3061"/>
      <c r="I18" s="3062"/>
      <c r="J18" s="2026"/>
      <c r="K18" s="2082"/>
      <c r="L18" s="2077"/>
      <c r="M18" s="2077"/>
      <c r="N18" s="2078"/>
      <c r="O18" s="2077"/>
      <c r="P18" s="2078"/>
      <c r="Q18" s="2026"/>
      <c r="R18" s="2026"/>
      <c r="S18" s="2026"/>
      <c r="T18" s="2026"/>
      <c r="U18" s="2026"/>
      <c r="V18" s="2026"/>
    </row>
    <row r="19" spans="1:22" ht="37.5" customHeight="1" thickTop="1" thickBot="1">
      <c r="A19" s="372" t="s">
        <v>1776</v>
      </c>
      <c r="B19" s="351" t="s">
        <v>1777</v>
      </c>
      <c r="C19" s="2085" t="s">
        <v>3025</v>
      </c>
      <c r="D19" s="2086" t="s">
        <v>1778</v>
      </c>
      <c r="E19" s="2087"/>
      <c r="F19" s="2088" t="str">
        <f>IF(AND(C19="是",E19="否"),"是否提供他项权证或相关说明","")</f>
        <v/>
      </c>
      <c r="G19" s="2089"/>
      <c r="H19" s="2039"/>
      <c r="I19" s="2039"/>
      <c r="J19" s="2039"/>
      <c r="K19" s="2050"/>
      <c r="L19" s="2025"/>
      <c r="M19" s="2025"/>
      <c r="N19" s="2078"/>
      <c r="O19" s="2077"/>
      <c r="P19" s="2078"/>
      <c r="Q19" s="2026"/>
      <c r="R19" s="2026"/>
      <c r="S19" s="2026"/>
      <c r="T19" s="2026"/>
      <c r="U19" s="2026"/>
      <c r="V19" s="2026"/>
    </row>
    <row r="20" spans="1:22" ht="18" customHeight="1">
      <c r="A20" s="2090" t="s">
        <v>1779</v>
      </c>
      <c r="B20" s="3047" t="s">
        <v>1780</v>
      </c>
      <c r="C20" s="3048"/>
      <c r="D20" s="3049" t="s">
        <v>1781</v>
      </c>
      <c r="E20" s="3050"/>
      <c r="F20" s="2091" t="s">
        <v>1782</v>
      </c>
      <c r="G20" s="2039"/>
      <c r="H20" s="2039"/>
      <c r="I20" s="2039"/>
      <c r="J20" s="2039"/>
      <c r="K20" s="3046" t="s">
        <v>1783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78"/>
      <c r="O20" s="2077"/>
      <c r="P20" s="2078"/>
      <c r="Q20" s="2026"/>
      <c r="R20" s="2026"/>
      <c r="S20" s="2026"/>
      <c r="T20" s="2026"/>
      <c r="U20" s="2026"/>
      <c r="V20" s="2026"/>
    </row>
    <row r="21" spans="1:22" ht="24.75" customHeight="1">
      <c r="A21" s="2090"/>
      <c r="B21" s="2092" t="s">
        <v>1784</v>
      </c>
      <c r="C21" s="2093" t="s">
        <v>1785</v>
      </c>
      <c r="D21" s="2094" t="s">
        <v>1786</v>
      </c>
      <c r="E21" s="2095" t="s">
        <v>1785</v>
      </c>
      <c r="F21" s="2096"/>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1787</v>
      </c>
      <c r="C22" s="2093" t="s">
        <v>1788</v>
      </c>
      <c r="D22" s="2023"/>
      <c r="E22" s="2023"/>
      <c r="F22" s="2098"/>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1789</v>
      </c>
      <c r="B23" s="182" t="s">
        <v>1790</v>
      </c>
      <c r="C23" s="2100"/>
      <c r="D23" s="2101" t="s">
        <v>1790</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2" t="s">
        <v>1791</v>
      </c>
      <c r="C24" s="2105"/>
      <c r="D24" s="2099" t="s">
        <v>1791</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2" t="s">
        <v>1792</v>
      </c>
      <c r="C25" s="2105"/>
      <c r="D25" s="2099" t="s">
        <v>1792</v>
      </c>
      <c r="E25" s="2106"/>
      <c r="F25" s="2098"/>
      <c r="G25" s="2039"/>
      <c r="H25" s="2039"/>
      <c r="I25" s="2039"/>
      <c r="J25" s="2039"/>
      <c r="K25" s="2050"/>
      <c r="L25" s="2025"/>
      <c r="M25" s="2025"/>
      <c r="N25" s="2078"/>
      <c r="O25" s="2077"/>
      <c r="P25" s="2078"/>
      <c r="Q25" s="2026"/>
      <c r="R25" s="2026"/>
      <c r="S25" s="2026"/>
      <c r="T25" s="2026"/>
      <c r="U25" s="2026"/>
      <c r="V25" s="2026"/>
    </row>
    <row r="26" spans="1:22" ht="18" customHeight="1" thickBot="1">
      <c r="A26" s="2107"/>
      <c r="B26" s="2108" t="s">
        <v>1793</v>
      </c>
      <c r="C26" s="2109"/>
      <c r="D26" s="2110" t="s">
        <v>1794</v>
      </c>
      <c r="E26" s="2111"/>
      <c r="F26" s="2112"/>
      <c r="G26" s="2058"/>
      <c r="H26" s="2058"/>
      <c r="I26" s="2058"/>
      <c r="J26" s="2039"/>
      <c r="K26" s="2050"/>
      <c r="L26" s="2025"/>
      <c r="M26" s="2025"/>
      <c r="N26" s="2078"/>
      <c r="O26" s="2077"/>
      <c r="P26" s="2078"/>
      <c r="Q26" s="2026"/>
      <c r="R26" s="2026"/>
      <c r="S26" s="2026"/>
      <c r="T26" s="2026"/>
      <c r="U26" s="2026"/>
      <c r="V26" s="2026"/>
    </row>
    <row r="27" spans="1:22" ht="18" customHeight="1" thickTop="1">
      <c r="A27" s="3064" t="s">
        <v>1795</v>
      </c>
      <c r="B27" s="2059" t="s">
        <v>1796</v>
      </c>
      <c r="C27" s="2113" t="s">
        <v>3026</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64"/>
      <c r="B28" s="2032" t="s">
        <v>1797</v>
      </c>
      <c r="C28" s="2115" t="s">
        <v>3195</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64"/>
      <c r="B29" s="2032" t="s">
        <v>1798</v>
      </c>
      <c r="C29" s="2118" t="s">
        <v>3188</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65"/>
      <c r="B30" s="2032" t="s">
        <v>1799</v>
      </c>
      <c r="C30" s="3066"/>
      <c r="D30" s="3067"/>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68" t="s">
        <v>1800</v>
      </c>
      <c r="B31" s="2120" t="s">
        <v>3027</v>
      </c>
      <c r="C31" s="2121" t="str">
        <f>IF(B31="现房","成新及维护状况正常否",IF(B31="在建","工程状态是否正常",IF(B31="土地","是否闲置","-")))</f>
        <v>工程状态是否正常</v>
      </c>
      <c r="D31" s="2122"/>
      <c r="E31" s="2979"/>
      <c r="F31" s="2039"/>
      <c r="G31" s="2039"/>
      <c r="H31" s="2039"/>
      <c r="I31" s="2039"/>
      <c r="J31" s="2039"/>
      <c r="K31" s="2048"/>
      <c r="L31" s="2025"/>
      <c r="M31" s="2025"/>
      <c r="N31" s="2026"/>
      <c r="O31" s="2027"/>
      <c r="P31" s="2026"/>
      <c r="Q31" s="2026"/>
      <c r="R31" s="2026"/>
      <c r="S31" s="2026"/>
      <c r="T31" s="2026"/>
      <c r="U31" s="2026"/>
      <c r="V31" s="2026"/>
    </row>
    <row r="32" spans="1:22" ht="18" customHeight="1">
      <c r="A32" s="3069"/>
      <c r="B32" s="2120"/>
      <c r="C32" s="2121" t="str">
        <f>IF(B32="现房","成新及维护状况是否正常",IF(B32="在建","工程状态是否正常",IF(B32="土地","是否闲置","-")))</f>
        <v>-</v>
      </c>
      <c r="D32" s="2122"/>
      <c r="E32" s="2123"/>
      <c r="F32" s="2039"/>
      <c r="G32" s="2039"/>
      <c r="H32" s="2039"/>
      <c r="I32" s="2039"/>
      <c r="J32" s="2039"/>
      <c r="K32" s="2050"/>
      <c r="L32" s="2025"/>
      <c r="M32" s="2025"/>
      <c r="N32" s="2026"/>
      <c r="O32" s="2027"/>
      <c r="P32" s="2026"/>
      <c r="Q32" s="2026"/>
      <c r="R32" s="2026"/>
      <c r="S32" s="2026"/>
      <c r="T32" s="2026"/>
      <c r="U32" s="2026"/>
      <c r="V32" s="2026"/>
    </row>
    <row r="33" spans="1:22" ht="18" customHeight="1">
      <c r="A33" s="3069"/>
      <c r="B33" s="2124"/>
      <c r="C33" s="2064" t="str">
        <f>IF(B33="现房","成新及维护状况是否正常",IF(B33="在建","工程状态是否正常",IF(B33="土地","是否闲置","-")))</f>
        <v>-</v>
      </c>
      <c r="D33" s="2125"/>
      <c r="E33" s="2126"/>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1801</v>
      </c>
      <c r="B34" s="2127" t="s">
        <v>3028</v>
      </c>
      <c r="C34" s="2127" t="s">
        <v>3029</v>
      </c>
      <c r="D34" s="2127" t="s">
        <v>3030</v>
      </c>
      <c r="E34" s="2127"/>
      <c r="F34" s="2127"/>
      <c r="G34" s="2127"/>
      <c r="H34" s="2127"/>
      <c r="I34" s="2039"/>
      <c r="J34" s="2039"/>
      <c r="K34" s="1793">
        <f>COUNTIF(B34:H34,"——")</f>
        <v>0</v>
      </c>
      <c r="L34" s="2068" t="s">
        <v>1802</v>
      </c>
      <c r="M34" s="2068" t="s">
        <v>1803</v>
      </c>
      <c r="N34" s="2068" t="s">
        <v>1804</v>
      </c>
      <c r="O34" s="2068" t="s">
        <v>1805</v>
      </c>
      <c r="P34" s="2068" t="s">
        <v>1806</v>
      </c>
      <c r="Q34" s="2068" t="s">
        <v>1807</v>
      </c>
      <c r="R34" s="2068" t="s">
        <v>1808</v>
      </c>
      <c r="S34" s="3063" t="s">
        <v>1809</v>
      </c>
      <c r="T34" s="2128" t="str">
        <f>NUMBERSTRING(7-K34,1)&amp;"通"</f>
        <v>七通</v>
      </c>
      <c r="U34" s="2026"/>
      <c r="V34" s="2026"/>
    </row>
    <row r="35" spans="1:22" ht="18" customHeight="1">
      <c r="A35" s="2129"/>
      <c r="B35" s="3070" t="s">
        <v>1810</v>
      </c>
      <c r="C35" s="3070"/>
      <c r="D35" s="3070"/>
      <c r="E35" s="3070"/>
      <c r="F35" s="2130" t="str">
        <f>C10</f>
        <v>江苏省</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63"/>
      <c r="T35" s="48" t="str">
        <f>IF(T34="一通",L35,IF(T34="二通",M35,IF(T34="三通",N35,IF(T34="四通",O35,IF(T34="五通",P35,IF(T34="六通",Q35,R35))))))</f>
        <v>通路、通电、通上水、、、、</v>
      </c>
      <c r="U35" s="2026"/>
      <c r="V35" s="2026"/>
    </row>
    <row r="36" spans="1:22" ht="18" customHeight="1">
      <c r="A36" s="2131"/>
      <c r="B36" s="2130" t="s">
        <v>1811</v>
      </c>
      <c r="C36" s="2130" t="s">
        <v>1812</v>
      </c>
      <c r="D36" s="2130" t="s">
        <v>1813</v>
      </c>
      <c r="E36" s="2130" t="s">
        <v>1814</v>
      </c>
      <c r="F36" s="2132"/>
      <c r="G36" s="2039"/>
      <c r="H36" s="2039"/>
      <c r="I36" s="2039"/>
      <c r="J36" s="2039"/>
      <c r="K36" s="2050"/>
      <c r="L36" s="2025"/>
      <c r="M36" s="2025"/>
      <c r="N36" s="2026"/>
      <c r="O36" s="2027"/>
      <c r="P36" s="2026"/>
      <c r="Q36" s="2026"/>
      <c r="R36" s="2026"/>
      <c r="S36" s="2026"/>
      <c r="T36" s="2026"/>
      <c r="U36" s="2026"/>
      <c r="V36" s="2026"/>
    </row>
    <row r="37" spans="1:22" ht="18" customHeight="1">
      <c r="A37" s="2133" t="s">
        <v>1815</v>
      </c>
      <c r="B37" s="2134"/>
      <c r="C37" s="2134"/>
      <c r="D37" s="2134"/>
      <c r="E37" s="2134"/>
      <c r="F37" s="2132"/>
      <c r="G37" s="2039"/>
      <c r="H37" s="2039"/>
      <c r="I37" s="2039"/>
      <c r="J37" s="2039"/>
      <c r="K37" s="2050"/>
      <c r="L37" s="2025"/>
      <c r="M37" s="2025"/>
      <c r="N37" s="2026"/>
      <c r="O37" s="2027"/>
      <c r="P37" s="2026"/>
      <c r="Q37" s="2026"/>
      <c r="R37" s="2026"/>
      <c r="S37" s="2026"/>
      <c r="T37" s="2026"/>
      <c r="U37" s="2026"/>
      <c r="V37" s="2026"/>
    </row>
    <row r="38" spans="1:22" ht="18" customHeight="1" thickBot="1">
      <c r="A38" s="2135" t="s">
        <v>1816</v>
      </c>
      <c r="B38" s="2136"/>
      <c r="C38" s="2136"/>
      <c r="D38" s="2136"/>
      <c r="E38" s="2136"/>
      <c r="F38" s="2137"/>
      <c r="G38" s="2058"/>
      <c r="H38" s="2058"/>
      <c r="I38" s="2058"/>
      <c r="J38" s="2039"/>
      <c r="K38" s="2050"/>
      <c r="L38" s="2025"/>
      <c r="M38" s="2025"/>
      <c r="N38" s="2026"/>
      <c r="O38" s="2027"/>
      <c r="P38" s="2026"/>
      <c r="Q38" s="2026"/>
      <c r="R38" s="2026"/>
      <c r="S38" s="2026"/>
      <c r="T38" s="2026"/>
      <c r="U38" s="2026"/>
      <c r="V38" s="2026"/>
    </row>
    <row r="39" spans="1:22" s="2142" customFormat="1" ht="18" customHeight="1" thickTop="1" thickBot="1">
      <c r="A39" s="2138" t="s">
        <v>1817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1818</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1819</v>
      </c>
      <c r="B42" s="1793" t="s">
        <v>1820</v>
      </c>
      <c r="C42" s="1793" t="s">
        <v>1821</v>
      </c>
      <c r="D42" s="1793" t="s">
        <v>1822</v>
      </c>
      <c r="E42" s="1793" t="s">
        <v>1823</v>
      </c>
      <c r="F42" s="1793" t="s">
        <v>1824</v>
      </c>
      <c r="G42" s="1793" t="s">
        <v>1825</v>
      </c>
      <c r="H42" s="1793" t="s">
        <v>1826</v>
      </c>
      <c r="I42" s="1793" t="s">
        <v>1827</v>
      </c>
      <c r="J42" s="2146" t="s">
        <v>1828</v>
      </c>
      <c r="K42" s="2069" t="s">
        <v>1829</v>
      </c>
      <c r="L42" s="2069" t="s">
        <v>1830</v>
      </c>
      <c r="M42" s="2069" t="s">
        <v>1831</v>
      </c>
      <c r="N42" s="1793" t="s">
        <v>1832</v>
      </c>
      <c r="O42" s="1793" t="s">
        <v>1833</v>
      </c>
      <c r="P42" s="1793" t="s">
        <v>1834</v>
      </c>
      <c r="Q42" s="2068" t="s">
        <v>1835</v>
      </c>
      <c r="R42" s="2068" t="s">
        <v>1836</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S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hidden="1" customWidth="1"/>
    <col min="10" max="10" width="9.5" style="2153" hidden="1" customWidth="1"/>
    <col min="11" max="11" width="11" style="2153" hidden="1" customWidth="1"/>
    <col min="12" max="12" width="9.5" style="2153" hidden="1" customWidth="1"/>
    <col min="13"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1837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1838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1839</v>
      </c>
      <c r="B2" s="11" t="s">
        <v>1840</v>
      </c>
      <c r="C2" s="11" t="s">
        <v>1841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1842</v>
      </c>
      <c r="AZ2" s="1268" t="s">
        <v>1843</v>
      </c>
      <c r="BA2" s="11" t="s">
        <v>1844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 (2)'!B4</f>
        <v>21972.2</v>
      </c>
      <c r="B3" s="14">
        <f>IF(C3="否",G5-AT5,G5)</f>
        <v>64487.63</v>
      </c>
      <c r="C3" s="2162" t="s">
        <v>1845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1846</v>
      </c>
      <c r="B5" s="1801"/>
      <c r="C5" s="1801"/>
      <c r="D5" s="1804"/>
      <c r="E5" s="16" t="s">
        <v>1</v>
      </c>
      <c r="F5" s="16">
        <f>SUM(F13:F587)</f>
        <v>0</v>
      </c>
      <c r="G5" s="16">
        <f>SUM(G13:G587)</f>
        <v>64487.63</v>
      </c>
      <c r="H5" s="16">
        <f t="shared" ref="H5:AT5" si="0">SUM(H13:H656)</f>
        <v>64487.63</v>
      </c>
      <c r="I5" s="16">
        <f t="shared" si="0"/>
        <v>0</v>
      </c>
      <c r="J5" s="16">
        <f t="shared" si="0"/>
        <v>0</v>
      </c>
      <c r="K5" s="16">
        <f t="shared" si="0"/>
        <v>0</v>
      </c>
      <c r="L5" s="16">
        <f t="shared" si="0"/>
        <v>0</v>
      </c>
      <c r="M5" s="16">
        <f t="shared" si="0"/>
        <v>221.26</v>
      </c>
      <c r="N5" s="16">
        <f t="shared" si="0"/>
        <v>0</v>
      </c>
      <c r="O5" s="16">
        <f t="shared" si="0"/>
        <v>0</v>
      </c>
      <c r="P5" s="16">
        <f t="shared" si="0"/>
        <v>0</v>
      </c>
      <c r="Q5" s="16">
        <f t="shared" si="0"/>
        <v>64266.369999999995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1846</v>
      </c>
      <c r="AW5" s="1801"/>
      <c r="AX5" s="1801"/>
      <c r="AY5" s="17" t="s">
        <v>3</v>
      </c>
      <c r="AZ5" s="18">
        <f t="shared" ref="AZ5:BT5" si="1">SUM(AZ13:AZ656)</f>
        <v>221.26</v>
      </c>
      <c r="BA5" s="18">
        <f t="shared" si="1"/>
        <v>221.26</v>
      </c>
      <c r="BB5" s="18">
        <f t="shared" si="1"/>
        <v>0</v>
      </c>
      <c r="BC5" s="18">
        <f t="shared" si="1"/>
        <v>0</v>
      </c>
      <c r="BD5" s="18">
        <f t="shared" si="1"/>
        <v>221.26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1847</v>
      </c>
      <c r="B6" s="2168"/>
      <c r="C6" s="2168"/>
      <c r="D6" s="2169"/>
      <c r="E6" s="16">
        <f>H6+AC6+AT6</f>
        <v>21972.2</v>
      </c>
      <c r="F6" s="16" t="s">
        <v>1</v>
      </c>
      <c r="G6" s="16" t="s">
        <v>2</v>
      </c>
      <c r="H6" s="20">
        <f>SUMIF(I$12:AB$12,"总值",I6:AB6)</f>
        <v>21972.2</v>
      </c>
      <c r="I6" s="16">
        <f t="shared" ref="I6:AB6" si="2">ROUND($A$3*I5/$B$3,2)</f>
        <v>0</v>
      </c>
      <c r="J6" s="16">
        <f t="shared" si="2"/>
        <v>0</v>
      </c>
      <c r="K6" s="16">
        <f t="shared" si="2"/>
        <v>0</v>
      </c>
      <c r="L6" s="16">
        <f t="shared" si="2"/>
        <v>0</v>
      </c>
      <c r="M6" s="16">
        <f t="shared" si="2"/>
        <v>75.39</v>
      </c>
      <c r="N6" s="16">
        <f t="shared" si="2"/>
        <v>0</v>
      </c>
      <c r="O6" s="16">
        <f t="shared" si="2"/>
        <v>0</v>
      </c>
      <c r="P6" s="16">
        <f t="shared" si="2"/>
        <v>0</v>
      </c>
      <c r="Q6" s="16">
        <f t="shared" si="2"/>
        <v>21896.81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1847</v>
      </c>
      <c r="AW6" s="2168"/>
      <c r="AX6" s="2168"/>
      <c r="AY6" s="21">
        <f>IF(AY3&gt;0,AY3,ROUND($A$3*AZ5/$B$3,2))</f>
        <v>75.39</v>
      </c>
      <c r="AZ6" s="16" t="s">
        <v>3</v>
      </c>
      <c r="BA6" s="16">
        <f>ROUND($AY$6*BA5/$AZ$5,2)</f>
        <v>75.39</v>
      </c>
      <c r="BB6" s="16">
        <f>ROUND($AY$6*BB5/$AZ$5,2)</f>
        <v>0</v>
      </c>
      <c r="BC6" s="16">
        <f t="shared" ref="BC6:BH6" si="4">ROUND($AY$6*BC5/$AZ$5,2)</f>
        <v>0</v>
      </c>
      <c r="BD6" s="16">
        <f t="shared" si="4"/>
        <v>75.39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1848</v>
      </c>
      <c r="B7" s="2103" t="s">
        <v>1849</v>
      </c>
      <c r="C7" s="2103" t="s">
        <v>1850</v>
      </c>
      <c r="D7" s="2103" t="s">
        <v>1851</v>
      </c>
      <c r="E7" s="2103" t="s">
        <v>1852</v>
      </c>
      <c r="F7" s="2103" t="s">
        <v>1853</v>
      </c>
      <c r="G7" s="2172" t="s">
        <v>1854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1855</v>
      </c>
      <c r="AV7" s="23" t="s">
        <v>1856</v>
      </c>
      <c r="AW7" s="2160" t="s">
        <v>1857</v>
      </c>
      <c r="AX7" s="23" t="s">
        <v>1850</v>
      </c>
      <c r="AY7" s="1801" t="s">
        <v>1858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1859</v>
      </c>
      <c r="H8" s="2178" t="s">
        <v>1860</v>
      </c>
      <c r="I8" s="2179"/>
      <c r="J8" s="1816"/>
      <c r="K8" s="1816"/>
      <c r="L8" s="1816"/>
      <c r="M8" s="1816"/>
      <c r="N8" s="1816"/>
      <c r="O8" s="1816"/>
      <c r="P8" s="1816"/>
      <c r="Q8" s="1816"/>
      <c r="R8" s="1816"/>
      <c r="S8" s="1816"/>
      <c r="T8" s="1816"/>
      <c r="U8" s="1816"/>
      <c r="V8" s="2180"/>
      <c r="W8" s="1816"/>
      <c r="X8" s="1816"/>
      <c r="Y8" s="1816"/>
      <c r="Z8" s="1816"/>
      <c r="AA8" s="2180"/>
      <c r="AB8" s="2181"/>
      <c r="AC8" s="979" t="s">
        <v>1861</v>
      </c>
      <c r="AD8" s="2182"/>
      <c r="AE8" s="2174"/>
      <c r="AF8" s="1816"/>
      <c r="AG8" s="1816"/>
      <c r="AH8" s="1816"/>
      <c r="AI8" s="1816"/>
      <c r="AJ8" s="1816"/>
      <c r="AK8" s="1816"/>
      <c r="AL8" s="1816"/>
      <c r="AM8" s="1816"/>
      <c r="AN8" s="1816"/>
      <c r="AO8" s="1816"/>
      <c r="AP8" s="1816"/>
      <c r="AQ8" s="1816"/>
      <c r="AR8" s="1816"/>
      <c r="AS8" s="1816"/>
      <c r="AT8" s="1290" t="s">
        <v>1862</v>
      </c>
      <c r="AU8" s="2176" t="s">
        <v>1863</v>
      </c>
      <c r="AV8" s="1290"/>
      <c r="AW8" s="2159"/>
      <c r="AX8" s="1290"/>
      <c r="AY8" s="2160" t="s">
        <v>1864</v>
      </c>
      <c r="AZ8" s="1815" t="s">
        <v>1865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1866</v>
      </c>
      <c r="I9" s="2185" t="s">
        <v>3102</v>
      </c>
      <c r="J9" s="979"/>
      <c r="K9" s="2185" t="s">
        <v>3102</v>
      </c>
      <c r="L9" s="979"/>
      <c r="M9" s="2185" t="s">
        <v>3102</v>
      </c>
      <c r="N9" s="979"/>
      <c r="O9" s="2185" t="s">
        <v>3102</v>
      </c>
      <c r="P9" s="979"/>
      <c r="Q9" s="2185" t="s">
        <v>3102</v>
      </c>
      <c r="R9" s="979"/>
      <c r="S9" s="2185"/>
      <c r="T9" s="979"/>
      <c r="U9" s="2185"/>
      <c r="V9" s="979"/>
      <c r="W9" s="2185"/>
      <c r="X9" s="2186"/>
      <c r="Y9" s="2185"/>
      <c r="Z9" s="979"/>
      <c r="AA9" s="2185"/>
      <c r="AB9" s="979"/>
      <c r="AC9" s="2177" t="s">
        <v>1866</v>
      </c>
      <c r="AD9" s="15" t="s">
        <v>1867</v>
      </c>
      <c r="AE9" s="1296"/>
      <c r="AF9" s="15" t="s">
        <v>1868</v>
      </c>
      <c r="AG9" s="1296"/>
      <c r="AH9" s="15" t="s">
        <v>1867</v>
      </c>
      <c r="AI9" s="1296"/>
      <c r="AJ9" s="15" t="s">
        <v>1868</v>
      </c>
      <c r="AK9" s="1296"/>
      <c r="AL9" s="15" t="s">
        <v>1867</v>
      </c>
      <c r="AM9" s="1296"/>
      <c r="AN9" s="15" t="s">
        <v>1868</v>
      </c>
      <c r="AO9" s="1296"/>
      <c r="AP9" s="15" t="s">
        <v>1867</v>
      </c>
      <c r="AQ9" s="1296"/>
      <c r="AR9" s="15" t="s">
        <v>1868</v>
      </c>
      <c r="AS9" s="2187"/>
      <c r="AT9" s="2176"/>
      <c r="AU9" s="2176" t="s">
        <v>1869</v>
      </c>
      <c r="AV9" s="1290"/>
      <c r="AW9" s="2159"/>
      <c r="AX9" s="1290"/>
      <c r="AY9" s="28"/>
      <c r="AZ9" s="28" t="s">
        <v>1859</v>
      </c>
      <c r="BA9" s="2188" t="s">
        <v>1870</v>
      </c>
      <c r="BB9" s="2189"/>
      <c r="BC9" s="1336"/>
      <c r="BD9" s="1336"/>
      <c r="BE9" s="1336"/>
      <c r="BF9" s="1336"/>
      <c r="BG9" s="1336"/>
      <c r="BH9" s="1336"/>
      <c r="BI9" s="1336"/>
      <c r="BJ9" s="1336"/>
      <c r="BK9" s="2190"/>
      <c r="BL9" s="15" t="s">
        <v>1871</v>
      </c>
      <c r="BM9" s="1816"/>
      <c r="BN9" s="2179"/>
      <c r="BO9" s="1816"/>
      <c r="BP9" s="1816"/>
      <c r="BQ9" s="1816"/>
      <c r="BR9" s="1816"/>
      <c r="BS9" s="1816"/>
      <c r="BT9" s="26"/>
    </row>
    <row r="10" spans="1:72" s="2183" customFormat="1" ht="12.75">
      <c r="A10" s="2176"/>
      <c r="B10" s="2176"/>
      <c r="C10" s="2176"/>
      <c r="D10" s="2176"/>
      <c r="E10" s="2176"/>
      <c r="F10" s="2176"/>
      <c r="G10" s="1290"/>
      <c r="H10" s="28"/>
      <c r="I10" s="2185" t="s">
        <v>3018</v>
      </c>
      <c r="J10" s="979"/>
      <c r="K10" s="2191" t="s">
        <v>3018</v>
      </c>
      <c r="L10" s="979"/>
      <c r="M10" s="2191" t="s">
        <v>3018</v>
      </c>
      <c r="N10" s="979"/>
      <c r="O10" s="2191" t="s">
        <v>3018</v>
      </c>
      <c r="P10" s="979"/>
      <c r="Q10" s="2191" t="s">
        <v>3018</v>
      </c>
      <c r="R10" s="979"/>
      <c r="S10" s="2191"/>
      <c r="T10" s="979"/>
      <c r="U10" s="2191"/>
      <c r="V10" s="979"/>
      <c r="W10" s="2191"/>
      <c r="X10" s="979"/>
      <c r="Y10" s="2191"/>
      <c r="Z10" s="979"/>
      <c r="AA10" s="2191"/>
      <c r="AB10" s="979"/>
      <c r="AC10" s="1290"/>
      <c r="AD10" s="15" t="s">
        <v>1872</v>
      </c>
      <c r="AE10" s="2192"/>
      <c r="AF10" s="15" t="s">
        <v>1872</v>
      </c>
      <c r="AG10" s="2192"/>
      <c r="AH10" s="15" t="s">
        <v>1873</v>
      </c>
      <c r="AI10" s="2192"/>
      <c r="AJ10" s="15" t="s">
        <v>1873</v>
      </c>
      <c r="AK10" s="2192"/>
      <c r="AL10" s="15" t="s">
        <v>1874</v>
      </c>
      <c r="AM10" s="1296"/>
      <c r="AN10" s="15" t="s">
        <v>1874</v>
      </c>
      <c r="AO10" s="1296"/>
      <c r="AP10" s="15" t="s">
        <v>1875</v>
      </c>
      <c r="AQ10" s="1296"/>
      <c r="AR10" s="15" t="s">
        <v>1875</v>
      </c>
      <c r="AS10" s="1296"/>
      <c r="AT10" s="2176"/>
      <c r="AU10" s="2176"/>
      <c r="AV10" s="1290"/>
      <c r="AW10" s="2159"/>
      <c r="AX10" s="1290"/>
      <c r="AY10" s="28"/>
      <c r="AZ10" s="28"/>
      <c r="BA10" s="2193" t="s">
        <v>1866</v>
      </c>
      <c r="BB10" s="2194"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1866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3103</v>
      </c>
      <c r="J11" s="2197"/>
      <c r="K11" s="2196" t="s">
        <v>3196</v>
      </c>
      <c r="L11" s="2197"/>
      <c r="M11" s="2196" t="s">
        <v>3103</v>
      </c>
      <c r="N11" s="2197"/>
      <c r="O11" s="2196" t="s">
        <v>3196</v>
      </c>
      <c r="P11" s="2197"/>
      <c r="Q11" s="2196" t="s">
        <v>3218</v>
      </c>
      <c r="R11" s="2197"/>
      <c r="S11" s="2196"/>
      <c r="T11" s="2197"/>
      <c r="U11" s="2196"/>
      <c r="V11" s="2197"/>
      <c r="W11" s="2196"/>
      <c r="X11" s="2197"/>
      <c r="Y11" s="2196"/>
      <c r="Z11" s="2197"/>
      <c r="AA11" s="2196"/>
      <c r="AB11" s="2197"/>
      <c r="AC11" s="1290"/>
      <c r="AD11" s="2198" t="s">
        <v>1876</v>
      </c>
      <c r="AE11" s="1817"/>
      <c r="AF11" s="2198" t="s">
        <v>1876</v>
      </c>
      <c r="AG11" s="1817"/>
      <c r="AH11" s="2198" t="s">
        <v>1877</v>
      </c>
      <c r="AI11" s="2199"/>
      <c r="AJ11" s="2198" t="s">
        <v>1877</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住宅</v>
      </c>
      <c r="BD11" s="2181" t="str">
        <f>M10</f>
        <v>住宅</v>
      </c>
      <c r="BE11" s="2181" t="str">
        <f>O10</f>
        <v>住宅</v>
      </c>
      <c r="BF11" s="2181" t="str">
        <f>Q10</f>
        <v>住宅</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1878</v>
      </c>
      <c r="J12" s="11" t="s">
        <v>1879</v>
      </c>
      <c r="K12" s="11" t="s">
        <v>1878</v>
      </c>
      <c r="L12" s="11" t="s">
        <v>1879</v>
      </c>
      <c r="M12" s="11" t="s">
        <v>1878</v>
      </c>
      <c r="N12" s="11" t="s">
        <v>1879</v>
      </c>
      <c r="O12" s="11" t="s">
        <v>1878</v>
      </c>
      <c r="P12" s="11" t="s">
        <v>1879</v>
      </c>
      <c r="Q12" s="11" t="s">
        <v>1878</v>
      </c>
      <c r="R12" s="11" t="s">
        <v>1879</v>
      </c>
      <c r="S12" s="11" t="s">
        <v>1878</v>
      </c>
      <c r="T12" s="11" t="s">
        <v>1879</v>
      </c>
      <c r="U12" s="11" t="s">
        <v>1878</v>
      </c>
      <c r="V12" s="1800" t="s">
        <v>1879</v>
      </c>
      <c r="W12" s="11" t="s">
        <v>1878</v>
      </c>
      <c r="X12" s="11" t="s">
        <v>1879</v>
      </c>
      <c r="Y12" s="11" t="s">
        <v>1878</v>
      </c>
      <c r="Z12" s="11" t="s">
        <v>1879</v>
      </c>
      <c r="AA12" s="11" t="s">
        <v>1878</v>
      </c>
      <c r="AB12" s="11" t="s">
        <v>1879</v>
      </c>
      <c r="AC12" s="2203"/>
      <c r="AD12" s="1804" t="s">
        <v>1878</v>
      </c>
      <c r="AE12" s="11" t="s">
        <v>1879</v>
      </c>
      <c r="AF12" s="11" t="s">
        <v>1878</v>
      </c>
      <c r="AG12" s="11" t="s">
        <v>1879</v>
      </c>
      <c r="AH12" s="11" t="s">
        <v>1878</v>
      </c>
      <c r="AI12" s="11" t="s">
        <v>1879</v>
      </c>
      <c r="AJ12" s="11" t="s">
        <v>1878</v>
      </c>
      <c r="AK12" s="11" t="s">
        <v>1879</v>
      </c>
      <c r="AL12" s="11" t="s">
        <v>1878</v>
      </c>
      <c r="AM12" s="11" t="s">
        <v>1879</v>
      </c>
      <c r="AN12" s="11" t="s">
        <v>1878</v>
      </c>
      <c r="AO12" s="11" t="s">
        <v>1879</v>
      </c>
      <c r="AP12" s="11" t="s">
        <v>1878</v>
      </c>
      <c r="AQ12" s="11" t="s">
        <v>1879</v>
      </c>
      <c r="AR12" s="30" t="s">
        <v>1878</v>
      </c>
      <c r="AS12" s="2201" t="s">
        <v>1879</v>
      </c>
      <c r="AT12" s="2204"/>
      <c r="AU12" s="2201"/>
      <c r="AV12" s="31"/>
      <c r="AW12" s="2160"/>
      <c r="AX12" s="31"/>
      <c r="AY12" s="2205"/>
      <c r="AZ12" s="28"/>
      <c r="BA12" s="2193"/>
      <c r="BB12" s="24" t="str">
        <f>I11</f>
        <v>高层</v>
      </c>
      <c r="BC12" s="2206" t="str">
        <f>K11</f>
        <v>小高层</v>
      </c>
      <c r="BD12" s="2206" t="str">
        <f>M11</f>
        <v>高层</v>
      </c>
      <c r="BE12" s="2181" t="str">
        <f>O11</f>
        <v>小高层</v>
      </c>
      <c r="BF12" s="2181" t="str">
        <f>Q11</f>
        <v>已售及非住宅</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63" t="s">
        <v>3106</v>
      </c>
      <c r="D13" s="2207" t="s">
        <v>3025</v>
      </c>
      <c r="E13" s="16">
        <f>IF($C$3="是",ROUND($A$3*G13/$B$3,2),ROUND($A$3*(G13-AT13)/$B$3,2))</f>
        <v>75.39</v>
      </c>
      <c r="F13" s="32"/>
      <c r="G13" s="33">
        <f>H13+AC13+AT13</f>
        <v>221.26</v>
      </c>
      <c r="H13" s="20">
        <f>SUMIF(I$12:AB$12,"总值",I13:AB13)</f>
        <v>221.26</v>
      </c>
      <c r="I13" s="2208"/>
      <c r="J13" s="2208"/>
      <c r="K13" s="2208"/>
      <c r="L13" s="2208"/>
      <c r="M13" s="2208">
        <v>221.26</v>
      </c>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高层</v>
      </c>
      <c r="AY13" s="1804">
        <f>ROUND($AY$6*AZ13/$AZ$5,2)</f>
        <v>75.39</v>
      </c>
      <c r="AZ13" s="16">
        <f>BA13+BL13</f>
        <v>221.26</v>
      </c>
      <c r="BA13" s="16">
        <f>SUM(BB13:BK13)</f>
        <v>221.26</v>
      </c>
      <c r="BB13" s="16">
        <f>IF($D13="是",I13-J13,0)</f>
        <v>0</v>
      </c>
      <c r="BC13" s="16">
        <f>IF($D13="是",K13-L13,0)</f>
        <v>0</v>
      </c>
      <c r="BD13" s="16">
        <f>IF($D13="是",M13-N13,0)</f>
        <v>221.26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64" t="s">
        <v>3197</v>
      </c>
      <c r="D14" s="2207" t="s">
        <v>3025</v>
      </c>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小高层</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64" t="s">
        <v>3198</v>
      </c>
      <c r="D15" s="2207" t="s">
        <v>3025</v>
      </c>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洋房</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64" t="s">
        <v>3199</v>
      </c>
      <c r="D16" s="2207" t="s">
        <v>3025</v>
      </c>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叠拼</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ustomHeight="1">
      <c r="A17" s="1270"/>
      <c r="B17" s="1270"/>
      <c r="C17" s="2964" t="s">
        <v>3200</v>
      </c>
      <c r="D17" s="2207" t="s">
        <v>3188</v>
      </c>
      <c r="E17" s="16">
        <f>IF($C$3="是",ROUND($A$3*G17/$B$3,2),ROUND($A$3*(G17-AT17)/$B$3,2))</f>
        <v>21896.81</v>
      </c>
      <c r="F17" s="32"/>
      <c r="G17" s="33">
        <f>H17+AC17+AT17</f>
        <v>64266.369999999995</v>
      </c>
      <c r="H17" s="20">
        <f>SUMIF(I$12:AB$12,"总值",I17:AB17)</f>
        <v>64266.369999999995</v>
      </c>
      <c r="I17" s="2208"/>
      <c r="J17" s="2208"/>
      <c r="K17" s="2208"/>
      <c r="L17" s="2208"/>
      <c r="M17" s="2208"/>
      <c r="N17" s="2208"/>
      <c r="O17" s="2208"/>
      <c r="P17" s="2208"/>
      <c r="Q17" s="2208">
        <f>'面积 (2)'!D11-'数据-基础表'!M13</f>
        <v>64266.369999999995</v>
      </c>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其他部分面积</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52</v>
      </c>
      <c r="E1" s="3072" t="s">
        <v>53</v>
      </c>
      <c r="F1" s="3072"/>
      <c r="G1" s="3072"/>
      <c r="H1" s="3072"/>
      <c r="I1" s="3072"/>
      <c r="J1" s="3072"/>
      <c r="K1" s="3072"/>
      <c r="L1" s="3072"/>
      <c r="M1" s="3072"/>
    </row>
    <row r="2" spans="1:13" ht="27" customHeight="1">
      <c r="A2" s="3071"/>
      <c r="B2" s="3071"/>
      <c r="C2" s="3071"/>
      <c r="D2" s="3072"/>
      <c r="E2" s="3072" t="s">
        <v>36</v>
      </c>
      <c r="F2" s="3072" t="s">
        <v>37</v>
      </c>
      <c r="G2" s="3072"/>
      <c r="H2" s="3072"/>
      <c r="I2" s="3072"/>
      <c r="J2" s="3072" t="s">
        <v>38</v>
      </c>
      <c r="K2" s="3072"/>
      <c r="L2" s="3072"/>
      <c r="M2" s="3072"/>
    </row>
    <row r="3" spans="1:13" ht="28.5">
      <c r="A3" s="3071"/>
      <c r="B3" s="3071"/>
      <c r="C3" s="3071"/>
      <c r="D3" s="3072"/>
      <c r="E3" s="3072"/>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72" t="s">
        <v>54</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7"/>
  <sheetViews>
    <sheetView tabSelected="1" topLeftCell="A16" zoomScale="85" zoomScaleNormal="85" workbookViewId="0">
      <selection activeCell="F23" sqref="F23:F37"/>
    </sheetView>
  </sheetViews>
  <sheetFormatPr defaultRowHeight="13.5"/>
  <cols>
    <col min="5" max="5" width="9.5" bestFit="1" customWidth="1"/>
    <col min="10" max="10" width="9" customWidth="1"/>
    <col min="11" max="11" width="9" style="2985"/>
    <col min="15" max="15" width="6.25" customWidth="1"/>
    <col min="16" max="16" width="5.625" customWidth="1"/>
    <col min="18" max="18" width="9.25" style="2958" customWidth="1"/>
  </cols>
  <sheetData>
    <row r="3" spans="1:21">
      <c r="B3" s="2950" t="s">
        <v>3033</v>
      </c>
      <c r="C3" s="2950" t="s">
        <v>3034</v>
      </c>
      <c r="E3" s="2950"/>
      <c r="F3" s="2950" t="s">
        <v>3045</v>
      </c>
      <c r="G3" s="2950" t="s">
        <v>3201</v>
      </c>
      <c r="H3" s="2950" t="s">
        <v>3046</v>
      </c>
      <c r="J3" s="2950"/>
      <c r="K3" s="2984"/>
      <c r="R3" s="2957"/>
    </row>
    <row r="4" spans="1:21">
      <c r="A4" s="2950" t="s">
        <v>3031</v>
      </c>
      <c r="B4">
        <v>21972.2</v>
      </c>
      <c r="C4" s="2950">
        <f>D4+D10</f>
        <v>64487.63</v>
      </c>
      <c r="D4" s="3074">
        <f>SUM(F4:K4)</f>
        <v>48855.95</v>
      </c>
      <c r="E4" s="2950" t="s">
        <v>3039</v>
      </c>
      <c r="F4" s="3073">
        <v>38794.36</v>
      </c>
      <c r="G4" s="3074">
        <v>10061.59</v>
      </c>
      <c r="H4" s="3074"/>
      <c r="I4" s="2950" t="s">
        <v>3067</v>
      </c>
      <c r="M4" s="2950"/>
      <c r="R4" s="2992"/>
    </row>
    <row r="5" spans="1:21">
      <c r="D5" s="3074"/>
      <c r="E5" s="2950" t="s">
        <v>3040</v>
      </c>
      <c r="F5" s="3073"/>
      <c r="G5" s="3074"/>
      <c r="H5" s="3074"/>
      <c r="I5" s="2950" t="s">
        <v>3068</v>
      </c>
      <c r="M5" s="2950"/>
      <c r="R5" s="2992"/>
    </row>
    <row r="6" spans="1:21">
      <c r="D6" s="3074"/>
      <c r="E6" s="2950" t="s">
        <v>3041</v>
      </c>
      <c r="F6" s="3073"/>
      <c r="G6" s="3074"/>
      <c r="H6" s="3074"/>
      <c r="I6" s="2950" t="s">
        <v>3068</v>
      </c>
      <c r="J6" s="2985">
        <f>ROUND(10%+9/22*40%,2)</f>
        <v>0.26</v>
      </c>
      <c r="M6" s="2951"/>
      <c r="R6" s="2992"/>
    </row>
    <row r="7" spans="1:21">
      <c r="D7" s="3074"/>
      <c r="E7" s="2950" t="s">
        <v>3042</v>
      </c>
      <c r="F7" s="3073"/>
      <c r="G7" s="3074"/>
      <c r="H7" s="3074"/>
      <c r="I7" s="2950" t="s">
        <v>3069</v>
      </c>
      <c r="M7" s="2951"/>
      <c r="R7" s="2992"/>
    </row>
    <row r="8" spans="1:21">
      <c r="D8" s="3074"/>
      <c r="E8" s="2950" t="s">
        <v>3043</v>
      </c>
      <c r="F8" s="3073"/>
      <c r="G8" s="3074"/>
      <c r="H8" s="3074"/>
      <c r="I8" s="2950" t="s">
        <v>3068</v>
      </c>
      <c r="M8" s="2951"/>
      <c r="R8" s="2992"/>
    </row>
    <row r="9" spans="1:21">
      <c r="D9" s="3074"/>
      <c r="E9" s="2950" t="s">
        <v>3044</v>
      </c>
      <c r="F9" s="3073"/>
      <c r="G9" s="3074"/>
      <c r="H9" s="3074"/>
      <c r="I9" s="2950" t="s">
        <v>3071</v>
      </c>
      <c r="R9" s="2992"/>
    </row>
    <row r="10" spans="1:21">
      <c r="D10">
        <f>SUM(G10:K10)</f>
        <v>15631.68</v>
      </c>
      <c r="E10" s="2950" t="s">
        <v>3046</v>
      </c>
      <c r="H10">
        <v>15631.68</v>
      </c>
      <c r="I10" s="2950" t="s">
        <v>3072</v>
      </c>
      <c r="R10" s="2992"/>
    </row>
    <row r="11" spans="1:21" s="2956" customFormat="1">
      <c r="D11" s="2961">
        <f t="shared" ref="D11:D23" si="0">SUM(F11:K11)</f>
        <v>64487.63</v>
      </c>
      <c r="F11" s="2956">
        <f>SUM(F4:F10)</f>
        <v>38794.36</v>
      </c>
      <c r="G11" s="2956">
        <f t="shared" ref="G11" si="1">SUM(G4:G10)</f>
        <v>10061.59</v>
      </c>
      <c r="H11" s="2956">
        <f>SUM(H4:H10)</f>
        <v>15631.68</v>
      </c>
      <c r="K11" s="2965"/>
      <c r="R11" s="2993"/>
    </row>
    <row r="14" spans="1:21">
      <c r="A14" s="2950" t="s">
        <v>3032</v>
      </c>
      <c r="B14">
        <v>56604.2</v>
      </c>
      <c r="C14">
        <f>SUM(D14:D38)</f>
        <v>157222.97</v>
      </c>
      <c r="D14">
        <f t="shared" si="0"/>
        <v>2763</v>
      </c>
      <c r="E14" s="2950" t="s">
        <v>3062</v>
      </c>
      <c r="F14">
        <v>2763</v>
      </c>
      <c r="I14" s="2950" t="s">
        <v>3089</v>
      </c>
      <c r="M14" s="2951"/>
      <c r="R14" s="2994"/>
    </row>
    <row r="15" spans="1:21">
      <c r="D15">
        <f t="shared" si="0"/>
        <v>2763</v>
      </c>
      <c r="E15" s="2950" t="s">
        <v>3050</v>
      </c>
      <c r="F15">
        <v>2763</v>
      </c>
      <c r="I15" s="2950" t="s">
        <v>3089</v>
      </c>
      <c r="M15" s="2951"/>
      <c r="R15" s="2994"/>
      <c r="U15" s="2983"/>
    </row>
    <row r="16" spans="1:21">
      <c r="D16">
        <f t="shared" si="0"/>
        <v>2741</v>
      </c>
      <c r="E16" s="2950" t="s">
        <v>3051</v>
      </c>
      <c r="F16">
        <v>2741</v>
      </c>
      <c r="I16" s="2950" t="s">
        <v>3090</v>
      </c>
      <c r="M16" s="2951"/>
      <c r="R16" s="2994"/>
      <c r="U16" s="2983"/>
    </row>
    <row r="17" spans="4:21">
      <c r="D17">
        <f t="shared" si="0"/>
        <v>2741</v>
      </c>
      <c r="E17" s="2950" t="s">
        <v>3058</v>
      </c>
      <c r="F17">
        <v>2741</v>
      </c>
      <c r="I17" s="2950" t="s">
        <v>3090</v>
      </c>
      <c r="M17" s="2951"/>
      <c r="R17" s="2994"/>
      <c r="U17" s="2985"/>
    </row>
    <row r="18" spans="4:21">
      <c r="D18">
        <f t="shared" si="0"/>
        <v>2741</v>
      </c>
      <c r="E18" s="2950" t="s">
        <v>3047</v>
      </c>
      <c r="F18">
        <v>2741</v>
      </c>
      <c r="I18" s="2950" t="s">
        <v>3090</v>
      </c>
      <c r="R18" s="2994"/>
    </row>
    <row r="19" spans="4:21">
      <c r="D19">
        <f t="shared" si="0"/>
        <v>2741</v>
      </c>
      <c r="E19" s="2950" t="s">
        <v>3056</v>
      </c>
      <c r="F19">
        <v>2741</v>
      </c>
      <c r="I19" s="2950" t="s">
        <v>3090</v>
      </c>
      <c r="R19" s="2994"/>
    </row>
    <row r="20" spans="4:21">
      <c r="D20">
        <f t="shared" si="0"/>
        <v>2442</v>
      </c>
      <c r="E20" s="2950" t="s">
        <v>3064</v>
      </c>
      <c r="F20">
        <v>2442</v>
      </c>
      <c r="I20" s="2950" t="s">
        <v>3090</v>
      </c>
      <c r="R20" s="2994"/>
    </row>
    <row r="21" spans="4:21">
      <c r="D21">
        <f t="shared" si="0"/>
        <v>3250</v>
      </c>
      <c r="E21" s="2950" t="s">
        <v>3066</v>
      </c>
      <c r="F21">
        <v>3250</v>
      </c>
      <c r="I21" s="2950" t="s">
        <v>3090</v>
      </c>
      <c r="R21" s="2994"/>
    </row>
    <row r="22" spans="4:21">
      <c r="D22">
        <f>SUM(F22:K22)</f>
        <v>4555</v>
      </c>
      <c r="E22" s="2950" t="s">
        <v>3055</v>
      </c>
      <c r="F22">
        <f>4555-G22-J22</f>
        <v>3827</v>
      </c>
      <c r="G22">
        <f>536+192</f>
        <v>728</v>
      </c>
      <c r="I22" s="2950" t="s">
        <v>3091</v>
      </c>
      <c r="M22" s="2954"/>
      <c r="R22" s="2992"/>
    </row>
    <row r="23" spans="4:21">
      <c r="D23" s="3074">
        <f t="shared" si="0"/>
        <v>86711.64</v>
      </c>
      <c r="E23" s="2950" t="s">
        <v>3202</v>
      </c>
      <c r="F23" s="3074">
        <f>F57+39915.38</f>
        <v>82341.929999999993</v>
      </c>
      <c r="G23" s="3074">
        <f>G57+1704.27</f>
        <v>4369.1100000000006</v>
      </c>
      <c r="I23" s="2950" t="s">
        <v>3090</v>
      </c>
      <c r="J23" s="2950" t="s">
        <v>3220</v>
      </c>
      <c r="K23" s="2985">
        <v>0.6</v>
      </c>
      <c r="M23" s="2951"/>
      <c r="R23" s="2992"/>
    </row>
    <row r="24" spans="4:21">
      <c r="D24" s="3074"/>
      <c r="E24" s="2950" t="s">
        <v>3203</v>
      </c>
      <c r="F24" s="3074"/>
      <c r="G24" s="3074"/>
      <c r="I24" s="2950" t="s">
        <v>3090</v>
      </c>
      <c r="J24" s="2950" t="s">
        <v>3220</v>
      </c>
      <c r="K24" s="2985">
        <v>0.6</v>
      </c>
      <c r="R24" s="2992"/>
    </row>
    <row r="25" spans="4:21">
      <c r="D25" s="3074"/>
      <c r="E25" s="2950" t="s">
        <v>3060</v>
      </c>
      <c r="F25" s="3074"/>
      <c r="G25" s="3074"/>
      <c r="I25" s="2950" t="s">
        <v>3090</v>
      </c>
      <c r="J25" s="2950" t="s">
        <v>3220</v>
      </c>
      <c r="K25" s="2985">
        <v>0.6</v>
      </c>
      <c r="M25" s="2954"/>
      <c r="R25" s="2992"/>
    </row>
    <row r="26" spans="4:21" s="2958" customFormat="1">
      <c r="D26" s="3074"/>
      <c r="E26" s="2957" t="s">
        <v>3049</v>
      </c>
      <c r="F26" s="3074"/>
      <c r="G26" s="3074"/>
      <c r="I26" s="2957" t="s">
        <v>3090</v>
      </c>
      <c r="J26" s="2950" t="s">
        <v>3220</v>
      </c>
      <c r="K26" s="2985">
        <v>0.6</v>
      </c>
      <c r="M26" s="2959"/>
      <c r="R26" s="2992"/>
    </row>
    <row r="27" spans="4:21">
      <c r="D27" s="3074"/>
      <c r="E27" s="2950" t="s">
        <v>3053</v>
      </c>
      <c r="F27" s="3074"/>
      <c r="G27" s="3074"/>
      <c r="I27" s="2950" t="s">
        <v>3090</v>
      </c>
      <c r="J27" s="2950" t="s">
        <v>3220</v>
      </c>
      <c r="K27" s="2985">
        <v>0.6</v>
      </c>
      <c r="M27" s="2954"/>
      <c r="R27" s="2992"/>
    </row>
    <row r="28" spans="4:21">
      <c r="D28" s="3074"/>
      <c r="E28" s="2950" t="s">
        <v>3063</v>
      </c>
      <c r="F28" s="3074"/>
      <c r="G28" s="3074"/>
      <c r="I28" s="2950" t="s">
        <v>3090</v>
      </c>
      <c r="J28" s="2950" t="s">
        <v>3220</v>
      </c>
      <c r="K28" s="2985">
        <v>0.6</v>
      </c>
      <c r="M28" s="2954"/>
      <c r="R28" s="2992"/>
    </row>
    <row r="29" spans="4:21">
      <c r="D29" s="3074"/>
      <c r="E29" s="2950" t="s">
        <v>3054</v>
      </c>
      <c r="F29" s="3074"/>
      <c r="G29" s="3074"/>
      <c r="I29" s="2950" t="s">
        <v>3090</v>
      </c>
      <c r="J29" s="2950" t="s">
        <v>3220</v>
      </c>
      <c r="K29" s="2985">
        <v>0.6</v>
      </c>
      <c r="M29" s="2954"/>
      <c r="R29" s="2992"/>
    </row>
    <row r="30" spans="4:21">
      <c r="D30" s="3074"/>
      <c r="E30" s="2950" t="s">
        <v>3048</v>
      </c>
      <c r="F30" s="3074"/>
      <c r="G30" s="3074"/>
      <c r="I30" s="2950" t="s">
        <v>3091</v>
      </c>
      <c r="J30" s="2950" t="s">
        <v>3221</v>
      </c>
      <c r="K30" s="2985">
        <f>20%+6/9*40%</f>
        <v>0.46666666666666667</v>
      </c>
      <c r="M30" s="2954"/>
      <c r="R30" s="2992"/>
    </row>
    <row r="31" spans="4:21">
      <c r="D31" s="3074"/>
      <c r="E31" s="2950" t="s">
        <v>3052</v>
      </c>
      <c r="F31" s="3074"/>
      <c r="G31" s="3074"/>
      <c r="I31" s="2950" t="s">
        <v>3091</v>
      </c>
      <c r="J31" s="2950" t="s">
        <v>3222</v>
      </c>
      <c r="K31" s="2985">
        <f>20%+8/9*40%</f>
        <v>0.55555555555555558</v>
      </c>
      <c r="M31" s="2951"/>
      <c r="R31" s="2992"/>
    </row>
    <row r="32" spans="4:21">
      <c r="D32" s="3074"/>
      <c r="E32" s="2950" t="s">
        <v>3065</v>
      </c>
      <c r="F32" s="3074"/>
      <c r="G32" s="3074"/>
      <c r="I32" s="2950" t="s">
        <v>3091</v>
      </c>
      <c r="J32" s="2950" t="s">
        <v>3220</v>
      </c>
      <c r="K32" s="2985">
        <v>0.6</v>
      </c>
      <c r="M32" s="2951"/>
      <c r="R32" s="2992"/>
    </row>
    <row r="33" spans="4:18">
      <c r="D33" s="3074"/>
      <c r="E33" s="2950" t="s">
        <v>3059</v>
      </c>
      <c r="F33" s="3074"/>
      <c r="G33" s="3074"/>
      <c r="I33" s="2950" t="s">
        <v>3091</v>
      </c>
      <c r="J33" s="2950" t="s">
        <v>3222</v>
      </c>
      <c r="K33" s="2985">
        <f>K31</f>
        <v>0.55555555555555558</v>
      </c>
      <c r="M33" s="2951"/>
      <c r="R33" s="2992"/>
    </row>
    <row r="34" spans="4:18">
      <c r="D34" s="3074"/>
      <c r="E34" s="2950" t="s">
        <v>3081</v>
      </c>
      <c r="F34" s="3074"/>
      <c r="G34" s="3074"/>
      <c r="I34" s="2950" t="s">
        <v>3067</v>
      </c>
      <c r="M34" s="2951"/>
      <c r="R34" s="2992"/>
    </row>
    <row r="35" spans="4:18">
      <c r="D35" s="3074"/>
      <c r="E35" s="2950" t="s">
        <v>3082</v>
      </c>
      <c r="F35" s="3074"/>
      <c r="G35" s="3074"/>
      <c r="I35" s="2950" t="s">
        <v>3067</v>
      </c>
      <c r="M35" s="2951"/>
      <c r="R35" s="2992"/>
    </row>
    <row r="36" spans="4:18">
      <c r="D36" s="3074"/>
      <c r="E36" s="2950" t="s">
        <v>3044</v>
      </c>
      <c r="F36" s="3074"/>
      <c r="G36" s="3074"/>
      <c r="I36" s="2950" t="s">
        <v>3087</v>
      </c>
      <c r="R36" s="2992"/>
    </row>
    <row r="37" spans="4:18">
      <c r="D37" s="3074"/>
      <c r="E37" s="2950" t="s">
        <v>3085</v>
      </c>
      <c r="F37" s="3074"/>
      <c r="G37" s="3074"/>
      <c r="I37" s="2950" t="s">
        <v>3069</v>
      </c>
      <c r="R37" s="2992"/>
    </row>
    <row r="38" spans="4:18">
      <c r="D38">
        <f>SUM(F38:K38)</f>
        <v>43774.33</v>
      </c>
      <c r="E38" s="2950" t="s">
        <v>3046</v>
      </c>
      <c r="H38">
        <f>H57+4655.55</f>
        <v>43774.33</v>
      </c>
      <c r="I38" s="2950" t="s">
        <v>3072</v>
      </c>
      <c r="R38" s="2992"/>
    </row>
    <row r="39" spans="4:18" s="2956" customFormat="1">
      <c r="D39" s="2961">
        <f>F39+G39+H39</f>
        <v>157222.37</v>
      </c>
      <c r="F39" s="2956">
        <f>SUM(F14:F38)</f>
        <v>108350.93</v>
      </c>
      <c r="G39" s="2956">
        <f>SUM(G14:G38)</f>
        <v>5097.1100000000006</v>
      </c>
      <c r="H39" s="2956">
        <f>SUM(H14:H38)</f>
        <v>43774.33</v>
      </c>
      <c r="K39" s="2965"/>
      <c r="R39" s="2958"/>
    </row>
    <row r="40" spans="4:18">
      <c r="D40" s="2950"/>
    </row>
    <row r="41" spans="4:18">
      <c r="D41" s="2950"/>
      <c r="E41" s="2950" t="s">
        <v>3204</v>
      </c>
      <c r="F41" s="2981">
        <v>2429.7399999999998</v>
      </c>
    </row>
    <row r="42" spans="4:18">
      <c r="D42" s="2950"/>
      <c r="E42" s="2950" t="s">
        <v>3205</v>
      </c>
      <c r="F42" s="2981">
        <v>3233.2</v>
      </c>
    </row>
    <row r="43" spans="4:18">
      <c r="D43" s="2950"/>
      <c r="E43" s="2950" t="s">
        <v>3207</v>
      </c>
      <c r="F43">
        <v>3788.17</v>
      </c>
      <c r="G43">
        <v>375.09</v>
      </c>
    </row>
    <row r="44" spans="4:18">
      <c r="E44" s="2980" t="s">
        <v>3206</v>
      </c>
      <c r="G44">
        <v>366.88</v>
      </c>
    </row>
    <row r="45" spans="4:18">
      <c r="E45" s="2950" t="s">
        <v>3208</v>
      </c>
      <c r="F45" s="2981">
        <v>3233.2</v>
      </c>
    </row>
    <row r="46" spans="4:18">
      <c r="E46" s="2950" t="s">
        <v>3209</v>
      </c>
      <c r="F46" s="2981">
        <v>3233.2</v>
      </c>
    </row>
    <row r="47" spans="4:18">
      <c r="E47" s="2950" t="s">
        <v>3210</v>
      </c>
      <c r="F47" s="2982">
        <v>3890.14</v>
      </c>
      <c r="G47">
        <v>204.13</v>
      </c>
    </row>
    <row r="48" spans="4:18">
      <c r="E48" s="2950" t="s">
        <v>3211</v>
      </c>
      <c r="F48" s="2981">
        <v>2429.7399999999998</v>
      </c>
    </row>
    <row r="49" spans="4:8">
      <c r="E49" s="2950" t="s">
        <v>3212</v>
      </c>
      <c r="F49" s="2981">
        <v>1626.36</v>
      </c>
    </row>
    <row r="50" spans="4:8">
      <c r="E50" s="2950" t="s">
        <v>3213</v>
      </c>
      <c r="F50" s="2981">
        <v>2429.7399999999998</v>
      </c>
    </row>
    <row r="51" spans="4:8">
      <c r="E51">
        <v>59</v>
      </c>
      <c r="F51" s="2982">
        <v>2044.78</v>
      </c>
      <c r="G51">
        <v>12.42</v>
      </c>
    </row>
    <row r="52" spans="4:8">
      <c r="E52" s="2950" t="s">
        <v>3214</v>
      </c>
      <c r="F52" s="2982">
        <v>4076.34</v>
      </c>
      <c r="G52">
        <v>24.86</v>
      </c>
    </row>
    <row r="53" spans="4:8">
      <c r="E53">
        <v>62</v>
      </c>
      <c r="F53" s="2982">
        <v>2044.78</v>
      </c>
      <c r="G53">
        <v>12.42</v>
      </c>
    </row>
    <row r="54" spans="4:8">
      <c r="E54" s="2950" t="s">
        <v>3215</v>
      </c>
      <c r="F54" s="2982">
        <v>4077.02</v>
      </c>
      <c r="G54">
        <v>24.85</v>
      </c>
    </row>
    <row r="55" spans="4:8">
      <c r="E55" s="2950" t="s">
        <v>3216</v>
      </c>
      <c r="F55" s="2982">
        <v>3890.14</v>
      </c>
      <c r="G55">
        <v>204.13</v>
      </c>
    </row>
    <row r="56" spans="4:8">
      <c r="E56" s="2950" t="s">
        <v>3217</v>
      </c>
      <c r="F56" s="2982"/>
      <c r="G56">
        <v>1440.06</v>
      </c>
      <c r="H56">
        <v>39118.78</v>
      </c>
    </row>
    <row r="57" spans="4:8">
      <c r="D57">
        <f>SUM(F57:H57)</f>
        <v>84210.17</v>
      </c>
      <c r="F57">
        <f>SUM(F41:F56)</f>
        <v>42426.549999999996</v>
      </c>
      <c r="G57">
        <f t="shared" ref="G57:H57" si="2">SUM(G41:G56)</f>
        <v>2664.84</v>
      </c>
      <c r="H57">
        <f t="shared" si="2"/>
        <v>39118.78</v>
      </c>
    </row>
  </sheetData>
  <mergeCells count="7">
    <mergeCell ref="F4:F9"/>
    <mergeCell ref="G4:G9"/>
    <mergeCell ref="D4:D9"/>
    <mergeCell ref="H4:H9"/>
    <mergeCell ref="D23:D37"/>
    <mergeCell ref="F23:F37"/>
    <mergeCell ref="G23:G3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A10" workbookViewId="0">
      <selection activeCell="B23" sqref="A23:B23"/>
    </sheetView>
  </sheetViews>
  <sheetFormatPr defaultRowHeight="13.5"/>
  <cols>
    <col min="15" max="15" width="6.25" customWidth="1"/>
    <col min="16" max="16" width="5.625" customWidth="1"/>
    <col min="18" max="18" width="9.25" customWidth="1"/>
  </cols>
  <sheetData>
    <row r="3" spans="1:18">
      <c r="B3" s="2950" t="s">
        <v>3033</v>
      </c>
      <c r="C3" s="2950" t="s">
        <v>3034</v>
      </c>
      <c r="E3" s="2950"/>
      <c r="F3" s="2950" t="s">
        <v>3045</v>
      </c>
      <c r="G3" s="2950" t="s">
        <v>3035</v>
      </c>
      <c r="H3" s="2950" t="s">
        <v>3036</v>
      </c>
      <c r="I3" s="2950" t="s">
        <v>3037</v>
      </c>
      <c r="J3" s="2950" t="s">
        <v>3038</v>
      </c>
      <c r="K3" s="2950" t="s">
        <v>3046</v>
      </c>
      <c r="R3" s="2950" t="s">
        <v>3078</v>
      </c>
    </row>
    <row r="4" spans="1:18">
      <c r="A4" s="2950" t="s">
        <v>3031</v>
      </c>
      <c r="B4">
        <v>21972.2</v>
      </c>
      <c r="C4">
        <v>64929</v>
      </c>
      <c r="D4">
        <f>SUM(F4:K4)</f>
        <v>9176</v>
      </c>
      <c r="E4" s="2950" t="s">
        <v>3039</v>
      </c>
      <c r="F4" s="2950">
        <f>9176-G4-H4-I4-J4</f>
        <v>7108</v>
      </c>
      <c r="G4">
        <v>1554</v>
      </c>
      <c r="H4">
        <v>514</v>
      </c>
      <c r="L4" s="2950" t="s">
        <v>3067</v>
      </c>
      <c r="M4" s="2950" t="s">
        <v>3073</v>
      </c>
      <c r="R4" s="2960">
        <f>50%*14/16</f>
        <v>0.4375</v>
      </c>
    </row>
    <row r="5" spans="1:18">
      <c r="D5">
        <f t="shared" ref="D5:D40" si="0">SUM(F5:K5)</f>
        <v>9661</v>
      </c>
      <c r="E5" s="2950" t="s">
        <v>3040</v>
      </c>
      <c r="F5" s="2950">
        <f>9661-G5-H5-I5-J5</f>
        <v>8033</v>
      </c>
      <c r="G5">
        <v>1211</v>
      </c>
      <c r="I5">
        <v>226</v>
      </c>
      <c r="J5">
        <v>191</v>
      </c>
      <c r="L5" s="2950" t="s">
        <v>3068</v>
      </c>
      <c r="M5" s="2950" t="s">
        <v>3074</v>
      </c>
      <c r="R5" s="2960">
        <f>ROUND(50%*9/22,2)</f>
        <v>0.2</v>
      </c>
    </row>
    <row r="6" spans="1:18">
      <c r="D6">
        <f t="shared" si="0"/>
        <v>9485</v>
      </c>
      <c r="E6" s="2950" t="s">
        <v>3041</v>
      </c>
      <c r="F6" s="2950">
        <f>9485-G6-H6-I6-J6</f>
        <v>8242</v>
      </c>
      <c r="G6">
        <v>491</v>
      </c>
      <c r="H6">
        <f>103+315+68</f>
        <v>486</v>
      </c>
      <c r="J6">
        <f>202+64</f>
        <v>266</v>
      </c>
      <c r="L6" s="2950" t="s">
        <v>3068</v>
      </c>
      <c r="M6" s="2951" t="s">
        <v>3075</v>
      </c>
      <c r="R6" s="2960">
        <f>ROUND(50%*8/22,2)</f>
        <v>0.18</v>
      </c>
    </row>
    <row r="7" spans="1:18">
      <c r="D7">
        <f t="shared" si="0"/>
        <v>8344</v>
      </c>
      <c r="E7" s="2950" t="s">
        <v>3042</v>
      </c>
      <c r="F7" s="2950">
        <f>8344-G7-H7-I7-J7</f>
        <v>7504</v>
      </c>
      <c r="G7">
        <v>449</v>
      </c>
      <c r="I7">
        <v>299</v>
      </c>
      <c r="J7">
        <f>18+74</f>
        <v>92</v>
      </c>
      <c r="L7" s="2950" t="s">
        <v>3069</v>
      </c>
      <c r="M7" s="2951" t="s">
        <v>3076</v>
      </c>
      <c r="R7" s="2960">
        <f>50%*15/16</f>
        <v>0.46875</v>
      </c>
    </row>
    <row r="8" spans="1:18">
      <c r="D8">
        <f t="shared" si="0"/>
        <v>11047</v>
      </c>
      <c r="E8" s="2950" t="s">
        <v>3043</v>
      </c>
      <c r="F8" s="2950">
        <f>11047-G8-H8-I8-J8</f>
        <v>8019</v>
      </c>
      <c r="G8">
        <v>2540</v>
      </c>
      <c r="I8">
        <v>325</v>
      </c>
      <c r="J8">
        <f>110+53</f>
        <v>163</v>
      </c>
      <c r="L8" s="2950" t="s">
        <v>3070</v>
      </c>
      <c r="M8" s="2951" t="s">
        <v>3077</v>
      </c>
      <c r="R8" s="2960">
        <f>ROUND(50%*7/22,2)</f>
        <v>0.16</v>
      </c>
    </row>
    <row r="9" spans="1:18">
      <c r="D9">
        <f t="shared" si="0"/>
        <v>1342</v>
      </c>
      <c r="E9" s="2950" t="s">
        <v>3044</v>
      </c>
      <c r="F9" s="2950"/>
      <c r="G9">
        <v>1342</v>
      </c>
      <c r="L9" s="2950" t="s">
        <v>3071</v>
      </c>
      <c r="R9" s="2960">
        <v>0</v>
      </c>
    </row>
    <row r="10" spans="1:18">
      <c r="D10">
        <f t="shared" si="0"/>
        <v>15874</v>
      </c>
      <c r="E10" s="2950" t="s">
        <v>3046</v>
      </c>
      <c r="K10">
        <v>15874</v>
      </c>
      <c r="L10" s="2950" t="s">
        <v>3072</v>
      </c>
      <c r="R10" s="2960">
        <v>0.6</v>
      </c>
    </row>
    <row r="11" spans="1:18" s="2956" customFormat="1">
      <c r="D11" s="2961">
        <f t="shared" si="0"/>
        <v>64929</v>
      </c>
      <c r="F11" s="2956">
        <f>SUM(F4:F10)</f>
        <v>38906</v>
      </c>
      <c r="G11" s="2956">
        <f t="shared" ref="G11:K11" si="1">SUM(G4:G10)</f>
        <v>7587</v>
      </c>
      <c r="H11" s="2956">
        <f t="shared" si="1"/>
        <v>1000</v>
      </c>
      <c r="I11" s="2956">
        <f t="shared" si="1"/>
        <v>850</v>
      </c>
      <c r="J11" s="2956">
        <f t="shared" si="1"/>
        <v>712</v>
      </c>
      <c r="K11" s="2956">
        <f t="shared" si="1"/>
        <v>15874</v>
      </c>
      <c r="R11" s="2968">
        <f>SUMPRODUCT(R4:R10*D4:D10/D11)</f>
        <v>0.3520332979100248</v>
      </c>
    </row>
    <row r="12" spans="1:18">
      <c r="R12" s="2961"/>
    </row>
    <row r="13" spans="1:18">
      <c r="R13" s="2961"/>
    </row>
    <row r="14" spans="1:18">
      <c r="A14" s="2950" t="s">
        <v>3032</v>
      </c>
      <c r="B14">
        <v>56604.2</v>
      </c>
      <c r="C14">
        <f>SUM(F41:K41)</f>
        <v>129810</v>
      </c>
      <c r="D14">
        <f t="shared" si="0"/>
        <v>2763</v>
      </c>
      <c r="E14" s="2950" t="s">
        <v>3062</v>
      </c>
      <c r="F14">
        <v>2763</v>
      </c>
      <c r="L14" s="2950" t="s">
        <v>3089</v>
      </c>
      <c r="M14" s="2951"/>
      <c r="R14" s="2962">
        <v>0</v>
      </c>
    </row>
    <row r="15" spans="1:18">
      <c r="D15">
        <f t="shared" si="0"/>
        <v>2763</v>
      </c>
      <c r="E15" s="2950" t="s">
        <v>3050</v>
      </c>
      <c r="F15">
        <v>2763</v>
      </c>
      <c r="L15" s="2950" t="s">
        <v>3089</v>
      </c>
      <c r="M15" s="2951"/>
      <c r="R15" s="2962">
        <v>0</v>
      </c>
    </row>
    <row r="16" spans="1:18">
      <c r="D16">
        <f t="shared" si="0"/>
        <v>2741</v>
      </c>
      <c r="E16" s="2950" t="s">
        <v>3051</v>
      </c>
      <c r="F16">
        <v>2741</v>
      </c>
      <c r="L16" s="2950" t="s">
        <v>3090</v>
      </c>
      <c r="M16" s="2951"/>
      <c r="R16" s="2962">
        <v>0</v>
      </c>
    </row>
    <row r="17" spans="4:18">
      <c r="D17">
        <f t="shared" si="0"/>
        <v>2741</v>
      </c>
      <c r="E17" s="2950" t="s">
        <v>3058</v>
      </c>
      <c r="F17">
        <v>2741</v>
      </c>
      <c r="L17" s="2950" t="s">
        <v>3090</v>
      </c>
      <c r="M17" s="2951"/>
      <c r="R17" s="2962">
        <v>0</v>
      </c>
    </row>
    <row r="18" spans="4:18">
      <c r="D18">
        <f t="shared" si="0"/>
        <v>2741</v>
      </c>
      <c r="E18" s="2950" t="s">
        <v>3047</v>
      </c>
      <c r="F18">
        <v>2741</v>
      </c>
      <c r="L18" s="2950" t="s">
        <v>3090</v>
      </c>
      <c r="R18" s="2962">
        <v>0</v>
      </c>
    </row>
    <row r="19" spans="4:18">
      <c r="D19">
        <f t="shared" si="0"/>
        <v>2741</v>
      </c>
      <c r="E19" s="2950" t="s">
        <v>3056</v>
      </c>
      <c r="F19">
        <v>2741</v>
      </c>
      <c r="L19" s="2950" t="s">
        <v>3090</v>
      </c>
      <c r="R19" s="2962">
        <v>0</v>
      </c>
    </row>
    <row r="20" spans="4:18">
      <c r="D20">
        <f t="shared" si="0"/>
        <v>2442</v>
      </c>
      <c r="E20" s="2950" t="s">
        <v>3064</v>
      </c>
      <c r="F20">
        <v>2442</v>
      </c>
      <c r="L20" s="2950" t="s">
        <v>3090</v>
      </c>
      <c r="R20" s="2962">
        <v>0</v>
      </c>
    </row>
    <row r="21" spans="4:18">
      <c r="D21">
        <f t="shared" si="0"/>
        <v>3250</v>
      </c>
      <c r="E21" s="2950" t="s">
        <v>3066</v>
      </c>
      <c r="F21">
        <v>3250</v>
      </c>
      <c r="L21" s="2950" t="s">
        <v>3090</v>
      </c>
      <c r="R21" s="2962">
        <v>0</v>
      </c>
    </row>
    <row r="22" spans="4:18">
      <c r="D22">
        <f t="shared" si="0"/>
        <v>2442</v>
      </c>
      <c r="E22" s="2950" t="s">
        <v>3061</v>
      </c>
      <c r="F22">
        <v>2442</v>
      </c>
      <c r="L22" s="2950" t="s">
        <v>3090</v>
      </c>
      <c r="M22" s="2954" t="s">
        <v>3095</v>
      </c>
      <c r="R22" s="2960">
        <f>ROUND(60%*5/6,2)</f>
        <v>0.5</v>
      </c>
    </row>
    <row r="23" spans="4:18">
      <c r="D23">
        <f t="shared" si="0"/>
        <v>3250</v>
      </c>
      <c r="E23" s="2950" t="s">
        <v>3057</v>
      </c>
      <c r="F23">
        <v>3250</v>
      </c>
      <c r="L23" s="2950" t="s">
        <v>3090</v>
      </c>
      <c r="M23" s="2951" t="s">
        <v>3097</v>
      </c>
      <c r="R23" s="2960">
        <f>ROUND(60%*4/6,2)</f>
        <v>0.4</v>
      </c>
    </row>
    <row r="24" spans="4:18">
      <c r="D24">
        <f t="shared" si="0"/>
        <v>4555</v>
      </c>
      <c r="E24" s="2950" t="s">
        <v>3055</v>
      </c>
      <c r="F24">
        <f>4555-G24-J24</f>
        <v>3827</v>
      </c>
      <c r="G24">
        <v>536</v>
      </c>
      <c r="J24">
        <v>192</v>
      </c>
      <c r="L24" s="2950" t="s">
        <v>3091</v>
      </c>
      <c r="R24" s="2960">
        <v>0</v>
      </c>
    </row>
    <row r="25" spans="4:18">
      <c r="D25">
        <f t="shared" si="0"/>
        <v>3250</v>
      </c>
      <c r="E25" s="2950" t="s">
        <v>3060</v>
      </c>
      <c r="F25">
        <v>3250</v>
      </c>
      <c r="L25" s="2950" t="s">
        <v>3090</v>
      </c>
      <c r="M25" s="2954" t="s">
        <v>3095</v>
      </c>
      <c r="R25" s="2960">
        <f>ROUND(60%*5/6,2)</f>
        <v>0.5</v>
      </c>
    </row>
    <row r="26" spans="4:18" s="2958" customFormat="1">
      <c r="D26">
        <f t="shared" si="0"/>
        <v>3250</v>
      </c>
      <c r="E26" s="2957" t="s">
        <v>3049</v>
      </c>
      <c r="F26" s="2958">
        <v>3250</v>
      </c>
      <c r="L26" s="2957" t="s">
        <v>3090</v>
      </c>
      <c r="M26" s="2959" t="s">
        <v>3098</v>
      </c>
      <c r="R26" s="2960">
        <f>ROUND(60%*6/6,2)</f>
        <v>0.6</v>
      </c>
    </row>
    <row r="27" spans="4:18">
      <c r="D27">
        <f t="shared" si="0"/>
        <v>2442</v>
      </c>
      <c r="E27" s="2950" t="s">
        <v>3053</v>
      </c>
      <c r="F27">
        <v>2442</v>
      </c>
      <c r="L27" s="2950" t="s">
        <v>3090</v>
      </c>
      <c r="M27" s="2954" t="s">
        <v>3095</v>
      </c>
      <c r="R27" s="2960">
        <f>ROUND(60%*5/6,2)</f>
        <v>0.5</v>
      </c>
    </row>
    <row r="28" spans="4:18">
      <c r="D28">
        <f t="shared" si="0"/>
        <v>1635</v>
      </c>
      <c r="E28" s="2950" t="s">
        <v>3063</v>
      </c>
      <c r="F28">
        <v>1635</v>
      </c>
      <c r="L28" s="2950" t="s">
        <v>3090</v>
      </c>
      <c r="M28" s="2954" t="s">
        <v>3101</v>
      </c>
      <c r="R28" s="2960">
        <f>ROUND(60%*6/6,2)</f>
        <v>0.6</v>
      </c>
    </row>
    <row r="29" spans="4:18">
      <c r="D29">
        <f t="shared" si="0"/>
        <v>2442</v>
      </c>
      <c r="E29" s="2950" t="s">
        <v>3054</v>
      </c>
      <c r="F29">
        <v>2442</v>
      </c>
      <c r="L29" s="2950" t="s">
        <v>3090</v>
      </c>
      <c r="M29" s="2954" t="s">
        <v>3101</v>
      </c>
      <c r="R29" s="2960">
        <f>ROUND(60%*6/6,2)</f>
        <v>0.6</v>
      </c>
    </row>
    <row r="30" spans="4:18">
      <c r="D30">
        <f t="shared" si="0"/>
        <v>4118</v>
      </c>
      <c r="E30" s="2950" t="s">
        <v>3048</v>
      </c>
      <c r="F30">
        <f>4118-J30</f>
        <v>3926</v>
      </c>
      <c r="J30">
        <v>192</v>
      </c>
      <c r="L30" s="2950" t="s">
        <v>3091</v>
      </c>
      <c r="M30" s="2954" t="s">
        <v>3095</v>
      </c>
      <c r="R30" s="2960">
        <f>ROUND(60%*5/9,2)</f>
        <v>0.33</v>
      </c>
    </row>
    <row r="31" spans="4:18">
      <c r="D31">
        <f t="shared" si="0"/>
        <v>6195</v>
      </c>
      <c r="E31" s="2950" t="s">
        <v>3052</v>
      </c>
      <c r="F31">
        <v>6195</v>
      </c>
      <c r="L31" s="2950" t="s">
        <v>3091</v>
      </c>
      <c r="M31" s="2951" t="s">
        <v>3099</v>
      </c>
      <c r="R31" s="2960">
        <f>ROUND(60%*7/9,2)</f>
        <v>0.47</v>
      </c>
    </row>
    <row r="32" spans="4:18">
      <c r="D32">
        <f t="shared" si="0"/>
        <v>6195</v>
      </c>
      <c r="E32" s="2950" t="s">
        <v>3065</v>
      </c>
      <c r="F32">
        <v>6195</v>
      </c>
      <c r="L32" s="2950" t="s">
        <v>3091</v>
      </c>
      <c r="M32" s="2951" t="s">
        <v>3100</v>
      </c>
      <c r="R32" s="2960">
        <f>ROUND(60%*8/9,2)</f>
        <v>0.53</v>
      </c>
    </row>
    <row r="33" spans="4:18">
      <c r="D33">
        <f t="shared" si="0"/>
        <v>4118</v>
      </c>
      <c r="E33" s="2950" t="s">
        <v>3059</v>
      </c>
      <c r="F33">
        <f>4118-J33</f>
        <v>3926</v>
      </c>
      <c r="J33">
        <v>192</v>
      </c>
      <c r="L33" s="2950" t="s">
        <v>3091</v>
      </c>
      <c r="M33" s="2951" t="s">
        <v>3094</v>
      </c>
      <c r="R33" s="2960">
        <f>ROUND(60%*7/9,2)</f>
        <v>0.47</v>
      </c>
    </row>
    <row r="34" spans="4:18">
      <c r="D34">
        <f t="shared" si="0"/>
        <v>39355</v>
      </c>
      <c r="E34" s="2950" t="s">
        <v>3086</v>
      </c>
      <c r="K34">
        <v>39355</v>
      </c>
      <c r="L34" s="2950" t="s">
        <v>3088</v>
      </c>
      <c r="R34" s="2960">
        <v>0.6</v>
      </c>
    </row>
    <row r="35" spans="4:18" s="2956" customFormat="1">
      <c r="D35"/>
      <c r="E35" s="2955"/>
      <c r="R35" s="2960"/>
    </row>
    <row r="36" spans="4:18">
      <c r="D36">
        <f t="shared" si="0"/>
        <v>6775</v>
      </c>
      <c r="E36" s="2950" t="s">
        <v>3081</v>
      </c>
      <c r="F36">
        <f>6775-G36-H36-J36</f>
        <v>6024</v>
      </c>
      <c r="G36">
        <v>365</v>
      </c>
      <c r="H36">
        <v>304</v>
      </c>
      <c r="J36">
        <f>52+30</f>
        <v>82</v>
      </c>
      <c r="L36" s="2950" t="s">
        <v>3067</v>
      </c>
      <c r="M36" s="2951" t="s">
        <v>3093</v>
      </c>
      <c r="R36" s="2960">
        <f>ROUND(50%*5/16,2)</f>
        <v>0.16</v>
      </c>
    </row>
    <row r="37" spans="4:18">
      <c r="D37">
        <f t="shared" si="0"/>
        <v>6333</v>
      </c>
      <c r="E37" s="2950" t="s">
        <v>3082</v>
      </c>
      <c r="F37">
        <f>6333-G37-H37-J37</f>
        <v>6024</v>
      </c>
      <c r="G37">
        <v>96</v>
      </c>
      <c r="H37">
        <v>172</v>
      </c>
      <c r="J37">
        <v>41</v>
      </c>
      <c r="L37" s="2950" t="s">
        <v>3067</v>
      </c>
      <c r="M37" s="2951" t="s">
        <v>3096</v>
      </c>
      <c r="R37" s="2960">
        <f>ROUND(50%*7/16,2)</f>
        <v>0.22</v>
      </c>
    </row>
    <row r="38" spans="4:18">
      <c r="D38">
        <f t="shared" si="0"/>
        <v>142</v>
      </c>
      <c r="E38" s="2950" t="s">
        <v>3083</v>
      </c>
      <c r="G38">
        <v>140</v>
      </c>
      <c r="J38">
        <v>2</v>
      </c>
      <c r="L38" s="2950" t="s">
        <v>3087</v>
      </c>
      <c r="R38" s="2960">
        <v>0</v>
      </c>
    </row>
    <row r="39" spans="4:18">
      <c r="D39">
        <f t="shared" si="0"/>
        <v>4652</v>
      </c>
      <c r="E39" s="2950" t="s">
        <v>3084</v>
      </c>
      <c r="K39">
        <v>4652</v>
      </c>
      <c r="L39" s="2950" t="s">
        <v>3088</v>
      </c>
      <c r="R39" s="2960">
        <v>0</v>
      </c>
    </row>
    <row r="40" spans="4:18">
      <c r="D40">
        <f t="shared" si="0"/>
        <v>6479</v>
      </c>
      <c r="E40" s="2950" t="s">
        <v>3085</v>
      </c>
      <c r="F40">
        <f>6479-G40</f>
        <v>6022</v>
      </c>
      <c r="G40">
        <v>457</v>
      </c>
      <c r="L40" s="2950" t="s">
        <v>3069</v>
      </c>
      <c r="M40" s="2951" t="s">
        <v>3092</v>
      </c>
      <c r="R40" s="2960">
        <f>ROUND(50%*5/16,2)</f>
        <v>0.16</v>
      </c>
    </row>
    <row r="41" spans="4:18" s="2956" customFormat="1">
      <c r="D41" s="2961">
        <f>SUM(F41:K41)</f>
        <v>129810</v>
      </c>
      <c r="F41" s="2956">
        <f>SUM(F14:F40)</f>
        <v>83032</v>
      </c>
      <c r="G41" s="2956">
        <f t="shared" ref="G41:K41" si="2">SUM(G14:G40)</f>
        <v>1594</v>
      </c>
      <c r="H41" s="2956">
        <f t="shared" si="2"/>
        <v>476</v>
      </c>
      <c r="I41" s="2956">
        <f t="shared" si="2"/>
        <v>0</v>
      </c>
      <c r="J41" s="2956">
        <f t="shared" si="2"/>
        <v>701</v>
      </c>
      <c r="K41" s="2956">
        <f t="shared" si="2"/>
        <v>44007</v>
      </c>
      <c r="R41" s="2965">
        <f>SUMPRODUCT(R14:R40*D14:D40/D41)</f>
        <v>0.35728757414682999</v>
      </c>
    </row>
    <row r="43" spans="4:18">
      <c r="D43" s="2950" t="s">
        <v>3104</v>
      </c>
      <c r="E43">
        <f>F41-E44</f>
        <v>40893</v>
      </c>
    </row>
    <row r="44" spans="4:18">
      <c r="D44" s="2950" t="s">
        <v>3105</v>
      </c>
      <c r="E44">
        <f>F24+F30+F31+F32+F33+F36+F37+F40</f>
        <v>42139</v>
      </c>
    </row>
    <row r="45" spans="4:18">
      <c r="D45" s="2950"/>
    </row>
    <row r="46" spans="4:18">
      <c r="D46" s="2950"/>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1905</v>
      </c>
      <c r="B1" s="1390"/>
      <c r="C1" s="1390"/>
      <c r="D1" s="1390"/>
      <c r="E1" s="1390"/>
      <c r="F1" s="1390"/>
      <c r="G1" s="1390"/>
      <c r="H1" s="1390"/>
      <c r="I1" s="1390"/>
      <c r="J1" s="1390"/>
      <c r="K1" s="1390"/>
      <c r="L1" s="1390"/>
      <c r="M1" s="1390"/>
      <c r="N1" s="1390"/>
      <c r="O1" s="1390"/>
      <c r="P1" s="1390"/>
    </row>
    <row r="2" spans="1:16" ht="15">
      <c r="A2" s="3084" t="s">
        <v>1906</v>
      </c>
      <c r="B2" s="3084"/>
      <c r="C2" s="3084"/>
      <c r="D2" s="965" t="s">
        <v>1882</v>
      </c>
      <c r="E2" s="2221" t="s">
        <v>1883</v>
      </c>
      <c r="F2" s="1390"/>
      <c r="G2" s="2222"/>
      <c r="H2" s="2223"/>
      <c r="I2" s="2224" t="s">
        <v>1907</v>
      </c>
      <c r="J2" s="1390"/>
      <c r="K2" s="1390"/>
      <c r="L2" s="1390"/>
      <c r="M2" s="1390"/>
      <c r="N2" s="1425"/>
      <c r="O2" s="1390"/>
      <c r="P2" s="1390"/>
    </row>
    <row r="3" spans="1:16" ht="15.75" thickBot="1">
      <c r="A3" s="3085" t="s">
        <v>1880</v>
      </c>
      <c r="B3" s="3085"/>
      <c r="C3" s="3085"/>
      <c r="D3" s="46">
        <f>'数据-基础表'!AY6</f>
        <v>75.39</v>
      </c>
      <c r="E3" s="46">
        <f>'数据-基础表'!AZ5</f>
        <v>221.26</v>
      </c>
      <c r="F3" s="1390"/>
      <c r="G3" s="1397"/>
      <c r="H3" s="1245" t="s">
        <v>1881</v>
      </c>
      <c r="I3" s="55">
        <f>ROUND('数据-基础表'!B3/'数据-基础表'!A3,2)</f>
        <v>2.93</v>
      </c>
      <c r="J3" s="1390"/>
      <c r="K3" s="1390"/>
      <c r="L3" s="1390"/>
      <c r="M3" s="1390"/>
      <c r="N3" s="1425"/>
      <c r="O3" s="1390"/>
      <c r="P3" s="1390"/>
    </row>
    <row r="4" spans="1:16" ht="15">
      <c r="A4" s="3086"/>
      <c r="B4" s="3087"/>
      <c r="C4" s="3088"/>
      <c r="D4" s="2225" t="s">
        <v>1882</v>
      </c>
      <c r="E4" s="2226" t="s">
        <v>1883</v>
      </c>
      <c r="F4" s="1390"/>
      <c r="G4" s="2227" t="s">
        <v>1908</v>
      </c>
      <c r="H4" s="1245" t="s">
        <v>1888</v>
      </c>
      <c r="I4" s="55">
        <f>ROUND(SUMIF('数据-基础表'!I9:AS9,"地上",'数据-基础表'!I5:AS5)/'数据-基础表'!A3,2)</f>
        <v>2.93</v>
      </c>
      <c r="J4" s="1390"/>
      <c r="K4" s="1390"/>
      <c r="L4" s="1390"/>
      <c r="M4" s="1390"/>
      <c r="N4" s="1425"/>
      <c r="O4" s="1390"/>
      <c r="P4" s="1390"/>
    </row>
    <row r="5" spans="1:16">
      <c r="A5" s="47" t="s">
        <v>1884</v>
      </c>
      <c r="B5" s="3089" t="s">
        <v>1885</v>
      </c>
      <c r="C5" s="3089"/>
      <c r="D5" s="48">
        <f>ROUND($D$3*E5/$E$3,2)</f>
        <v>75.39</v>
      </c>
      <c r="E5" s="49">
        <f>SUMIF('数据-基础表'!$11:$11,"住宅",'数据-基础表'!$5:$5)</f>
        <v>221.26</v>
      </c>
      <c r="F5" s="1390"/>
      <c r="G5" s="1397"/>
      <c r="H5" s="1245" t="s">
        <v>1881</v>
      </c>
      <c r="I5" s="55">
        <f>ROUND(E31/D31,2)</f>
        <v>2.93</v>
      </c>
      <c r="J5" s="1390"/>
      <c r="K5" s="1390"/>
      <c r="L5" s="1390"/>
      <c r="M5" s="1390"/>
      <c r="N5" s="1390"/>
      <c r="O5" s="1390"/>
      <c r="P5" s="1390"/>
    </row>
    <row r="6" spans="1:16" ht="15" thickBot="1">
      <c r="A6" s="2228"/>
      <c r="B6" s="3089" t="s">
        <v>1886</v>
      </c>
      <c r="C6" s="3089"/>
      <c r="D6" s="48">
        <f>ROUND($D$3*E6/$E$3,2)</f>
        <v>0</v>
      </c>
      <c r="E6" s="49">
        <f>E3-E5</f>
        <v>0</v>
      </c>
      <c r="F6" s="1390"/>
      <c r="G6" s="2229" t="s">
        <v>1887</v>
      </c>
      <c r="H6" s="1397" t="s">
        <v>1888</v>
      </c>
      <c r="I6" s="937">
        <f>ROUND(F31/D31,2)</f>
        <v>2.93</v>
      </c>
      <c r="J6" s="1390"/>
      <c r="K6" s="1390"/>
      <c r="L6" s="1390"/>
      <c r="M6" s="1390"/>
      <c r="N6" s="1390"/>
      <c r="O6" s="1390"/>
      <c r="P6" s="1390"/>
    </row>
    <row r="7" spans="1:16" ht="15">
      <c r="A7" s="3081"/>
      <c r="B7" s="3082"/>
      <c r="C7" s="3083"/>
      <c r="D7" s="2225" t="s">
        <v>1882</v>
      </c>
      <c r="E7" s="2230" t="s">
        <v>1889</v>
      </c>
      <c r="F7" s="1390"/>
      <c r="G7" s="2222" t="s">
        <v>1890</v>
      </c>
      <c r="H7" s="64"/>
      <c r="I7" s="419">
        <f>ROUND(('面积 (2)'!F11+'面积 (2)'!G11)/'面积 (2)'!B4,2)</f>
        <v>2.2200000000000002</v>
      </c>
      <c r="J7" s="1390"/>
      <c r="K7" s="1390"/>
      <c r="L7" s="1390"/>
      <c r="M7" s="1390"/>
      <c r="N7" s="1390"/>
      <c r="O7" s="1390"/>
      <c r="P7" s="1390"/>
    </row>
    <row r="8" spans="1:16">
      <c r="A8" s="47" t="s">
        <v>1891</v>
      </c>
      <c r="B8" s="50" t="s">
        <v>1892</v>
      </c>
      <c r="C8" s="48" t="s">
        <v>1893</v>
      </c>
      <c r="D8" s="48">
        <f t="shared" ref="D8:D15" si="0">ROUND($D$3*E8/$E$3,2)</f>
        <v>75.39</v>
      </c>
      <c r="E8" s="51">
        <f>SUMIF('数据-基础表'!BB10:BK10,"地上",'数据-基础表'!BB5:BK5)</f>
        <v>221.26</v>
      </c>
      <c r="F8" s="1390"/>
      <c r="G8" s="2231"/>
      <c r="H8" s="2231"/>
      <c r="I8" s="1390"/>
      <c r="J8" s="1390"/>
      <c r="K8" s="1390"/>
      <c r="L8" s="1390"/>
      <c r="M8" s="1390"/>
      <c r="N8" s="1390"/>
      <c r="O8" s="1390"/>
      <c r="P8" s="1390"/>
    </row>
    <row r="9" spans="1:16">
      <c r="A9" s="2232"/>
      <c r="B9" s="2233"/>
      <c r="C9" s="48" t="s">
        <v>1894</v>
      </c>
      <c r="D9" s="48">
        <f t="shared" si="0"/>
        <v>0</v>
      </c>
      <c r="E9" s="52">
        <v>0</v>
      </c>
      <c r="F9" s="1390"/>
      <c r="G9" s="2231"/>
      <c r="H9" s="2231"/>
      <c r="I9" s="1390"/>
      <c r="J9" s="1390"/>
      <c r="K9" s="1390"/>
      <c r="L9" s="1390"/>
      <c r="M9" s="1390"/>
      <c r="N9" s="1390"/>
      <c r="O9" s="1390"/>
      <c r="P9" s="1390"/>
    </row>
    <row r="10" spans="1:16">
      <c r="A10" s="2232"/>
      <c r="B10" s="2233"/>
      <c r="C10" s="48" t="s">
        <v>1903</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1895</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1896</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1897</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1909</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1904</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1898</v>
      </c>
      <c r="D16" s="50">
        <f>SUM(D8:D15)</f>
        <v>75.39</v>
      </c>
      <c r="E16" s="53">
        <f>SUM(E8:E15)</f>
        <v>221.26</v>
      </c>
      <c r="F16" s="1390"/>
      <c r="G16" s="2231"/>
      <c r="H16" s="2234" t="s">
        <v>1910</v>
      </c>
      <c r="I16" s="2235"/>
      <c r="J16" s="1390"/>
      <c r="K16" s="3078" t="s">
        <v>1910</v>
      </c>
      <c r="L16" s="3079"/>
      <c r="M16" s="3079"/>
      <c r="N16" s="3079"/>
      <c r="O16" s="3079"/>
      <c r="P16" s="3080"/>
    </row>
    <row r="17" spans="1:19" ht="15">
      <c r="A17" s="2236" t="s">
        <v>1911</v>
      </c>
      <c r="B17" s="2237" t="s">
        <v>1912</v>
      </c>
      <c r="C17" s="2238" t="s">
        <v>1913</v>
      </c>
      <c r="D17" s="2239" t="s">
        <v>1901</v>
      </c>
      <c r="E17" s="2240" t="s">
        <v>1902</v>
      </c>
      <c r="F17" s="2241"/>
      <c r="G17" s="2242"/>
      <c r="H17" s="2243" t="s">
        <v>1914</v>
      </c>
      <c r="I17" s="2244" t="s">
        <v>1899</v>
      </c>
      <c r="J17" s="1390"/>
      <c r="K17" s="3075" t="s">
        <v>1915</v>
      </c>
      <c r="L17" s="3076"/>
      <c r="M17" s="3077"/>
      <c r="N17" s="3075" t="s">
        <v>1916</v>
      </c>
      <c r="O17" s="3076"/>
      <c r="P17" s="3077"/>
      <c r="R17" s="2222" t="s">
        <v>1917</v>
      </c>
      <c r="S17" s="64"/>
    </row>
    <row r="18" spans="1:19" ht="15">
      <c r="A18" s="2232"/>
      <c r="B18" s="2245"/>
      <c r="C18" s="2246"/>
      <c r="D18" s="2247"/>
      <c r="E18" s="2248" t="s">
        <v>1918</v>
      </c>
      <c r="F18" s="2249" t="s">
        <v>1919</v>
      </c>
      <c r="G18" s="2250" t="s">
        <v>1920</v>
      </c>
      <c r="H18" s="1260" t="s">
        <v>1921</v>
      </c>
      <c r="I18" s="2251" t="s">
        <v>1922</v>
      </c>
      <c r="J18" s="1390"/>
      <c r="K18" s="1260" t="s">
        <v>1923</v>
      </c>
      <c r="L18" s="2252" t="s">
        <v>1924</v>
      </c>
      <c r="M18" s="1044" t="s">
        <v>1925</v>
      </c>
      <c r="N18" s="1260" t="s">
        <v>1923</v>
      </c>
      <c r="O18" s="2252" t="s">
        <v>1924</v>
      </c>
      <c r="P18" s="1044" t="s">
        <v>1925</v>
      </c>
      <c r="R18" s="1245" t="s">
        <v>1926</v>
      </c>
      <c r="S18" s="1245" t="s">
        <v>1927</v>
      </c>
    </row>
    <row r="19" spans="1:19">
      <c r="A19" s="2253"/>
      <c r="B19" s="50" t="s">
        <v>1900</v>
      </c>
      <c r="C19" s="2952" t="s">
        <v>3292</v>
      </c>
      <c r="D19" s="48">
        <f>ROUND($D$3*E19/$E$3,2)</f>
        <v>75.39</v>
      </c>
      <c r="E19" s="56">
        <f t="shared" ref="E19:E26" si="1">SUM(F19:G19)</f>
        <v>221.26</v>
      </c>
      <c r="F19" s="57">
        <f>'数据-基础表'!M13</f>
        <v>221.26</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75.39</v>
      </c>
      <c r="S19" s="1246">
        <f t="shared" si="5"/>
        <v>221.26</v>
      </c>
    </row>
    <row r="20" spans="1:19">
      <c r="A20" s="2256"/>
      <c r="B20" s="50" t="s">
        <v>1928</v>
      </c>
      <c r="C20" s="2952"/>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1928</v>
      </c>
      <c r="C21" s="2952"/>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1928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1928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1928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1928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1928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1929</v>
      </c>
      <c r="D27" s="1391">
        <f>SUM(D19:D26)</f>
        <v>75.39</v>
      </c>
      <c r="E27" s="1392">
        <f>IF(SUM(E19:E26)='数据-基础表'!BA5,SUM(E19:E26),IF(F27="地上面积有误","面积有误","地下面积有误"))</f>
        <v>221.26</v>
      </c>
      <c r="F27" s="1391">
        <f>IF(SUM(F19:F26)=E8,SUM(F19:F26),"地上面积有误")</f>
        <v>221.26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75.39</v>
      </c>
      <c r="S27" s="1245">
        <f>IF(SUM(S19:S26)=$E$3,SUM(S19:S26),SUM(S19:S26)&amp;"误差"&amp;ROUND(SUM(S19:S26)-E3,2))</f>
        <v>221.26</v>
      </c>
    </row>
    <row r="28" spans="1:19">
      <c r="A28" s="2256"/>
      <c r="B28" s="50" t="s">
        <v>1930</v>
      </c>
      <c r="C28" s="1257" t="s">
        <v>1931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1930</v>
      </c>
      <c r="C29" s="2260" t="s">
        <v>1932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1929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1933</v>
      </c>
      <c r="D31" s="728">
        <f>D27+D30</f>
        <v>75.39</v>
      </c>
      <c r="E31" s="728">
        <f>E27+E30</f>
        <v>221.26</v>
      </c>
      <c r="F31" s="729">
        <f>F27+F30</f>
        <v>221.26</v>
      </c>
      <c r="G31" s="730">
        <f>G27+G30</f>
        <v>0</v>
      </c>
      <c r="H31" s="1390"/>
      <c r="I31" s="1390"/>
      <c r="J31" s="1390"/>
      <c r="K31" s="1390"/>
      <c r="L31" s="1390"/>
      <c r="M31" s="1390"/>
      <c r="N31" s="1390"/>
      <c r="O31" s="1390"/>
      <c r="P31" s="1390"/>
    </row>
    <row r="32" spans="1:19">
      <c r="A32" s="2227"/>
      <c r="B32" s="2227" t="s">
        <v>1934</v>
      </c>
      <c r="C32" s="2227"/>
      <c r="D32" s="2227"/>
      <c r="E32" s="1272">
        <f>SUMIF(C19:C26,"*住宅*",E19:E26)</f>
        <v>0</v>
      </c>
      <c r="F32" s="2227"/>
      <c r="G32" s="2227"/>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B22:L23"/>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1935</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1936</v>
      </c>
      <c r="B2" s="1264">
        <f>项目基本情况!D3</f>
        <v>43906</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1937</v>
      </c>
      <c r="B4" s="2274"/>
      <c r="C4" s="2275"/>
      <c r="D4" s="2276"/>
      <c r="E4" s="2275" t="s">
        <v>1938</v>
      </c>
      <c r="F4" s="2275"/>
      <c r="G4" s="2275"/>
      <c r="H4" s="2275"/>
      <c r="I4" s="2275"/>
      <c r="J4" s="2277"/>
      <c r="K4" s="2278"/>
      <c r="L4" s="2279"/>
      <c r="M4" s="2275"/>
      <c r="N4" s="2275" t="s">
        <v>1939</v>
      </c>
      <c r="O4" s="2275"/>
      <c r="P4" s="2275"/>
      <c r="Q4" s="2275"/>
      <c r="R4" s="2275"/>
      <c r="S4" s="2277"/>
      <c r="T4" s="2280" t="str">
        <f>'数据-汇总表'!I17</f>
        <v>按面积比例</v>
      </c>
      <c r="U4" s="2274" t="s">
        <v>1940</v>
      </c>
      <c r="V4" s="2275"/>
      <c r="W4" s="2275"/>
      <c r="X4" s="2275"/>
      <c r="Y4" s="2277"/>
      <c r="Z4" s="2238" t="s">
        <v>1941</v>
      </c>
      <c r="AA4" s="2238"/>
      <c r="AB4" s="2238"/>
      <c r="AC4" s="2238"/>
      <c r="AD4" s="2238"/>
      <c r="AE4" s="2236" t="s">
        <v>1942</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1943</v>
      </c>
      <c r="B5" s="2283" t="s">
        <v>1944</v>
      </c>
      <c r="C5" s="2284" t="s">
        <v>1945</v>
      </c>
      <c r="D5" s="2285" t="s">
        <v>1946</v>
      </c>
      <c r="E5" s="1266" t="s">
        <v>1947</v>
      </c>
      <c r="F5" s="2286" t="s">
        <v>1948</v>
      </c>
      <c r="G5" s="1266" t="s">
        <v>1949</v>
      </c>
      <c r="H5" s="1266" t="s">
        <v>1950</v>
      </c>
      <c r="I5" s="1266" t="s">
        <v>1951</v>
      </c>
      <c r="J5" s="2287" t="s">
        <v>1952</v>
      </c>
      <c r="K5" s="2288" t="s">
        <v>1953</v>
      </c>
      <c r="L5" s="2289" t="s">
        <v>1954</v>
      </c>
      <c r="M5" s="2290" t="s">
        <v>1955</v>
      </c>
      <c r="N5" s="2291" t="s">
        <v>1956</v>
      </c>
      <c r="O5" s="2289" t="s">
        <v>1957</v>
      </c>
      <c r="P5" s="2292" t="s">
        <v>1958</v>
      </c>
      <c r="Q5" s="69" t="s">
        <v>1959</v>
      </c>
      <c r="R5" s="2293" t="s">
        <v>1960</v>
      </c>
      <c r="S5" s="2294" t="s">
        <v>1961</v>
      </c>
      <c r="T5" s="2295" t="s">
        <v>1962</v>
      </c>
      <c r="U5" s="1265" t="s">
        <v>1963</v>
      </c>
      <c r="V5" s="1266" t="s">
        <v>1964</v>
      </c>
      <c r="W5" s="1266" t="s">
        <v>1965</v>
      </c>
      <c r="X5" s="71"/>
      <c r="Y5" s="70" t="s">
        <v>1966</v>
      </c>
      <c r="Z5" s="2296" t="s">
        <v>1963</v>
      </c>
      <c r="AA5" s="1266" t="s">
        <v>1964</v>
      </c>
      <c r="AB5" s="1266" t="s">
        <v>1965</v>
      </c>
      <c r="AC5" s="71"/>
      <c r="AD5" s="71" t="s">
        <v>1966</v>
      </c>
      <c r="AE5" s="1265" t="s">
        <v>1967</v>
      </c>
      <c r="AF5" s="1266" t="s">
        <v>1968</v>
      </c>
      <c r="AG5" s="70" t="s">
        <v>1969</v>
      </c>
      <c r="AH5" s="1265" t="s">
        <v>1970</v>
      </c>
      <c r="AI5" s="2296" t="s">
        <v>1971</v>
      </c>
      <c r="AJ5" s="2296" t="s">
        <v>1972</v>
      </c>
      <c r="AK5" s="1266" t="s">
        <v>1973</v>
      </c>
      <c r="AL5" s="1266" t="s">
        <v>1974</v>
      </c>
      <c r="AM5" s="70" t="s">
        <v>1975</v>
      </c>
      <c r="AN5" s="2297" t="s">
        <v>1976</v>
      </c>
      <c r="AO5" s="2068" t="s">
        <v>1977</v>
      </c>
      <c r="AP5" s="1247" t="s">
        <v>1978</v>
      </c>
      <c r="AQ5" s="2298" t="s">
        <v>1979</v>
      </c>
      <c r="AR5" s="2298" t="s">
        <v>1980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299" t="str">
        <f>'数据-汇总表'!C19</f>
        <v>高层</v>
      </c>
      <c r="B6" s="2300" t="str">
        <f>IF(A6=0,"","经营性")</f>
        <v>经营性</v>
      </c>
      <c r="C6" s="2301" t="s">
        <v>3018</v>
      </c>
      <c r="D6" s="1049">
        <f>SUMIF(项目基本情况!D$12:I$12,C6,项目基本情况!D$14:I$14)</f>
        <v>70</v>
      </c>
      <c r="E6" s="1046">
        <f>IF(B6="","",SUMIF(项目基本情况!D$12:I$12,C6,项目基本情况!D$13:I$13))</f>
        <v>69147</v>
      </c>
      <c r="F6" s="72">
        <f>SUMIF(项目基本情况!D$12:I$12,C6,项目基本情况!D$15:I$15)</f>
        <v>69.150000000000006</v>
      </c>
      <c r="G6" s="73">
        <f>IF(ISERROR(ROUND(POWER(1+H6,D6-F6)*(POWER(1+H6,F6)-1)/(POWER(1+H6,D6)-1),3)),0,ROUND(POWER(1+H6,D6-F6)*(POWER(1+H6,F6)-1)/(POWER(1+H6,D6)-1),3))</f>
        <v>0.998</v>
      </c>
      <c r="H6" s="800">
        <v>4.4999999999999998E-2</v>
      </c>
      <c r="I6" s="800">
        <v>0.05</v>
      </c>
      <c r="J6" s="74">
        <v>8.5000000000000006E-2</v>
      </c>
      <c r="K6" s="1249">
        <f>SUMIF('数据-汇总表'!C$19:C$33,A6,'数据-汇总表'!E$19:E$33)</f>
        <v>221.26</v>
      </c>
      <c r="L6" s="2995">
        <v>3000</v>
      </c>
      <c r="M6" s="75">
        <f t="shared" ref="M6:M14" si="0">ROUND(K6*L6/10000,0)</f>
        <v>66</v>
      </c>
      <c r="N6" s="2996">
        <v>0.26</v>
      </c>
      <c r="O6" s="75">
        <f>IF($N$5="成新度","——",ROUND(M6*N6,0))</f>
        <v>17</v>
      </c>
      <c r="P6" s="76">
        <f>IF($N$5="成新度","——",M6-O6)</f>
        <v>49</v>
      </c>
      <c r="Q6" s="802">
        <v>0.15</v>
      </c>
      <c r="R6" s="77">
        <f ca="1">SUMIF('数据-汇总表'!C$19:C$33,A6,'数据-汇总表'!R$19:R$27)</f>
        <v>75.39</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302"/>
      <c r="AO6" s="55" t="e">
        <f ca="1">SUMIF(INDIRECT("'"&amp;AN6&amp;"'"&amp;"!A:A"),"总价",INDIRECT("'"&amp;AN6&amp;"'"&amp;"!B:B"))</f>
        <v>#REF!</v>
      </c>
      <c r="AP6" s="2303">
        <f>IF(C6="住宅",K6*L6,0)</f>
        <v>663780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t="s">
        <v>3018</v>
      </c>
      <c r="D7" s="1049">
        <f>SUMIF(项目基本情况!D$12:I$12,C7,项目基本情况!D$14:I$14)</f>
        <v>70</v>
      </c>
      <c r="E7" s="1046" t="str">
        <f>IF(B7="","",SUMIF(项目基本情况!D$12:I$12,C7,项目基本情况!D$13:I$13))</f>
        <v/>
      </c>
      <c r="F7" s="72">
        <f>SUMIF(项目基本情况!D$12:I$12,C7,项目基本情况!D$15:I$15)</f>
        <v>69.150000000000006</v>
      </c>
      <c r="G7" s="73">
        <f t="shared" ref="G7:G11" si="2">IF(ISERROR(ROUND(POWER(1+H7,D7-F7)*(POWER(1+H7,F7)-1)/(POWER(1+H7,D7)-1),3)),0,ROUND(POWER(1+H7,D7-F7)*(POWER(1+H7,F7)-1)/(POWER(1+H7,D7)-1),3))</f>
        <v>0.998</v>
      </c>
      <c r="H7" s="800">
        <v>4.4999999999999998E-2</v>
      </c>
      <c r="I7" s="800">
        <v>0.05</v>
      </c>
      <c r="J7" s="74">
        <v>8.5000000000000006E-2</v>
      </c>
      <c r="K7" s="1249">
        <f>SUMIF('数据-汇总表'!C$19:C$33,A7,'数据-汇总表'!E$19:E$33)</f>
        <v>0</v>
      </c>
      <c r="L7" s="2995">
        <v>3000</v>
      </c>
      <c r="M7" s="75">
        <f t="shared" si="0"/>
        <v>0</v>
      </c>
      <c r="N7" s="2996">
        <v>0.26</v>
      </c>
      <c r="O7" s="75">
        <f t="shared" ref="O7:O14" si="3">IF($N$5="成新度","——",ROUND(M7*N7,0))</f>
        <v>0</v>
      </c>
      <c r="P7" s="76">
        <f t="shared" ref="P7:P14" si="4">IF($N$5="成新度","——",M7-O7)</f>
        <v>0</v>
      </c>
      <c r="Q7" s="2970">
        <v>0.15</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2990"/>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299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299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29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2"/>
      <c r="AG11" s="146">
        <f t="shared" si="7"/>
        <v>0</v>
      </c>
      <c r="AH11" s="83"/>
      <c r="AI11" s="85"/>
      <c r="AJ11" s="86"/>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29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2"/>
      <c r="AG12" s="146">
        <f t="shared" si="7"/>
        <v>0</v>
      </c>
      <c r="AH12" s="83"/>
      <c r="AI12" s="85"/>
      <c r="AJ12" s="86"/>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29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1981</v>
      </c>
      <c r="B14" s="2300" t="s">
        <v>1982</v>
      </c>
      <c r="C14" s="2305" t="s">
        <v>1981</v>
      </c>
      <c r="D14" s="1049"/>
      <c r="E14" s="1046"/>
      <c r="F14" s="72"/>
      <c r="G14" s="73"/>
      <c r="H14" s="1248"/>
      <c r="I14" s="1248"/>
      <c r="J14" s="1248"/>
      <c r="K14" s="1249">
        <f>SUMIF('数据-汇总表'!C$19:C$33,A14,'数据-汇总表'!E$19:E$33)</f>
        <v>0</v>
      </c>
      <c r="L14" s="91"/>
      <c r="M14" s="75">
        <f t="shared" si="0"/>
        <v>0</v>
      </c>
      <c r="N14" s="2991"/>
      <c r="O14" s="75">
        <f t="shared" si="3"/>
        <v>0</v>
      </c>
      <c r="P14" s="76">
        <f t="shared" si="4"/>
        <v>0</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1983</v>
      </c>
      <c r="B15" s="2300" t="s">
        <v>1982</v>
      </c>
      <c r="C15" s="2305" t="s">
        <v>1984</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1985</v>
      </c>
      <c r="B16" s="96"/>
      <c r="C16" s="1003"/>
      <c r="D16" s="2307"/>
      <c r="E16" s="96"/>
      <c r="F16" s="96"/>
      <c r="G16" s="97">
        <f>ROUND(SUMPRODUCT(G6:G13,K6:K13)/SUMPRODUCT((G6:G13&gt;0)*(K6:K13)),3)</f>
        <v>0.998</v>
      </c>
      <c r="H16" s="98">
        <f>ROUND(SUMPRODUCT(H6:H13,K6:K13)/SUMPRODUCT((H6:H13&gt;0)*(K6:K13)),3)</f>
        <v>4.4999999999999998E-2</v>
      </c>
      <c r="I16" s="99"/>
      <c r="J16" s="99"/>
      <c r="K16" s="100">
        <f>SUM(K6:K15)</f>
        <v>221.26</v>
      </c>
      <c r="L16" s="101">
        <f>ROUND(M16*10000/SUM(K6:K14),0)</f>
        <v>2983</v>
      </c>
      <c r="M16" s="101">
        <f>SUM(M6:M14)</f>
        <v>66</v>
      </c>
      <c r="N16" s="102">
        <f>ROUND(SUMPRODUCT(M6:M14,N6:N14)/M16,3)</f>
        <v>0.26</v>
      </c>
      <c r="O16" s="101">
        <f>SUM(O6:O14)</f>
        <v>17</v>
      </c>
      <c r="P16" s="101">
        <f>SUM(P6:P14)</f>
        <v>49</v>
      </c>
      <c r="Q16" s="103">
        <f>ROUND(SUMPRODUCT(Q6:Q13,K6:K13)/SUMPRODUCT((Q6:Q13&gt;0)*(K6:K13)),2)</f>
        <v>0.15</v>
      </c>
      <c r="R16" s="1253">
        <f ca="1">SUM(R6:R13)</f>
        <v>75.39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1986</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1987</v>
      </c>
      <c r="B19" s="111">
        <v>0</v>
      </c>
      <c r="C19" s="2270" t="s">
        <v>1988</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1989</v>
      </c>
      <c r="B20" s="112">
        <v>2</v>
      </c>
      <c r="C20" s="2270" t="s">
        <v>1990</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1991</v>
      </c>
      <c r="B21" s="2969">
        <f>B20*N16</f>
        <v>0.52</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1992</v>
      </c>
      <c r="B22" s="113">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1993</v>
      </c>
      <c r="B23" s="113">
        <f>B19+B21</f>
        <v>0.52</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1994</v>
      </c>
      <c r="B24" s="114">
        <f>B20-B21</f>
        <v>1.48</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1995</v>
      </c>
      <c r="B26" s="2313" t="s">
        <v>1996</v>
      </c>
      <c r="C26" s="2314" t="s">
        <v>1997</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1998</v>
      </c>
      <c r="B27" s="115">
        <v>105</v>
      </c>
      <c r="C27" s="1762" t="s">
        <v>1999</v>
      </c>
      <c r="D27" s="2316"/>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2000</v>
      </c>
      <c r="B28" s="118">
        <v>105</v>
      </c>
      <c r="C28" s="2319"/>
      <c r="D28" s="2316"/>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2001</v>
      </c>
      <c r="B29" s="120">
        <v>0</v>
      </c>
      <c r="C29" s="1762" t="s">
        <v>2002</v>
      </c>
      <c r="D29" s="2316"/>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2003</v>
      </c>
      <c r="B30" s="723">
        <v>150</v>
      </c>
      <c r="C30" s="2319"/>
      <c r="D30" s="2316"/>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2004</v>
      </c>
      <c r="B31" s="119">
        <f>B30-B32</f>
        <v>0</v>
      </c>
      <c r="C31" s="1762"/>
      <c r="D31" s="2316"/>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2005</v>
      </c>
      <c r="B32" s="724">
        <v>150</v>
      </c>
      <c r="C32" s="2319"/>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2006</v>
      </c>
      <c r="B33" s="725">
        <v>0.03</v>
      </c>
      <c r="C33" s="1761" t="s">
        <v>2007</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2008</v>
      </c>
      <c r="B34" s="121">
        <v>0.03</v>
      </c>
      <c r="C34" s="1761" t="s">
        <v>2009</v>
      </c>
      <c r="D34" s="2271" t="s">
        <v>2010</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2011</v>
      </c>
      <c r="B35" s="118">
        <v>150</v>
      </c>
      <c r="C35" s="1761" t="s">
        <v>2012</v>
      </c>
      <c r="D35" s="2316"/>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2013</v>
      </c>
      <c r="B36" s="122">
        <v>1.4999999999999999E-2</v>
      </c>
      <c r="C36" s="1761" t="s">
        <v>2014</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2015</v>
      </c>
      <c r="B37" s="123">
        <v>1.4999999999999999E-2</v>
      </c>
      <c r="C37" s="1761" t="s">
        <v>2016</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2017</v>
      </c>
      <c r="B38" s="121">
        <v>1.4999999999999999E-2</v>
      </c>
      <c r="C38" s="1761" t="s">
        <v>2016</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2018</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2019</v>
      </c>
      <c r="B40" s="1298">
        <f ca="1">存贷款利率!G1</f>
        <v>4.7500000000000001E-2</v>
      </c>
      <c r="C40" s="1761" t="s">
        <v>2020</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2021</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2022</v>
      </c>
      <c r="B42" s="125">
        <v>0.05</v>
      </c>
      <c r="C42" s="2324">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2023</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2024</v>
      </c>
      <c r="B44" s="127">
        <v>7.0000000000000007E-2</v>
      </c>
      <c r="C44" s="1761" t="s">
        <v>2025</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2026</v>
      </c>
      <c r="B45" s="125">
        <v>0.03</v>
      </c>
      <c r="C45" s="1762" t="s">
        <v>2027</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2028</v>
      </c>
      <c r="B46" s="125">
        <v>0.02</v>
      </c>
      <c r="C46" s="1762" t="s">
        <v>2029</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2030</v>
      </c>
      <c r="B47" s="128"/>
      <c r="C47" s="1762" t="s">
        <v>2031</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2032</v>
      </c>
      <c r="B48" s="129">
        <v>0.04</v>
      </c>
      <c r="C48" s="1769" t="s">
        <v>2033</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2034</v>
      </c>
      <c r="B49" s="125">
        <v>5.0000000000000001E-4</v>
      </c>
      <c r="C49" s="1769" t="s">
        <v>2035</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2036</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2037</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2038</v>
      </c>
      <c r="B52" s="132">
        <f>SUMIF(A54:A63,B53,B54:B63)</f>
        <v>4</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2039</v>
      </c>
      <c r="B53" s="2329" t="s">
        <v>3079</v>
      </c>
      <c r="C53" s="1425" t="s">
        <v>2040</v>
      </c>
      <c r="D53" s="2330" t="s">
        <v>2041</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953" t="s">
        <v>3080</v>
      </c>
      <c r="B54" s="84">
        <v>4</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c r="B55" s="84"/>
      <c r="C55" s="1425">
        <v>24</v>
      </c>
      <c r="D55" s="2271"/>
      <c r="E55" s="2270"/>
      <c r="F55" s="2270"/>
      <c r="G55" s="2270"/>
      <c r="H55" s="2270"/>
      <c r="I55" s="2332"/>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0" t="s">
        <v>2042</v>
      </c>
      <c r="B1" s="3091"/>
      <c r="C1" s="3091"/>
      <c r="D1" s="3091"/>
      <c r="E1" s="3091"/>
      <c r="F1" s="3091"/>
      <c r="G1" s="309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2043</v>
      </c>
      <c r="D2" s="2358"/>
      <c r="E2" s="2359"/>
      <c r="F2" s="2279"/>
      <c r="G2" s="2357" t="s">
        <v>2044</v>
      </c>
      <c r="H2" s="2360"/>
      <c r="I2" s="2360"/>
      <c r="J2" s="2360"/>
      <c r="K2" s="2360"/>
      <c r="L2" s="2360"/>
      <c r="M2" s="2360"/>
      <c r="N2" s="2360"/>
      <c r="O2" s="2360"/>
      <c r="P2" s="2360"/>
      <c r="Q2" s="2360"/>
      <c r="R2" s="2360"/>
    </row>
    <row r="3" spans="1:29" ht="54">
      <c r="A3" s="414" t="s">
        <v>2045</v>
      </c>
      <c r="B3" s="1266" t="s">
        <v>2046</v>
      </c>
      <c r="C3" s="2362" t="s">
        <v>2047</v>
      </c>
      <c r="D3" s="2363"/>
      <c r="E3" s="430" t="s">
        <v>2045</v>
      </c>
      <c r="F3" s="2364" t="s">
        <v>2048</v>
      </c>
      <c r="G3" s="2365" t="s">
        <v>2049</v>
      </c>
      <c r="H3" s="2360"/>
      <c r="I3" s="2360"/>
      <c r="J3" s="2360"/>
      <c r="K3" s="2360"/>
      <c r="L3" s="2360"/>
      <c r="M3" s="2360"/>
      <c r="N3" s="2360"/>
      <c r="O3" s="2360"/>
      <c r="P3" s="2360"/>
      <c r="Q3" s="2360"/>
      <c r="R3" s="2360"/>
    </row>
    <row r="4" spans="1:29" ht="41.25">
      <c r="A4" s="430"/>
      <c r="B4" s="1793" t="s">
        <v>2050</v>
      </c>
      <c r="C4" s="2366" t="s">
        <v>2051</v>
      </c>
      <c r="D4" s="2363"/>
      <c r="E4" s="2367"/>
      <c r="F4" s="42" t="s">
        <v>2052</v>
      </c>
      <c r="G4" s="2368" t="s">
        <v>2053</v>
      </c>
      <c r="H4" s="2360"/>
      <c r="I4" s="2360"/>
      <c r="J4" s="2360"/>
      <c r="K4" s="2360"/>
      <c r="L4" s="2360"/>
      <c r="M4" s="2360"/>
      <c r="N4" s="2360"/>
      <c r="O4" s="2360"/>
      <c r="P4" s="2360"/>
      <c r="Q4" s="2360"/>
      <c r="R4" s="2360"/>
    </row>
    <row r="5" spans="1:29" ht="41.25">
      <c r="A5" s="430"/>
      <c r="B5" s="1793" t="s">
        <v>2054</v>
      </c>
      <c r="C5" s="2366" t="s">
        <v>2055</v>
      </c>
      <c r="D5" s="2363"/>
      <c r="E5" s="2367"/>
      <c r="F5" s="1793" t="s">
        <v>2056</v>
      </c>
      <c r="G5" s="2368" t="s">
        <v>2057</v>
      </c>
      <c r="H5" s="2360"/>
      <c r="I5" s="2360"/>
      <c r="J5" s="2360"/>
      <c r="K5" s="2360"/>
      <c r="L5" s="2360"/>
      <c r="M5" s="2360"/>
      <c r="N5" s="2360"/>
      <c r="O5" s="2360"/>
      <c r="P5" s="2360"/>
      <c r="Q5" s="2360"/>
      <c r="R5" s="2360"/>
    </row>
    <row r="6" spans="1:29" ht="54">
      <c r="A6" s="430"/>
      <c r="B6" s="1793" t="s">
        <v>2058</v>
      </c>
      <c r="C6" s="2368" t="s">
        <v>2053</v>
      </c>
      <c r="D6" s="2363"/>
      <c r="E6" s="2367"/>
      <c r="F6" s="1793" t="s">
        <v>2059</v>
      </c>
      <c r="G6" s="2368" t="s">
        <v>2060</v>
      </c>
      <c r="H6" s="2360"/>
      <c r="I6" s="2360"/>
      <c r="J6" s="2360"/>
      <c r="K6" s="2360"/>
      <c r="L6" s="2360"/>
      <c r="M6" s="2360"/>
      <c r="N6" s="2360"/>
      <c r="O6" s="2360"/>
      <c r="P6" s="2360"/>
      <c r="Q6" s="2360"/>
      <c r="R6" s="2360"/>
    </row>
    <row r="7" spans="1:29" ht="41.25" thickBot="1">
      <c r="A7" s="430"/>
      <c r="B7" s="1793" t="s">
        <v>2056</v>
      </c>
      <c r="C7" s="2368" t="s">
        <v>2057</v>
      </c>
      <c r="D7" s="2369"/>
      <c r="E7" s="2370"/>
      <c r="F7" s="2371" t="s">
        <v>2061</v>
      </c>
      <c r="G7" s="2372" t="s">
        <v>2062</v>
      </c>
      <c r="H7" s="2360"/>
      <c r="I7" s="2360"/>
      <c r="J7" s="2360"/>
      <c r="K7" s="2360"/>
      <c r="L7" s="2360"/>
      <c r="M7" s="2360"/>
      <c r="N7" s="2360"/>
      <c r="O7" s="2360"/>
      <c r="P7" s="2360"/>
      <c r="Q7" s="2360"/>
      <c r="R7" s="2360"/>
    </row>
    <row r="8" spans="1:29" ht="27">
      <c r="A8" s="430"/>
      <c r="B8" s="1793" t="s">
        <v>2059</v>
      </c>
      <c r="C8" s="2368" t="s">
        <v>2060</v>
      </c>
      <c r="D8" s="2369"/>
      <c r="E8" s="2369"/>
      <c r="F8" s="1131"/>
      <c r="G8" s="1131"/>
      <c r="H8" s="2360"/>
      <c r="I8" s="2360"/>
      <c r="J8" s="2360"/>
      <c r="K8" s="2360"/>
      <c r="L8" s="2360"/>
      <c r="M8" s="2360"/>
      <c r="N8" s="2360"/>
      <c r="O8" s="2360"/>
      <c r="P8" s="2360"/>
      <c r="Q8" s="2360"/>
      <c r="R8" s="2360"/>
    </row>
    <row r="9" spans="1:29" ht="27">
      <c r="A9" s="430"/>
      <c r="B9" s="1793" t="s">
        <v>2063</v>
      </c>
      <c r="C9" s="2366" t="s">
        <v>2064</v>
      </c>
      <c r="D9" s="2363"/>
      <c r="E9" s="2369"/>
      <c r="F9" s="1131"/>
      <c r="G9" s="1131"/>
      <c r="H9" s="2360"/>
      <c r="I9" s="2360"/>
      <c r="J9" s="2360"/>
      <c r="K9" s="2360"/>
      <c r="L9" s="2360"/>
      <c r="M9" s="2360"/>
      <c r="N9" s="2360"/>
      <c r="O9" s="2360"/>
      <c r="P9" s="2360"/>
      <c r="Q9" s="2360"/>
      <c r="R9" s="2360"/>
    </row>
    <row r="10" spans="1:29" s="116" customFormat="1" ht="15.75" thickBot="1">
      <c r="A10" s="2373"/>
      <c r="B10" s="2374" t="s">
        <v>2065</v>
      </c>
      <c r="C10" s="2375"/>
      <c r="D10" s="2363"/>
      <c r="E10" s="2363"/>
      <c r="F10" s="1131"/>
      <c r="G10" s="1131"/>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49"/>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9"/>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2066</v>
      </c>
      <c r="B13" s="2380"/>
      <c r="C13" s="2380"/>
      <c r="D13" s="2387"/>
      <c r="E13" s="2380"/>
      <c r="F13" s="2380"/>
      <c r="G13" s="2380"/>
    </row>
    <row r="14" spans="1:29" ht="15.75" thickBot="1">
      <c r="A14" s="2391"/>
      <c r="B14" s="2392"/>
      <c r="C14" s="2393" t="s">
        <v>2067</v>
      </c>
      <c r="D14" s="2363"/>
      <c r="E14" s="2394"/>
      <c r="F14" s="2394"/>
      <c r="G14" s="2357" t="s">
        <v>2068</v>
      </c>
    </row>
    <row r="15" spans="1:29" ht="57">
      <c r="A15" s="68" t="s">
        <v>2069</v>
      </c>
      <c r="B15" s="1265" t="s">
        <v>2046</v>
      </c>
      <c r="C15" s="2395" t="str">
        <f>C3</f>
        <v>估价对象周边居住用地比例、居住小区规模和社区发展完善程度，综合评价居住社区成熟度一般</v>
      </c>
      <c r="D15" s="2363"/>
      <c r="E15" s="2396" t="s">
        <v>2070</v>
      </c>
      <c r="F15" s="1265" t="s">
        <v>2071</v>
      </c>
      <c r="G15" s="134" t="str">
        <f>G3</f>
        <v>估价对象位于XX开发区，园区建设成熟度XX，产业集聚程度XX</v>
      </c>
    </row>
    <row r="16" spans="1:29" ht="42.75">
      <c r="A16" s="644"/>
      <c r="B16" s="2397" t="s">
        <v>2050</v>
      </c>
      <c r="C16" s="2398" t="str">
        <f>C4</f>
        <v>估价对象位于XX商圈，周边商业氛围成熟，人流量大，商业繁华度好</v>
      </c>
      <c r="D16" s="2363"/>
      <c r="E16" s="2399"/>
      <c r="F16" s="2400" t="s">
        <v>2052</v>
      </c>
      <c r="G16" s="135" t="str">
        <f>G4</f>
        <v>估价对象周边道路状况、公共交通通达情况、停车便捷程度，综合评价交通便捷度较好</v>
      </c>
    </row>
    <row r="17" spans="1:18" ht="42.75">
      <c r="A17" s="644"/>
      <c r="B17" s="2397" t="s">
        <v>2054</v>
      </c>
      <c r="C17" s="2398" t="str">
        <f>C5</f>
        <v>估价对象位于XX商圈，周边办公楼项目较多，入驻率高，办公集聚程度较好</v>
      </c>
      <c r="D17" s="2369"/>
      <c r="E17" s="2399"/>
      <c r="F17" s="2400" t="s">
        <v>2072</v>
      </c>
      <c r="G17" s="1567"/>
    </row>
    <row r="18" spans="1:18" ht="57">
      <c r="A18" s="644"/>
      <c r="B18" s="2400" t="s">
        <v>2058</v>
      </c>
      <c r="C18" s="135" t="str">
        <f>C6</f>
        <v>估价对象周边道路状况、公共交通通达情况、停车便捷程度，综合评价交通便捷度较好</v>
      </c>
      <c r="D18" s="2369"/>
      <c r="E18" s="2399"/>
      <c r="F18" s="2400" t="s">
        <v>2061</v>
      </c>
      <c r="G18" s="135" t="str">
        <f>G7</f>
        <v>该园区内是否有污染型企业，绿化情况，卫生条件，整体环境状况判断</v>
      </c>
    </row>
    <row r="19" spans="1:18" ht="28.5">
      <c r="A19" s="644"/>
      <c r="B19" s="2400" t="s">
        <v>2073</v>
      </c>
      <c r="C19" s="1567"/>
      <c r="D19" s="2363"/>
      <c r="E19" s="2399"/>
      <c r="F19" s="1793" t="s">
        <v>2056</v>
      </c>
      <c r="G19" s="135" t="str">
        <f>G5</f>
        <v>估价对象所在区域公共配套设施齐备情况</v>
      </c>
    </row>
    <row r="20" spans="1:18" ht="28.5">
      <c r="A20" s="644"/>
      <c r="B20" s="2400" t="s">
        <v>2074</v>
      </c>
      <c r="C20" s="2398" t="str">
        <f>C9</f>
        <v>区域自然环境：；人文环境；综合评价环境状况一般</v>
      </c>
      <c r="D20" s="2369"/>
      <c r="E20" s="2399"/>
      <c r="F20" s="1793" t="s">
        <v>2075</v>
      </c>
      <c r="G20" s="135" t="str">
        <f>G6</f>
        <v>估价对象所在区域基础设施水平</v>
      </c>
    </row>
    <row r="21" spans="1:18" ht="28.5">
      <c r="A21" s="644"/>
      <c r="B21" s="1793" t="s">
        <v>2056</v>
      </c>
      <c r="C21" s="135" t="str">
        <f>C7</f>
        <v>估价对象所在区域公共配套设施齐备情况</v>
      </c>
      <c r="D21" s="2363"/>
      <c r="E21" s="2399"/>
      <c r="F21" s="2400" t="s">
        <v>2076</v>
      </c>
      <c r="G21" s="2401"/>
    </row>
    <row r="22" spans="1:18" ht="13.5" customHeight="1">
      <c r="A22" s="644"/>
      <c r="B22" s="1793" t="s">
        <v>2059</v>
      </c>
      <c r="C22" s="135" t="str">
        <f>C8</f>
        <v>估价对象所在区域基础设施水平</v>
      </c>
      <c r="D22" s="2363"/>
      <c r="E22" s="2399"/>
      <c r="F22" s="2400" t="s">
        <v>2065</v>
      </c>
      <c r="G22" s="1567"/>
    </row>
    <row r="23" spans="1:18" s="2360" customFormat="1" ht="15.75" thickBot="1">
      <c r="A23" s="644"/>
      <c r="B23" s="2400" t="s">
        <v>2076</v>
      </c>
      <c r="C23" s="2401"/>
      <c r="D23" s="2388"/>
      <c r="E23" s="2402"/>
      <c r="F23" s="2403" t="s">
        <v>2077</v>
      </c>
      <c r="G23" s="2404"/>
      <c r="H23" s="2388"/>
      <c r="I23" s="2389"/>
      <c r="J23" s="2388"/>
      <c r="K23" s="2388"/>
      <c r="L23" s="2389"/>
      <c r="M23" s="2388"/>
      <c r="N23" s="2388"/>
      <c r="O23" s="2389"/>
      <c r="P23" s="2388"/>
      <c r="Q23" s="2388"/>
      <c r="R23" s="2390"/>
    </row>
    <row r="24" spans="1:18" s="2360" customFormat="1" ht="15.75" thickBot="1">
      <c r="A24" s="2405"/>
      <c r="B24" s="2403" t="s">
        <v>2078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ColWidth="9" defaultRowHeight="13.5"/>
  <cols>
    <col min="1" max="1" width="23.375" style="1736" customWidth="1"/>
    <col min="2" max="9" width="15.75" style="1736" customWidth="1"/>
    <col min="10" max="16384" width="9" style="1736"/>
  </cols>
  <sheetData>
    <row r="1" spans="1:10" ht="16.5">
      <c r="A1" s="1741" t="s">
        <v>1359</v>
      </c>
      <c r="B1" s="1741">
        <f>SUM(B14:B23)</f>
        <v>37971.620000000003</v>
      </c>
      <c r="C1" s="1740"/>
      <c r="D1" s="1740"/>
      <c r="E1" s="1740"/>
      <c r="F1" s="1740"/>
      <c r="G1" s="1738"/>
    </row>
    <row r="2" spans="1:10" ht="16.5">
      <c r="A2" s="1741" t="s">
        <v>1347</v>
      </c>
      <c r="B2" s="1741">
        <f>SUM(C14:C23)</f>
        <v>16451.39</v>
      </c>
      <c r="C2" s="1740"/>
      <c r="D2" s="1740"/>
      <c r="E2" s="1740"/>
      <c r="F2" s="1740"/>
      <c r="G2" s="1738"/>
    </row>
    <row r="3" spans="1:10" ht="16.5">
      <c r="A3" s="1741" t="s">
        <v>1356</v>
      </c>
      <c r="B3" s="1742">
        <f>项目基本情况!D3</f>
        <v>43906</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62608</v>
      </c>
      <c r="C5" s="1741">
        <f ca="1">ROUND(B5*10000/$B$1,0)</f>
        <v>16488</v>
      </c>
      <c r="D5" s="1741">
        <f ca="1">ROUND(B5*10000/$B$2,0)</f>
        <v>38056</v>
      </c>
      <c r="E5" s="1740"/>
      <c r="F5" s="1738"/>
      <c r="G5" s="1738"/>
    </row>
    <row r="6" spans="1:10" ht="16.5">
      <c r="A6" s="1741" t="s">
        <v>1350</v>
      </c>
      <c r="B6" s="1741">
        <f ca="1">SUM(G14:G23)</f>
        <v>62608</v>
      </c>
      <c r="C6" s="1741">
        <f ca="1">ROUND(B6*10000/$B$1,0)</f>
        <v>16488</v>
      </c>
      <c r="D6" s="1741">
        <f ca="1">ROUND(B6*10000/$B$2,0)</f>
        <v>38056</v>
      </c>
      <c r="E6" s="1740"/>
      <c r="F6" s="1738"/>
      <c r="G6" s="1738"/>
    </row>
    <row r="7" spans="1:10" ht="16.5">
      <c r="A7" s="1741" t="s">
        <v>1358</v>
      </c>
      <c r="B7" s="1741">
        <f>SUM(H14:H23)</f>
        <v>0</v>
      </c>
      <c r="C7" s="1741">
        <f>ROUND(B7*10000/$B$1,0)</f>
        <v>0</v>
      </c>
      <c r="D7" s="1741">
        <f>ROUND(B7*10000/$B$2,0)</f>
        <v>0</v>
      </c>
      <c r="E7" s="1740"/>
      <c r="F7" s="1738"/>
      <c r="G7" s="1738"/>
    </row>
    <row r="8" spans="1:10" ht="16.5">
      <c r="A8" s="1741" t="s">
        <v>1279</v>
      </c>
      <c r="B8" s="1741">
        <f>SUM(I14:I23)</f>
        <v>0</v>
      </c>
      <c r="C8" s="1741">
        <f>ROUND(B8*10000/$B$1,0)</f>
        <v>0</v>
      </c>
      <c r="D8" s="1741">
        <f>ROUND(B8*10000/$B$2,0)</f>
        <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221.26</v>
      </c>
      <c r="C14" s="1739">
        <f>结果表!C118</f>
        <v>75.39</v>
      </c>
      <c r="D14" s="1739">
        <f ca="1">结果表!H118</f>
        <v>296</v>
      </c>
      <c r="E14" s="1739">
        <f ca="1">ROUND(D14*10000/B14,0)</f>
        <v>13378</v>
      </c>
      <c r="F14" s="1739">
        <f ca="1">ROUND(D14*10000/C14,0)</f>
        <v>39263</v>
      </c>
      <c r="G14" s="1739">
        <f ca="1">结果表!D122</f>
        <v>296</v>
      </c>
      <c r="H14" s="1739" t="str">
        <f>结果表!D124</f>
        <v>——</v>
      </c>
      <c r="I14" s="1739" t="str">
        <f>结果表!D126</f>
        <v>——</v>
      </c>
      <c r="J14" s="1738"/>
    </row>
    <row r="15" spans="1:10" ht="16.5">
      <c r="A15" s="1737" t="s">
        <v>1343</v>
      </c>
      <c r="B15" s="1744">
        <f>[1]系统读取表!$B$14</f>
        <v>37750.36</v>
      </c>
      <c r="C15" s="1744">
        <f>[1]系统读取表!$C$14</f>
        <v>16376</v>
      </c>
      <c r="D15" s="1744">
        <f ca="1">[1]系统读取表!$D$14</f>
        <v>62312</v>
      </c>
      <c r="E15" s="1739">
        <f t="shared" ref="E15:E23" ca="1" si="0">ROUND(D15*10000/B15,0)</f>
        <v>16506</v>
      </c>
      <c r="F15" s="1739">
        <f t="shared" ref="F15:F23" ca="1" si="1">ROUND(D15*10000/C15,0)</f>
        <v>38051</v>
      </c>
      <c r="G15" s="1745">
        <f ca="1">D15</f>
        <v>62312</v>
      </c>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817</v>
      </c>
      <c r="B36" s="1012" t="s">
        <v>818</v>
      </c>
    </row>
    <row r="37" spans="1:9" ht="27.75" customHeight="1">
      <c r="A37" s="1012"/>
      <c r="B37" s="2997" t="str">
        <f>项目基本情况!B1</f>
        <v>江苏省无锡市惠山新城白屈港东侧、融泽路南侧出让国有建设用地使用权及在建建筑物房地产抵押价值预评估</v>
      </c>
      <c r="C37" s="2997"/>
      <c r="D37" s="2997"/>
      <c r="E37" s="2997"/>
      <c r="F37" s="2997"/>
      <c r="G37" s="2997"/>
      <c r="H37" s="2997"/>
      <c r="I37" s="2997"/>
    </row>
    <row r="38" spans="1:9">
      <c r="A38" s="1014"/>
      <c r="B38" s="1014"/>
    </row>
    <row r="39" spans="1:9">
      <c r="A39" s="1012" t="s">
        <v>817</v>
      </c>
      <c r="B39" s="1012" t="s">
        <v>819</v>
      </c>
    </row>
    <row r="40" spans="1:9">
      <c r="A40" s="1012"/>
      <c r="B40" s="1939" t="str">
        <f>项目基本情况!B5</f>
        <v>光大兴陇信托有限责任公司</v>
      </c>
    </row>
    <row r="41" spans="1:9">
      <c r="A41" s="1012"/>
      <c r="B41" s="1012"/>
    </row>
    <row r="42" spans="1:9">
      <c r="A42" s="1012" t="s">
        <v>817</v>
      </c>
      <c r="B42" s="1012" t="s">
        <v>820</v>
      </c>
    </row>
    <row r="43" spans="1:9">
      <c r="A43" s="1012"/>
      <c r="B43" s="1939" t="s">
        <v>821</v>
      </c>
    </row>
    <row r="44" spans="1:9">
      <c r="A44" s="1012"/>
      <c r="B44" s="1012"/>
    </row>
    <row r="45" spans="1:9">
      <c r="A45" s="1012" t="s">
        <v>817</v>
      </c>
      <c r="B45" s="1012" t="s">
        <v>822</v>
      </c>
    </row>
    <row r="46" spans="1:9" s="1012" customFormat="1" ht="12.75">
      <c r="B46" s="1939" t="str">
        <f ca="1">项目基本情况!K4</f>
        <v>王鹏（注册号：1120050019)、郑燚（注册号：1120070131)</v>
      </c>
    </row>
    <row r="47" spans="1:9">
      <c r="A47" s="1012"/>
      <c r="B47" s="1012" t="str">
        <f>项目基本情况!K5</f>
        <v/>
      </c>
    </row>
    <row r="48" spans="1:9">
      <c r="A48" s="1012" t="s">
        <v>817</v>
      </c>
      <c r="B48" s="1012"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A119" sqref="A119:C119"/>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9" t="s">
        <v>2079</v>
      </c>
      <c r="B1" s="2411"/>
      <c r="C1" s="2412"/>
      <c r="D1" s="2411"/>
      <c r="E1" s="2411"/>
      <c r="F1" s="2413" t="s">
        <v>2080</v>
      </c>
      <c r="G1" s="2065" t="s">
        <v>2081</v>
      </c>
      <c r="H1" s="2414" t="str">
        <f>IF(G1="现房","——","估价对象范围")</f>
        <v>估价对象范围</v>
      </c>
      <c r="I1" s="2415"/>
    </row>
    <row r="2" spans="1:12" ht="21.75" customHeight="1" thickBot="1">
      <c r="A2" s="3164" t="str">
        <f>项目基本情况!S2</f>
        <v>江苏省无锡市惠山新城白屈港东侧、融泽路南侧出让国有建设用地使用权及在建建筑物房地产</v>
      </c>
      <c r="B2" s="3165"/>
      <c r="C2" s="3165"/>
      <c r="D2" s="3165"/>
      <c r="E2" s="3165"/>
      <c r="F2" s="3165"/>
      <c r="G2" s="3165"/>
      <c r="H2" s="3165"/>
      <c r="I2" s="3166"/>
    </row>
    <row r="3" spans="1:12" ht="12.75">
      <c r="A3" s="3167" t="s">
        <v>2082</v>
      </c>
      <c r="B3" s="3168"/>
      <c r="C3" s="3168"/>
      <c r="D3" s="3168"/>
      <c r="E3" s="3168"/>
      <c r="F3" s="3168"/>
      <c r="G3" s="3168"/>
      <c r="H3" s="3168"/>
      <c r="I3" s="3168"/>
    </row>
    <row r="4" spans="1:12" ht="14.25">
      <c r="A4" s="2418" t="s">
        <v>2083</v>
      </c>
      <c r="B4" s="2419" t="s">
        <v>2084</v>
      </c>
      <c r="C4" s="2420" t="s">
        <v>3184</v>
      </c>
      <c r="D4" s="2420" t="s">
        <v>3183</v>
      </c>
      <c r="E4" s="3148" t="s">
        <v>2085</v>
      </c>
      <c r="F4" s="3161"/>
      <c r="G4" s="3161"/>
      <c r="H4" s="3161"/>
      <c r="I4" s="3149"/>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39" t="s">
        <v>2086</v>
      </c>
      <c r="B5" s="3063">
        <v>25</v>
      </c>
      <c r="C5" s="3169"/>
      <c r="D5" s="3157"/>
      <c r="E5" s="139" t="s">
        <v>2087</v>
      </c>
      <c r="F5" s="2422"/>
      <c r="G5" s="2422"/>
      <c r="H5" s="2422"/>
      <c r="I5" s="1829"/>
    </row>
    <row r="6" spans="1:12" ht="12.75">
      <c r="A6" s="3139"/>
      <c r="B6" s="3063"/>
      <c r="C6" s="3171"/>
      <c r="D6" s="3157"/>
      <c r="E6" s="139" t="s">
        <v>2088</v>
      </c>
      <c r="F6" s="2422"/>
      <c r="G6" s="2422"/>
      <c r="H6" s="2422"/>
      <c r="I6" s="1829"/>
    </row>
    <row r="7" spans="1:12" ht="12.75">
      <c r="A7" s="3139"/>
      <c r="B7" s="3063"/>
      <c r="C7" s="3170"/>
      <c r="D7" s="3157"/>
      <c r="E7" s="139" t="s">
        <v>2089</v>
      </c>
      <c r="F7" s="2422"/>
      <c r="G7" s="2422"/>
      <c r="H7" s="2422"/>
      <c r="I7" s="1829"/>
    </row>
    <row r="8" spans="1:12" ht="12.75">
      <c r="A8" s="3139" t="s">
        <v>2090</v>
      </c>
      <c r="B8" s="3063">
        <v>15</v>
      </c>
      <c r="C8" s="3169"/>
      <c r="D8" s="3157"/>
      <c r="E8" s="139" t="s">
        <v>2091</v>
      </c>
      <c r="F8" s="2422"/>
      <c r="G8" s="2422"/>
      <c r="H8" s="2422"/>
      <c r="I8" s="1829"/>
    </row>
    <row r="9" spans="1:12" ht="12.75">
      <c r="A9" s="3139"/>
      <c r="B9" s="3063"/>
      <c r="C9" s="3170"/>
      <c r="D9" s="3157"/>
      <c r="E9" s="139" t="s">
        <v>2092</v>
      </c>
      <c r="F9" s="2422"/>
      <c r="G9" s="2422"/>
      <c r="H9" s="2422"/>
      <c r="I9" s="1829"/>
    </row>
    <row r="10" spans="1:12" ht="12.75">
      <c r="A10" s="3139" t="s">
        <v>2093</v>
      </c>
      <c r="B10" s="3063">
        <v>15</v>
      </c>
      <c r="C10" s="3169"/>
      <c r="D10" s="3157"/>
      <c r="E10" s="139" t="s">
        <v>2094</v>
      </c>
      <c r="F10" s="2422"/>
      <c r="G10" s="2422"/>
      <c r="H10" s="2422"/>
      <c r="I10" s="1829"/>
    </row>
    <row r="11" spans="1:12" ht="12.75">
      <c r="A11" s="3139"/>
      <c r="B11" s="3063"/>
      <c r="C11" s="3170"/>
      <c r="D11" s="3157"/>
      <c r="E11" s="139" t="s">
        <v>2095</v>
      </c>
      <c r="F11" s="2422"/>
      <c r="G11" s="2422"/>
      <c r="H11" s="2422"/>
      <c r="I11" s="1829"/>
    </row>
    <row r="12" spans="1:12" ht="12.75">
      <c r="A12" s="3139" t="s">
        <v>2096</v>
      </c>
      <c r="B12" s="3063">
        <v>15</v>
      </c>
      <c r="C12" s="3169"/>
      <c r="D12" s="3157"/>
      <c r="E12" s="139" t="s">
        <v>2097</v>
      </c>
      <c r="F12" s="2422"/>
      <c r="G12" s="2422"/>
      <c r="H12" s="2422"/>
      <c r="I12" s="1829"/>
    </row>
    <row r="13" spans="1:12" ht="12.75">
      <c r="A13" s="3139"/>
      <c r="B13" s="3063"/>
      <c r="C13" s="3170"/>
      <c r="D13" s="3157"/>
      <c r="E13" s="139" t="s">
        <v>2098</v>
      </c>
      <c r="F13" s="2422"/>
      <c r="G13" s="2422"/>
      <c r="H13" s="2422"/>
      <c r="I13" s="1829"/>
    </row>
    <row r="14" spans="1:12" ht="12.75">
      <c r="A14" s="3139" t="s">
        <v>2099</v>
      </c>
      <c r="B14" s="3063">
        <v>30</v>
      </c>
      <c r="C14" s="3169">
        <v>5</v>
      </c>
      <c r="D14" s="3157">
        <v>5</v>
      </c>
      <c r="E14" s="139" t="s">
        <v>2100</v>
      </c>
      <c r="F14" s="2422"/>
      <c r="G14" s="2422"/>
      <c r="H14" s="2422"/>
      <c r="I14" s="1829"/>
    </row>
    <row r="15" spans="1:12" ht="12.75">
      <c r="A15" s="3139"/>
      <c r="B15" s="3063"/>
      <c r="C15" s="3171"/>
      <c r="D15" s="3157"/>
      <c r="E15" s="139" t="s">
        <v>2101</v>
      </c>
      <c r="F15" s="2422"/>
      <c r="G15" s="2422"/>
      <c r="H15" s="2422"/>
      <c r="I15" s="1829"/>
    </row>
    <row r="16" spans="1:12" ht="12.75">
      <c r="A16" s="3139"/>
      <c r="B16" s="3063"/>
      <c r="C16" s="3170"/>
      <c r="D16" s="3157"/>
      <c r="E16" s="139" t="s">
        <v>2102</v>
      </c>
      <c r="F16" s="2422"/>
      <c r="G16" s="2422"/>
      <c r="H16" s="2422"/>
      <c r="I16" s="1829"/>
    </row>
    <row r="17" spans="1:35" ht="15">
      <c r="A17" s="2423" t="s">
        <v>2103</v>
      </c>
      <c r="B17" s="64"/>
      <c r="C17" s="140">
        <f>SUM(C5:C16)</f>
        <v>5</v>
      </c>
      <c r="D17" s="140">
        <f>SUM(D5:D16)</f>
        <v>5</v>
      </c>
      <c r="E17" s="137"/>
      <c r="F17" s="137"/>
      <c r="G17" s="137"/>
      <c r="H17" s="137"/>
      <c r="I17" s="137"/>
      <c r="K17" s="2421"/>
      <c r="L17" s="2424" t="s">
        <v>2104</v>
      </c>
      <c r="M17" s="2424" t="s">
        <v>2105</v>
      </c>
    </row>
    <row r="18" spans="1:35" ht="15.75" thickBot="1">
      <c r="A18" s="2425" t="s">
        <v>2106</v>
      </c>
      <c r="B18" s="2426"/>
      <c r="C18" s="141">
        <f>ROUND(C17/SUM(C17:D17),2)</f>
        <v>0.5</v>
      </c>
      <c r="D18" s="141">
        <f>1-C18</f>
        <v>0.5</v>
      </c>
      <c r="E18" s="137"/>
      <c r="F18" s="137"/>
      <c r="G18" s="137"/>
      <c r="H18" s="137"/>
      <c r="I18" s="137"/>
      <c r="K18" s="2421" t="s">
        <v>2107</v>
      </c>
      <c r="L18" s="2421">
        <f>IF(C1="",'数据-汇总表'!E3,SUMIF(项目类型,C1,'数据-汇总表'!E17:E26)+SUMIF(项目类型,C1,'数据-汇总表'!I17:I26))</f>
        <v>221.26</v>
      </c>
      <c r="M18" s="2421">
        <f>IF(C1="",'数据-汇总表'!E3,SUMIF(项目类型,C1,'数据-汇总表'!E17:E26))</f>
        <v>221.26</v>
      </c>
    </row>
    <row r="19" spans="1:35" ht="15">
      <c r="A19" s="2427" t="s">
        <v>2108</v>
      </c>
      <c r="B19" s="2428" t="s">
        <v>2109</v>
      </c>
      <c r="C19" s="142">
        <f ca="1">SUMIF(INDIRECT("'"&amp;C4&amp;"'"&amp;"!A:A"),结果表!B19,INDIRECT("'"&amp;C4&amp;"'"&amp;"!B:B"))</f>
        <v>314</v>
      </c>
      <c r="D19" s="143">
        <f ca="1">SUMIF(INDIRECT("'"&amp;D4&amp;"'"&amp;"!A:A"),结果表!B19,INDIRECT("'"&amp;D4&amp;"'"&amp;"!B:B"))</f>
        <v>278</v>
      </c>
      <c r="E19" s="2427" t="s">
        <v>2110</v>
      </c>
      <c r="F19" s="2428" t="s">
        <v>2109</v>
      </c>
      <c r="G19" s="144">
        <f ca="1">ROUND(C19*$C$18+D19*$D$18,0)</f>
        <v>296</v>
      </c>
      <c r="H19" s="2429" t="s">
        <v>2111</v>
      </c>
      <c r="I19" s="137"/>
      <c r="K19" s="2421" t="s">
        <v>2112</v>
      </c>
      <c r="L19" s="2421">
        <f>IF(C1="",'数据-汇总表'!D3,SUMIF(项目类型,C1,'数据-汇总表'!D17:D26)+SUMIF(项目类型,C1,'数据-汇总表'!H17:H27))</f>
        <v>75.39</v>
      </c>
      <c r="M19" s="2421">
        <f>IF(C1="",'数据-汇总表'!D3,SUMIF(项目类型,C1,'数据-汇总表'!D17:D26))</f>
        <v>75.39</v>
      </c>
    </row>
    <row r="20" spans="1:35" ht="15">
      <c r="A20" s="2430"/>
      <c r="B20" s="1245" t="s">
        <v>2113</v>
      </c>
      <c r="C20" s="145">
        <f ca="1">SUMIF(INDIRECT("'"&amp;C4&amp;"'"&amp;"!A:A"),结果表!B20,INDIRECT("'"&amp;C4&amp;"'"&amp;"!B:B"))</f>
        <v>14191</v>
      </c>
      <c r="D20" s="146">
        <f ca="1">SUMIF(INDIRECT("'"&amp;D4&amp;"'"&amp;"!A:A"),结果表!B20,INDIRECT("'"&amp;D4&amp;"'"&amp;"!B:B"))</f>
        <v>12564</v>
      </c>
      <c r="E20" s="2430"/>
      <c r="F20" s="1245" t="s">
        <v>2113</v>
      </c>
      <c r="G20" s="147">
        <f ca="1">ROUND(C20*$C$18+D20*$D$18,0)</f>
        <v>13378</v>
      </c>
      <c r="H20" s="978" t="s">
        <v>2114</v>
      </c>
      <c r="I20" s="137"/>
    </row>
    <row r="21" spans="1:35" ht="15" customHeight="1" thickBot="1">
      <c r="A21" s="998"/>
      <c r="B21" s="2431" t="s">
        <v>2115</v>
      </c>
      <c r="C21" s="788">
        <f ca="1">ROUND(C19*10000/L19,0)</f>
        <v>41650</v>
      </c>
      <c r="D21" s="789">
        <f ca="1">ROUND(D19*10000/L19,0)</f>
        <v>36875</v>
      </c>
      <c r="E21" s="998"/>
      <c r="F21" s="2431" t="s">
        <v>2115</v>
      </c>
      <c r="G21" s="148">
        <f ca="1">ROUND(G19*10000/L19,0)</f>
        <v>39263</v>
      </c>
      <c r="H21" s="2432" t="s">
        <v>2114</v>
      </c>
      <c r="I21" s="137"/>
    </row>
    <row r="22" spans="1:35" ht="15" thickBot="1">
      <c r="A22" s="2274" t="s">
        <v>2116</v>
      </c>
      <c r="B22" s="2433"/>
      <c r="C22" s="2434"/>
      <c r="D22" s="790">
        <f ca="1">IF(C19&lt;D19,D19/C19-1,C19/D19-1)</f>
        <v>0.12949640287769792</v>
      </c>
      <c r="E22" s="137"/>
      <c r="F22" s="137"/>
      <c r="G22" s="137"/>
      <c r="H22" s="137"/>
      <c r="I22" s="137"/>
    </row>
    <row r="23" spans="1:35" ht="13.5" thickBot="1">
      <c r="A23" s="2411"/>
      <c r="B23" s="2411"/>
      <c r="C23" s="2411"/>
      <c r="D23" s="2411"/>
      <c r="E23" s="137"/>
      <c r="F23" s="137"/>
      <c r="G23" s="137"/>
      <c r="H23" s="137"/>
      <c r="I23" s="137"/>
    </row>
    <row r="24" spans="1:35" ht="14.25">
      <c r="A24" s="3178" t="s">
        <v>2117</v>
      </c>
      <c r="B24" s="2428" t="s">
        <v>2109</v>
      </c>
      <c r="C24" s="144">
        <f>IF(B30=0,0,D30)</f>
        <v>0</v>
      </c>
      <c r="D24" s="2435"/>
      <c r="E24" s="137"/>
      <c r="F24" s="137"/>
      <c r="G24" s="137"/>
      <c r="H24" s="137"/>
      <c r="I24" s="137"/>
    </row>
    <row r="25" spans="1:35" ht="14.25">
      <c r="A25" s="3179"/>
      <c r="B25" s="1245" t="s">
        <v>2113</v>
      </c>
      <c r="C25" s="149">
        <f>IF(B30=0,0,C30)</f>
        <v>0</v>
      </c>
      <c r="D25" s="2436"/>
      <c r="E25" s="137"/>
      <c r="F25" s="137"/>
      <c r="G25" s="137"/>
      <c r="H25" s="137"/>
      <c r="I25" s="137"/>
    </row>
    <row r="26" spans="1:35" ht="13.5" customHeight="1">
      <c r="A26" s="2437" t="s">
        <v>2118</v>
      </c>
      <c r="B26" s="150" t="s">
        <v>2119</v>
      </c>
      <c r="C26" s="150" t="s">
        <v>2120</v>
      </c>
      <c r="D26" s="151" t="s">
        <v>2121</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2122</v>
      </c>
      <c r="B30" s="150"/>
      <c r="C30" s="150"/>
      <c r="D30" s="150"/>
      <c r="E30" s="2909" t="s">
        <v>2996</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2123</v>
      </c>
      <c r="B32" s="2441"/>
      <c r="C32" s="152">
        <f ca="1">IF(D32="总价",G19-C24,G20-C25)</f>
        <v>296</v>
      </c>
      <c r="D32" s="2442" t="s">
        <v>2124</v>
      </c>
      <c r="E32" s="137"/>
      <c r="F32" s="137"/>
      <c r="G32" s="137"/>
      <c r="H32" s="137"/>
      <c r="I32" s="137"/>
    </row>
    <row r="33" spans="1:15" ht="15">
      <c r="A33" s="955" t="s">
        <v>2125</v>
      </c>
      <c r="B33" s="2443"/>
      <c r="C33" s="2444" t="s">
        <v>3187</v>
      </c>
      <c r="D33" s="2445" t="s">
        <v>3184</v>
      </c>
      <c r="E33" s="2446" t="s">
        <v>2126</v>
      </c>
      <c r="F33" s="2447" t="str">
        <f>IF(D32="楼面单价","取值（单价）","取值（总价）")</f>
        <v>取值（总价）</v>
      </c>
      <c r="G33" s="137"/>
      <c r="H33" s="137"/>
      <c r="I33" s="137"/>
    </row>
    <row r="34" spans="1:15" ht="15">
      <c r="A34" s="2448"/>
      <c r="B34" s="2449" t="s">
        <v>2127</v>
      </c>
      <c r="C34" s="156">
        <f ca="1">IF(C33="自定义",F34,C32-C35)</f>
        <v>272</v>
      </c>
      <c r="D34" s="1053">
        <f ca="1">IF(C33="自定义",ROUND(C34/C32,3),IF(C33="收益比率",SUMIF(INDIRECT("'"&amp;D33&amp;"'"&amp;"!b:b"),"土地收益比率",INDIRECT("'"&amp;D33&amp;"'"&amp;"!c:c")),SUMIF(INDIRECT("'"&amp;D33&amp;"'"&amp;"!b:b"),"土地成本比率",INDIRECT("'"&amp;D33&amp;"'"&amp;"!c:c"))))</f>
        <v>0.92</v>
      </c>
      <c r="E34" s="2450" t="s">
        <v>2128</v>
      </c>
      <c r="F34" s="1734"/>
      <c r="G34" s="137"/>
      <c r="H34" s="137"/>
      <c r="I34" s="137"/>
    </row>
    <row r="35" spans="1:15" ht="15.75" thickBot="1">
      <c r="A35" s="2451"/>
      <c r="B35" s="2452" t="s">
        <v>2129</v>
      </c>
      <c r="C35" s="1439">
        <f ca="1">IF(C33="自定义",F35,ROUND(C32*D35,0))</f>
        <v>24</v>
      </c>
      <c r="D35" s="1440">
        <f ca="1">IF(C33="自定义",ROUND(C35/C32,3),IF(C33="收益比率",SUMIF(INDIRECT("'"&amp;D33&amp;"'"&amp;"!b:b"),"建筑物收益比率",INDIRECT("'"&amp;D33&amp;"'"&amp;"!c:c")),SUMIF(INDIRECT("'"&amp;D33&amp;"'"&amp;"!b:b"),"建筑物成本比率",INDIRECT("'"&amp;D33&amp;"'"&amp;"!c:c"))))</f>
        <v>0.08</v>
      </c>
      <c r="E35" s="2453" t="s">
        <v>2130</v>
      </c>
      <c r="F35" s="162"/>
      <c r="G35" s="137"/>
      <c r="H35" s="137"/>
      <c r="I35" s="137"/>
    </row>
    <row r="36" spans="1:15" ht="15.75" thickBot="1">
      <c r="A36" s="3158" t="s">
        <v>2131</v>
      </c>
      <c r="B36" s="2454" t="s">
        <v>2132</v>
      </c>
      <c r="C36" s="153"/>
      <c r="D36" s="2455"/>
      <c r="E36" s="2456"/>
      <c r="F36" s="2457"/>
      <c r="G36" s="137"/>
      <c r="H36" s="137"/>
      <c r="I36" s="137"/>
    </row>
    <row r="37" spans="1:15" ht="15.75" thickBot="1">
      <c r="A37" s="3159"/>
      <c r="B37" s="2260" t="s">
        <v>2133</v>
      </c>
      <c r="C37" s="155"/>
      <c r="D37" s="1390"/>
      <c r="E37" s="1390"/>
      <c r="F37" s="2457"/>
      <c r="G37" s="137"/>
      <c r="H37" s="137"/>
      <c r="I37" s="137"/>
    </row>
    <row r="38" spans="1:15" ht="15.75" thickBot="1">
      <c r="A38" s="3160"/>
      <c r="B38" s="2458" t="s">
        <v>2134</v>
      </c>
      <c r="C38" s="726"/>
      <c r="D38" s="2459" t="s">
        <v>2135</v>
      </c>
      <c r="E38" s="1390"/>
      <c r="F38" s="2457"/>
      <c r="G38" s="137"/>
      <c r="H38" s="137"/>
      <c r="I38" s="137"/>
    </row>
    <row r="39" spans="1:15" ht="15">
      <c r="A39" s="2430" t="s">
        <v>2136</v>
      </c>
      <c r="B39" s="2460" t="s">
        <v>2137</v>
      </c>
      <c r="C39" s="2461" t="s">
        <v>2138</v>
      </c>
      <c r="D39" s="2461" t="s">
        <v>2139</v>
      </c>
      <c r="E39" s="2462" t="s">
        <v>2140</v>
      </c>
      <c r="F39" s="2457"/>
      <c r="G39" s="137"/>
      <c r="H39" s="137"/>
      <c r="I39" s="137"/>
    </row>
    <row r="40" spans="1:15" ht="14.25">
      <c r="A40" s="2463" t="s">
        <v>2141</v>
      </c>
      <c r="B40" s="157"/>
      <c r="C40" s="158"/>
      <c r="D40" s="158"/>
      <c r="E40" s="159"/>
      <c r="F40" s="2457"/>
      <c r="G40" s="137"/>
      <c r="H40" s="137"/>
      <c r="I40" s="137"/>
    </row>
    <row r="41" spans="1:15" ht="14.25">
      <c r="A41" s="2463" t="s">
        <v>2142</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9"/>
      <c r="B43" s="2159"/>
      <c r="C43" s="2159"/>
      <c r="D43" s="2159"/>
      <c r="E43" s="2159"/>
      <c r="F43" s="2465"/>
      <c r="G43" s="2465"/>
      <c r="H43" s="2465"/>
      <c r="I43" s="2466"/>
    </row>
    <row r="44" spans="1:15" ht="18.75">
      <c r="A44" s="2467" t="s">
        <v>2143</v>
      </c>
      <c r="B44" s="2468"/>
      <c r="C44" s="2468"/>
      <c r="D44" s="2469"/>
      <c r="E44" s="2469"/>
      <c r="F44" s="2470"/>
      <c r="G44" s="2470"/>
      <c r="H44" s="2470"/>
      <c r="I44" s="2470"/>
      <c r="J44" s="2471" t="s">
        <v>2144</v>
      </c>
      <c r="K44" s="2472"/>
      <c r="L44" s="2472"/>
      <c r="M44" s="2472"/>
      <c r="N44" s="2472"/>
      <c r="O44" s="2472"/>
    </row>
    <row r="45" spans="1:15" ht="14.25" customHeight="1" thickBot="1">
      <c r="A45" s="3175" t="s">
        <v>2145</v>
      </c>
      <c r="B45" s="3176"/>
      <c r="C45" s="3177"/>
      <c r="D45" s="163">
        <f ca="1">ROUND(H101*F45,0)</f>
        <v>296</v>
      </c>
      <c r="E45" s="164" t="s">
        <v>2146</v>
      </c>
      <c r="F45" s="165">
        <v>1</v>
      </c>
      <c r="G45" s="166" t="s">
        <v>2147</v>
      </c>
      <c r="H45" s="137"/>
      <c r="I45" s="137"/>
      <c r="J45" s="3094" t="s">
        <v>2148</v>
      </c>
      <c r="K45" s="3094"/>
      <c r="L45" s="3094"/>
      <c r="M45" s="3094"/>
      <c r="N45" s="3094"/>
      <c r="O45" s="3094"/>
    </row>
    <row r="46" spans="1:15" ht="14.25" customHeight="1">
      <c r="A46" s="3172" t="s">
        <v>2149</v>
      </c>
      <c r="B46" s="3173"/>
      <c r="C46" s="3173"/>
      <c r="D46" s="3173"/>
      <c r="E46" s="3173"/>
      <c r="F46" s="3173"/>
      <c r="G46" s="3174"/>
      <c r="H46" s="2473"/>
      <c r="I46" s="167"/>
      <c r="J46" s="1807">
        <v>1</v>
      </c>
      <c r="K46" s="3094" t="s">
        <v>2150</v>
      </c>
      <c r="L46" s="3094"/>
      <c r="M46" s="3095"/>
      <c r="N46" s="3095"/>
      <c r="O46" s="3095"/>
    </row>
    <row r="47" spans="1:15" ht="12" customHeight="1">
      <c r="A47" s="168" t="s">
        <v>2151</v>
      </c>
      <c r="B47" s="169"/>
      <c r="C47" s="170"/>
      <c r="D47" s="171" t="s">
        <v>2152</v>
      </c>
      <c r="E47" s="24" t="s">
        <v>2153</v>
      </c>
      <c r="F47" s="172" t="s">
        <v>2154</v>
      </c>
      <c r="G47" s="173" t="s">
        <v>2155</v>
      </c>
      <c r="H47" s="2473"/>
      <c r="I47" s="167"/>
      <c r="J47" s="1807">
        <v>2</v>
      </c>
      <c r="K47" s="3094" t="s">
        <v>2156</v>
      </c>
      <c r="L47" s="3094"/>
      <c r="M47" s="3096">
        <f>'数据-取费表'!B2</f>
        <v>43906</v>
      </c>
      <c r="N47" s="3096"/>
      <c r="O47" s="3096"/>
    </row>
    <row r="48" spans="1:15" ht="25.5">
      <c r="A48" s="3162" t="s">
        <v>2157</v>
      </c>
      <c r="B48" s="3163"/>
      <c r="C48" s="3163"/>
      <c r="D48" s="139">
        <f>IF(H48="情况1",0,IF(H48="情况2",D52,IF(H48="情况3",D53,IF(H48="情况4",D54))))</f>
        <v>0</v>
      </c>
      <c r="E48" s="1796" t="str">
        <f>IF(H48="情况4","(销售额-原购置价)×税（费）率","销售额×税（费）率")</f>
        <v>销售额×税（费）率</v>
      </c>
      <c r="F48" s="174" t="str">
        <f>IF(H48="情况1","免征",'数据-取费表'!B41)</f>
        <v>免征</v>
      </c>
      <c r="G48" s="2474" t="s">
        <v>2158</v>
      </c>
      <c r="H48" s="2475" t="s">
        <v>2159</v>
      </c>
      <c r="I48" s="2473"/>
      <c r="J48" s="1807">
        <v>3</v>
      </c>
      <c r="K48" s="3094" t="s">
        <v>2160</v>
      </c>
      <c r="L48" s="3094"/>
      <c r="M48" s="3097">
        <f ca="1">H101</f>
        <v>296</v>
      </c>
      <c r="N48" s="3097"/>
      <c r="O48" s="3097"/>
    </row>
    <row r="49" spans="1:35" ht="25.5" customHeight="1">
      <c r="A49" s="175" t="s">
        <v>2161</v>
      </c>
      <c r="B49" s="3142" t="s">
        <v>2162</v>
      </c>
      <c r="C49" s="3142"/>
      <c r="D49" s="176">
        <v>0</v>
      </c>
      <c r="E49" s="23" t="s">
        <v>2163</v>
      </c>
      <c r="F49" s="28" t="s">
        <v>33</v>
      </c>
      <c r="G49" s="3123"/>
      <c r="H49" s="137"/>
      <c r="I49" s="2476"/>
      <c r="J49" s="1807">
        <v>4</v>
      </c>
      <c r="K49" s="3094" t="str">
        <f>IF(项目基本情况!E8="房地产抵押价值","房地产抵押价值","抵押担保权已注销时的房地产抵押价值")</f>
        <v>房地产抵押价值</v>
      </c>
      <c r="L49" s="3094"/>
      <c r="M49" s="3097">
        <f ca="1">IF(项目基本情况!E8="房地产抵押价值",H107,H109)</f>
        <v>296</v>
      </c>
      <c r="N49" s="3097"/>
      <c r="O49" s="3097"/>
    </row>
    <row r="50" spans="1:35" ht="25.5" customHeight="1">
      <c r="A50" s="177"/>
      <c r="B50" s="3142" t="s">
        <v>2164</v>
      </c>
      <c r="C50" s="3142"/>
      <c r="D50" s="178"/>
      <c r="E50" s="31"/>
      <c r="F50" s="179"/>
      <c r="G50" s="3124"/>
      <c r="H50" s="137"/>
      <c r="I50" s="2476"/>
      <c r="J50" s="3094" t="s">
        <v>2165</v>
      </c>
      <c r="K50" s="3094"/>
      <c r="L50" s="3094"/>
      <c r="M50" s="3094"/>
      <c r="N50" s="3094"/>
      <c r="O50" s="3094"/>
    </row>
    <row r="51" spans="1:35" ht="12" customHeight="1">
      <c r="A51" s="180"/>
      <c r="B51" s="3142" t="s">
        <v>2166</v>
      </c>
      <c r="C51" s="3142"/>
      <c r="D51" s="181"/>
      <c r="E51" s="30"/>
      <c r="F51" s="179"/>
      <c r="G51" s="3125"/>
      <c r="H51" s="137"/>
      <c r="I51" s="2476"/>
      <c r="J51" s="2477" t="s">
        <v>2167</v>
      </c>
      <c r="K51" s="3094" t="s">
        <v>2168</v>
      </c>
      <c r="L51" s="3094"/>
      <c r="M51" s="2477" t="s">
        <v>2169</v>
      </c>
      <c r="N51" s="2477" t="s">
        <v>2170</v>
      </c>
      <c r="O51" s="2477" t="s">
        <v>2171</v>
      </c>
    </row>
    <row r="52" spans="1:35" ht="24" customHeight="1">
      <c r="A52" s="182" t="s">
        <v>2172</v>
      </c>
      <c r="B52" s="3142" t="s">
        <v>2173</v>
      </c>
      <c r="C52" s="3142"/>
      <c r="D52" s="181">
        <f ca="1">ROUND(D45*'数据-取费表'!B41/(1+'数据-取费表'!C42),0)</f>
        <v>16</v>
      </c>
      <c r="E52" s="11" t="s">
        <v>2174</v>
      </c>
      <c r="F52" s="183">
        <f>'数据-取费表'!B41</f>
        <v>5.6000000000000001E-2</v>
      </c>
      <c r="G52" s="2478"/>
      <c r="H52" s="137"/>
      <c r="I52" s="2476"/>
      <c r="J52" s="1807">
        <v>1</v>
      </c>
      <c r="K52" s="3117" t="s">
        <v>2175</v>
      </c>
      <c r="L52" s="3117"/>
      <c r="M52" s="1749">
        <f>D48</f>
        <v>0</v>
      </c>
      <c r="N52" s="1807" t="str">
        <f>E48</f>
        <v>销售额×税（费）率</v>
      </c>
      <c r="O52" s="1750" t="str">
        <f>F48</f>
        <v>免征</v>
      </c>
    </row>
    <row r="53" spans="1:35" ht="12" customHeight="1">
      <c r="A53" s="182" t="s">
        <v>2176</v>
      </c>
      <c r="B53" s="3143" t="s">
        <v>2177</v>
      </c>
      <c r="C53" s="3144"/>
      <c r="D53" s="181">
        <f ca="1">ROUND(D45*'数据-取费表'!B41/(1+'数据-取费表'!C42),0)</f>
        <v>16</v>
      </c>
      <c r="E53" s="11" t="s">
        <v>2174</v>
      </c>
      <c r="F53" s="183">
        <f>'数据-取费表'!B41</f>
        <v>5.6000000000000001E-2</v>
      </c>
      <c r="G53" s="2478"/>
      <c r="H53" s="137"/>
      <c r="I53" s="2476"/>
      <c r="J53" s="1807">
        <v>2</v>
      </c>
      <c r="K53" s="3117" t="s">
        <v>2178</v>
      </c>
      <c r="L53" s="3117"/>
      <c r="M53" s="1749">
        <f t="shared" ref="M53:O54" ca="1" si="0">D55</f>
        <v>0</v>
      </c>
      <c r="N53" s="1807" t="str">
        <f t="shared" si="0"/>
        <v>销售额×税（费）率</v>
      </c>
      <c r="O53" s="1750">
        <f t="shared" si="0"/>
        <v>5.0000000000000001E-4</v>
      </c>
    </row>
    <row r="54" spans="1:35" ht="12" customHeight="1">
      <c r="A54" s="182" t="s">
        <v>2179</v>
      </c>
      <c r="B54" s="3143" t="s">
        <v>2180</v>
      </c>
      <c r="C54" s="3144"/>
      <c r="D54" s="181">
        <f ca="1">C68</f>
        <v>16</v>
      </c>
      <c r="E54" s="30" t="s">
        <v>2181</v>
      </c>
      <c r="F54" s="183">
        <f>'数据-取费表'!B41</f>
        <v>5.6000000000000001E-2</v>
      </c>
      <c r="G54" s="2478"/>
      <c r="H54" s="2479"/>
      <c r="I54" s="2476"/>
      <c r="J54" s="1807">
        <v>3</v>
      </c>
      <c r="K54" s="3117" t="s">
        <v>2182</v>
      </c>
      <c r="L54" s="3117"/>
      <c r="M54" s="1749">
        <f t="shared" ca="1" si="0"/>
        <v>167</v>
      </c>
      <c r="N54" s="1807" t="str">
        <f t="shared" si="0"/>
        <v>增值额×税（费）率</v>
      </c>
      <c r="O54" s="1751" t="str">
        <f t="shared" si="0"/>
        <v>——</v>
      </c>
    </row>
    <row r="55" spans="1:35" ht="24" customHeight="1">
      <c r="A55" s="3181" t="s">
        <v>2183</v>
      </c>
      <c r="B55" s="3163"/>
      <c r="C55" s="3163"/>
      <c r="D55" s="184">
        <f ca="1">IF(H55="个人住宅",0,ROUND(D45*I55,0))</f>
        <v>0</v>
      </c>
      <c r="E55" s="11" t="s">
        <v>2184</v>
      </c>
      <c r="F55" s="183">
        <f>IF(H55="正常",I55,"免征")</f>
        <v>5.0000000000000001E-4</v>
      </c>
      <c r="G55" s="2478"/>
      <c r="H55" s="2475" t="s">
        <v>2185</v>
      </c>
      <c r="I55" s="185">
        <f>'数据-取费表'!B49</f>
        <v>5.0000000000000001E-4</v>
      </c>
      <c r="J55" s="1807" t="str">
        <f>IF(H59="非个人房产","",4)</f>
        <v/>
      </c>
      <c r="K55" s="3117" t="str">
        <f>IF(H59="非个人房产","——","个人所得税")</f>
        <v>——</v>
      </c>
      <c r="L55" s="3117"/>
      <c r="M55" s="1752" t="str">
        <f>D59</f>
        <v>——</v>
      </c>
      <c r="N55" s="1805" t="str">
        <f>E59</f>
        <v>——</v>
      </c>
      <c r="O55" s="1753" t="str">
        <f>F59</f>
        <v>——</v>
      </c>
    </row>
    <row r="56" spans="1:35" ht="24.75">
      <c r="A56" s="3181" t="s">
        <v>2186</v>
      </c>
      <c r="B56" s="3163"/>
      <c r="C56" s="3163"/>
      <c r="D56" s="184">
        <f ca="1">IF(H56="个人住宅",D57,D58)</f>
        <v>167</v>
      </c>
      <c r="E56" s="11" t="s">
        <v>2187</v>
      </c>
      <c r="F56" s="183" t="str">
        <f>IF(H56="正常",F58,"免征")</f>
        <v>——</v>
      </c>
      <c r="G56" s="2480" t="s">
        <v>2188</v>
      </c>
      <c r="H56" s="2481" t="s">
        <v>2185</v>
      </c>
      <c r="I56" s="2482"/>
      <c r="J56" s="1807" t="str">
        <f>IF(项目基本情况!K6="上海银行",IF(J55="",4,J55+1),"")</f>
        <v/>
      </c>
      <c r="K56" s="3100" t="str">
        <f>IF(项目基本情况!K6="上海银行","其他处置费用","")</f>
        <v/>
      </c>
      <c r="L56" s="3101"/>
      <c r="M56" s="1749" t="str">
        <f>IF(项目基本情况!K6="上海银行",M69,"")</f>
        <v/>
      </c>
      <c r="N56" s="3103" t="str">
        <f>IF(项目基本情况!K6="上海银行","包含处置中涉及的律师、诉讼、拍卖、评估等费用","")</f>
        <v/>
      </c>
      <c r="O56" s="3104"/>
    </row>
    <row r="57" spans="1:35" ht="12.75">
      <c r="A57" s="182" t="s">
        <v>2161</v>
      </c>
      <c r="B57" s="3148" t="s">
        <v>2189</v>
      </c>
      <c r="C57" s="3149"/>
      <c r="D57" s="186">
        <v>0</v>
      </c>
      <c r="E57" s="23" t="s">
        <v>2163</v>
      </c>
      <c r="F57" s="154"/>
      <c r="G57" s="2478"/>
      <c r="H57" s="2482"/>
      <c r="I57" s="2482"/>
      <c r="J57" s="3117">
        <f>IF(AND(J55="",J56=""),4,IF(项目基本情况!K6="上海银行",结果表!J56+1,结果表!J55+1))</f>
        <v>4</v>
      </c>
      <c r="K57" s="3117" t="s">
        <v>2190</v>
      </c>
      <c r="L57" s="2483" t="s">
        <v>2191</v>
      </c>
      <c r="M57" s="1754"/>
      <c r="N57" s="1755">
        <f ca="1">SUMIF(M52:M56,"&lt;9e307")</f>
        <v>167</v>
      </c>
      <c r="O57" s="2484"/>
      <c r="P57" s="1748">
        <f ca="1">N57/M49</f>
        <v>0.56418918918918914</v>
      </c>
    </row>
    <row r="58" spans="1:35" ht="24.75">
      <c r="A58" s="182" t="s">
        <v>2172</v>
      </c>
      <c r="B58" s="3148" t="s">
        <v>2192</v>
      </c>
      <c r="C58" s="3161"/>
      <c r="D58" s="184">
        <f ca="1">IF(H58="转让取得",C81,C97)</f>
        <v>167</v>
      </c>
      <c r="E58" s="11" t="s">
        <v>2187</v>
      </c>
      <c r="F58" s="24" t="s">
        <v>33</v>
      </c>
      <c r="G58" s="2478"/>
      <c r="H58" s="2481" t="s">
        <v>2193</v>
      </c>
      <c r="I58" s="2482"/>
      <c r="J58" s="3117"/>
      <c r="K58" s="3117"/>
      <c r="L58" s="2483" t="s">
        <v>2194</v>
      </c>
      <c r="M58" s="1756"/>
      <c r="N58" s="2485" t="str">
        <f ca="1">NUMBERSTRING(INT(N57*10000),2)&amp;"元整"</f>
        <v>壹佰陆拾柒万元整</v>
      </c>
      <c r="O58" s="2486"/>
    </row>
    <row r="59" spans="1:35" ht="24.75" thickBot="1">
      <c r="A59" s="3121" t="s">
        <v>2195</v>
      </c>
      <c r="B59" s="3122"/>
      <c r="C59" s="3122"/>
      <c r="D59" s="187" t="str">
        <f>IF(H59="非个人房产","——",IF(H59="个人住宅",0,ROUND(D45*I59,0)))</f>
        <v>——</v>
      </c>
      <c r="E59" s="188" t="str">
        <f>IF(H59="非个人房产","——","销售额×税（费）率")</f>
        <v>——</v>
      </c>
      <c r="F59" s="189" t="str">
        <f>IF(H59="非个人房产","——",IF(H59="个人住宅","免征",I59))</f>
        <v>——</v>
      </c>
      <c r="G59" s="2487" t="s">
        <v>2188</v>
      </c>
      <c r="H59" s="2481" t="s">
        <v>2196</v>
      </c>
      <c r="I59" s="190">
        <v>0.01</v>
      </c>
      <c r="J59" s="3119">
        <f>J57+1</f>
        <v>5</v>
      </c>
      <c r="K59" s="3117" t="s">
        <v>2197</v>
      </c>
      <c r="L59" s="1807" t="s">
        <v>2191</v>
      </c>
      <c r="M59" s="1757"/>
      <c r="N59" s="1758">
        <f ca="1">M49-N57</f>
        <v>129</v>
      </c>
      <c r="O59" s="2488"/>
    </row>
    <row r="60" spans="1:35" ht="12" customHeight="1">
      <c r="A60" s="2489"/>
      <c r="B60" s="2411"/>
      <c r="C60" s="2411"/>
      <c r="D60" s="2411"/>
      <c r="E60" s="2160"/>
      <c r="F60" s="2482"/>
      <c r="G60" s="2482"/>
      <c r="H60" s="2490"/>
      <c r="I60" s="137"/>
      <c r="J60" s="3120"/>
      <c r="K60" s="3117"/>
      <c r="L60" s="2483" t="s">
        <v>2194</v>
      </c>
      <c r="M60" s="1756"/>
      <c r="N60" s="2485" t="str">
        <f ca="1">NUMBERSTRING(INT(N59*10000),2)&amp;"元整"</f>
        <v>壹佰贰拾玖万元整</v>
      </c>
      <c r="O60" s="2486"/>
    </row>
    <row r="61" spans="1:35" ht="13.5" thickBot="1">
      <c r="A61" s="3180" t="s">
        <v>2198</v>
      </c>
      <c r="B61" s="3180"/>
      <c r="C61" s="3180"/>
      <c r="D61" s="3180"/>
      <c r="E61" s="3180"/>
      <c r="F61" s="2482"/>
      <c r="G61" s="2482"/>
      <c r="H61" s="2490"/>
      <c r="I61" s="137"/>
      <c r="J61" s="1807">
        <f>J59+1</f>
        <v>6</v>
      </c>
      <c r="K61" s="3117" t="s">
        <v>2199</v>
      </c>
      <c r="L61" s="3117"/>
      <c r="M61" s="1759"/>
      <c r="N61" s="1760">
        <f ca="1">ROUND(N59*10000/'数据-汇总表'!E3,0)</f>
        <v>5830</v>
      </c>
      <c r="O61" s="2491"/>
    </row>
    <row r="62" spans="1:35" ht="12.75">
      <c r="A62" s="3137" t="s">
        <v>2200</v>
      </c>
      <c r="B62" s="3138"/>
      <c r="C62" s="1799"/>
      <c r="D62" s="1799" t="s">
        <v>2201</v>
      </c>
      <c r="E62" s="191" t="s">
        <v>2202</v>
      </c>
      <c r="F62" s="2482"/>
      <c r="G62" s="2482"/>
      <c r="H62" s="2490"/>
      <c r="I62" s="137"/>
    </row>
    <row r="63" spans="1:35" ht="12.75">
      <c r="A63" s="202" t="s">
        <v>774</v>
      </c>
      <c r="B63" s="192" t="s">
        <v>2203</v>
      </c>
      <c r="C63" s="193">
        <f ca="1">ROUND((C64+C65)/(1+'数据-取费表'!C42),0)</f>
        <v>282</v>
      </c>
      <c r="D63" s="194"/>
      <c r="E63" s="195"/>
      <c r="F63" s="2482"/>
      <c r="G63" s="2482"/>
      <c r="H63" s="2490"/>
      <c r="I63" s="137"/>
      <c r="J63" s="3102" t="s">
        <v>2204</v>
      </c>
      <c r="K63" s="2492" t="s">
        <v>2205</v>
      </c>
      <c r="L63" s="1747">
        <f ca="1">IF(M49&gt;10000,M49*0.5%,IF(AND(M49&gt;1000,M49&lt;=10000),M49*1%,IF(AND(M49&gt;100,M49&lt;=1000),M49*3%,IF(AND(M49&gt;10,M49&lt;=100),M49*5%,M49*8%))))</f>
        <v>8.879999999999999</v>
      </c>
      <c r="M63" s="24">
        <f ca="1">ROUND(L63,1)</f>
        <v>8.9</v>
      </c>
      <c r="Z63" s="2416"/>
      <c r="AI63" s="2417"/>
    </row>
    <row r="64" spans="1:35" ht="14.25" customHeight="1">
      <c r="A64" s="196" t="s">
        <v>769</v>
      </c>
      <c r="B64" s="197" t="s">
        <v>2206</v>
      </c>
      <c r="C64" s="198">
        <f ca="1">D45</f>
        <v>296</v>
      </c>
      <c r="D64" s="199" t="s">
        <v>31</v>
      </c>
      <c r="E64" s="200"/>
      <c r="F64" s="2482"/>
      <c r="G64" s="2482"/>
      <c r="H64" s="2490"/>
      <c r="I64" s="137"/>
      <c r="J64" s="3102"/>
      <c r="K64" s="2492" t="s">
        <v>2207</v>
      </c>
      <c r="L64" s="1747">
        <f ca="1">IF(M49&gt;2000,M49*0.5%,IF(AND(M49&gt;1000,M49&lt;=2000),M49*0.6%,IF(AND(M49&gt;500,M49&lt;=1000),M49*0.7%,IF(AND(M49&gt;200,M49&lt;=500),M49*0.8%,IF(AND(M49&gt;100,M49&lt;=200),M49*0.9%,IF(AND(M49&gt;50,M49&lt;=100),M49*1%,IF(AND(M49&gt;20,M49&lt;=50),M49*1.5%,IF(AND(M49&gt;10,M49&lt;=20),M49*2%,IF(AND(M49&gt;1,M49&lt;=10),M49*2.5%)))))))))</f>
        <v>2.3679999999999999</v>
      </c>
      <c r="M64" s="24">
        <f t="shared" ref="M64:M65" ca="1" si="1">ROUND(L64,1)</f>
        <v>2.4</v>
      </c>
      <c r="N64" s="137" t="s">
        <v>2208</v>
      </c>
      <c r="Z64" s="2416"/>
      <c r="AI64" s="2417"/>
    </row>
    <row r="65" spans="1:35" ht="14.25" customHeight="1">
      <c r="A65" s="196" t="s">
        <v>770</v>
      </c>
      <c r="B65" s="197" t="s">
        <v>2209</v>
      </c>
      <c r="C65" s="201"/>
      <c r="D65" s="199"/>
      <c r="E65" s="200"/>
      <c r="F65" s="2482"/>
      <c r="G65" s="2482"/>
      <c r="H65" s="2490"/>
      <c r="I65" s="137"/>
      <c r="J65" s="3102"/>
      <c r="K65" s="2492" t="s">
        <v>2210</v>
      </c>
      <c r="L65" s="1747">
        <f ca="1">IF(M49&gt;1000,M49*0.1%,IF(AND(M49&gt;500,M49&lt;=1000),M49*0.5%,IF(AND(M49&gt;50,M49&lt;=500),M49*1%,IF(AND(M49&gt;1,M49&lt;=50),M49*1.5%))))</f>
        <v>2.96</v>
      </c>
      <c r="M65" s="24">
        <f t="shared" ca="1" si="1"/>
        <v>3</v>
      </c>
      <c r="N65" s="137" t="s">
        <v>2208</v>
      </c>
      <c r="Z65" s="2416"/>
      <c r="AI65" s="2417"/>
    </row>
    <row r="66" spans="1:35" ht="14.25" customHeight="1">
      <c r="A66" s="202" t="s">
        <v>771</v>
      </c>
      <c r="B66" s="203" t="s">
        <v>2211</v>
      </c>
      <c r="C66" s="204"/>
      <c r="D66" s="205" t="s">
        <v>31</v>
      </c>
      <c r="E66" s="1771" t="s">
        <v>1365</v>
      </c>
      <c r="F66" s="2482"/>
      <c r="G66" s="2482"/>
      <c r="H66" s="2490"/>
      <c r="I66" s="137"/>
      <c r="J66" s="3102"/>
      <c r="K66" s="2492" t="s">
        <v>2212</v>
      </c>
      <c r="L66" s="1747">
        <f ca="1">M49*0.5%</f>
        <v>1.48</v>
      </c>
      <c r="M66" s="24">
        <f ca="1">IF(L66&gt;0.5,0.5,ROUND(L66,0))</f>
        <v>0.5</v>
      </c>
      <c r="N66" s="137" t="s">
        <v>2213</v>
      </c>
      <c r="Z66" s="2416"/>
      <c r="AI66" s="2417"/>
    </row>
    <row r="67" spans="1:35" ht="14.25" customHeight="1">
      <c r="A67" s="202" t="s">
        <v>772</v>
      </c>
      <c r="B67" s="203" t="s">
        <v>2214</v>
      </c>
      <c r="C67" s="206">
        <f ca="1">C63-C66</f>
        <v>282</v>
      </c>
      <c r="D67" s="199" t="s">
        <v>31</v>
      </c>
      <c r="E67" s="200"/>
      <c r="F67" s="2482"/>
      <c r="G67" s="2482"/>
      <c r="H67" s="2490"/>
      <c r="I67" s="137"/>
      <c r="J67" s="3102"/>
      <c r="K67" s="2492" t="s">
        <v>2215</v>
      </c>
      <c r="L67" s="1747">
        <f ca="1">IF(M49&gt;=10000,(8.25+(M49-10000)*0.01%),IF(AND(M49&gt;=8000,M49&lt;10000),(7.85+(M49-8000)*0.02%),IF(AND(M49&gt;=5000,M49&lt;8000),(6.65+(M49-5000)*0.04%),IF(AND(M49&gt;=2000,M49&lt;5000),(4.25+(PM49-2000)*0.08%),IF(AND(M49&gt;=1000,M49&lt;2000),(2.75+(M49-1000)*0.15%),IF(AND(M49&gt;=100,M49&lt;1000),(0.5+(M49-100)*0.25%),IF(AND(M49&gt;0,M49&lt;100),M49*0.5%)))))))</f>
        <v>0.99</v>
      </c>
      <c r="M67" s="24">
        <f ca="1">ROUND(L67*0.9,1)</f>
        <v>0.9</v>
      </c>
      <c r="Z67" s="2416"/>
      <c r="AI67" s="2417"/>
    </row>
    <row r="68" spans="1:35" ht="14.25" customHeight="1" thickBot="1">
      <c r="A68" s="207" t="s">
        <v>773</v>
      </c>
      <c r="B68" s="208" t="s">
        <v>2216</v>
      </c>
      <c r="C68" s="209">
        <f ca="1">IF(C67&lt;=0,0,ROUND(C67*D68,0))</f>
        <v>16</v>
      </c>
      <c r="D68" s="210">
        <f>'数据-取费表'!B41</f>
        <v>5.6000000000000001E-2</v>
      </c>
      <c r="E68" s="211"/>
      <c r="F68" s="2482"/>
      <c r="G68" s="2482"/>
      <c r="H68" s="2490"/>
      <c r="I68" s="137"/>
      <c r="J68" s="3102"/>
      <c r="K68" s="2492" t="s">
        <v>2217</v>
      </c>
      <c r="L68" s="1747">
        <f ca="1">IF(M49&gt;10000,M49*0.5%,IF(AND(M49&gt;5000,M49&lt;=10000),M49*1%,IF(AND(M49&gt;1000,M49&lt;=5000),M49*2%,IF(AND(M49&gt;200,M49&lt;=1000),M49*3%,M49*5%))))</f>
        <v>8.879999999999999</v>
      </c>
      <c r="M68" s="24">
        <f ca="1">ROUND(L68,1)</f>
        <v>8.9</v>
      </c>
      <c r="Z68" s="2416"/>
      <c r="AI68" s="2417"/>
    </row>
    <row r="69" spans="1:35" s="2439" customFormat="1" ht="16.5" customHeight="1">
      <c r="A69" s="2493"/>
      <c r="B69" s="2494"/>
      <c r="C69" s="2495"/>
      <c r="D69" s="2496"/>
      <c r="E69" s="2497"/>
      <c r="F69" s="2160"/>
      <c r="G69" s="2160"/>
      <c r="H69" s="2159"/>
      <c r="I69" s="2411"/>
      <c r="J69" s="3102"/>
      <c r="K69" s="2492" t="s">
        <v>2218</v>
      </c>
      <c r="L69" s="2498"/>
      <c r="M69" s="24">
        <f ca="1">ROUND(SUM(M63:M68),0)</f>
        <v>25</v>
      </c>
      <c r="N69" s="1748">
        <f ca="1">M69/M49</f>
        <v>8.4459459459459457E-2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46" t="s">
        <v>2219</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7" t="s">
        <v>2200</v>
      </c>
      <c r="B71" s="3138"/>
      <c r="C71" s="1799"/>
      <c r="D71" s="1799" t="s">
        <v>2201</v>
      </c>
      <c r="E71" s="212" t="s">
        <v>2202</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774</v>
      </c>
      <c r="B72" s="203" t="s">
        <v>2220</v>
      </c>
      <c r="C72" s="206">
        <f ca="1">ROUND(D45/(1+'数据-取费表'!C42),0)</f>
        <v>282</v>
      </c>
      <c r="D72" s="199" t="s">
        <v>31</v>
      </c>
      <c r="E72" s="1798"/>
      <c r="F72" s="1792"/>
      <c r="G72" s="1792"/>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771</v>
      </c>
      <c r="B73" s="172" t="s">
        <v>2221</v>
      </c>
      <c r="C73" s="206">
        <f ca="1">C74+C78</f>
        <v>2</v>
      </c>
      <c r="D73" s="199" t="s">
        <v>31</v>
      </c>
      <c r="E73" s="1798"/>
      <c r="F73" s="1792"/>
      <c r="G73" s="1792"/>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769</v>
      </c>
      <c r="B74" s="197" t="s">
        <v>2222</v>
      </c>
      <c r="C74" s="199">
        <f>ROUND(IF(G77="2016年5月1日后购买",C75/(1+'数据-取费表'!C42)+C76+C77,C75+C76+C77),0)</f>
        <v>0</v>
      </c>
      <c r="D74" s="199" t="s">
        <v>31</v>
      </c>
      <c r="E74" s="1798"/>
      <c r="F74" s="1792"/>
      <c r="G74" s="1792"/>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775</v>
      </c>
      <c r="B75" s="197" t="s">
        <v>2223</v>
      </c>
      <c r="C75" s="217"/>
      <c r="D75" s="199" t="s">
        <v>31</v>
      </c>
      <c r="E75" s="218" t="s">
        <v>2224</v>
      </c>
      <c r="F75" s="2504" t="s">
        <v>2225</v>
      </c>
      <c r="G75" s="218" t="s">
        <v>2226</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776</v>
      </c>
      <c r="B76" s="220" t="s">
        <v>2227</v>
      </c>
      <c r="C76" s="199">
        <f>IF(F75="购房发票",ROUND(C75*H75*D76,0),0)</f>
        <v>0</v>
      </c>
      <c r="D76" s="221">
        <v>0.05</v>
      </c>
      <c r="E76" s="3143" t="s">
        <v>2228</v>
      </c>
      <c r="F76" s="3142"/>
      <c r="G76" s="3142"/>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777</v>
      </c>
      <c r="B77" s="197" t="s">
        <v>2229</v>
      </c>
      <c r="C77" s="199">
        <f>ROUND(IF(G77="个人住宅",0,IF(G77="2016年5月1日前购买",C75*D77,C75*D77/(1+'数据-取费表'!C42))),0)</f>
        <v>0</v>
      </c>
      <c r="D77" s="222">
        <f>'数据-取费表'!B48+'数据-取费表'!B49</f>
        <v>4.0500000000000001E-2</v>
      </c>
      <c r="E77" s="15" t="s">
        <v>2230</v>
      </c>
      <c r="F77" s="223"/>
      <c r="G77" s="2506" t="s">
        <v>2231</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770</v>
      </c>
      <c r="B78" s="197" t="s">
        <v>2232</v>
      </c>
      <c r="C78" s="224">
        <f ca="1">ROUND(D45*D78/(1+'数据-取费表'!C42),0)</f>
        <v>2</v>
      </c>
      <c r="D78" s="225">
        <f>'数据-取费表'!B43</f>
        <v>6.000000000000001E-3</v>
      </c>
      <c r="E78" s="3134" t="s">
        <v>2233</v>
      </c>
      <c r="F78" s="3135"/>
      <c r="G78" s="3135"/>
      <c r="H78" s="313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3" t="s">
        <v>2234</v>
      </c>
      <c r="C79" s="206">
        <f ca="1">C72-C73</f>
        <v>280</v>
      </c>
      <c r="D79" s="199" t="s">
        <v>31</v>
      </c>
      <c r="E79" s="1798"/>
      <c r="F79" s="1792"/>
      <c r="G79" s="1792"/>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3" t="s">
        <v>2235</v>
      </c>
      <c r="C80" s="226">
        <f ca="1">IF(C79&lt;=0,0,C79/C73)</f>
        <v>140</v>
      </c>
      <c r="D80" s="199"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8" t="s">
        <v>2236</v>
      </c>
      <c r="C81" s="227">
        <f ca="1">ROUND(IF(C79&lt;=0,0,IF(C80&gt;=200%,C79*60%-C73*35%,IF(C80&gt;=100%,C79*50%-C73*15%,IF(C80&gt;=50%,C79*40%-C73*5%,IF(C80&lt;50%,C79*30%,0))))),0)</f>
        <v>167</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6" t="s">
        <v>2237</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7" t="s">
        <v>2200</v>
      </c>
      <c r="B84" s="3138"/>
      <c r="C84" s="1799"/>
      <c r="D84" s="1799" t="s">
        <v>2201</v>
      </c>
      <c r="E84" s="212" t="s">
        <v>2202</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774</v>
      </c>
      <c r="B85" s="203" t="s">
        <v>2220</v>
      </c>
      <c r="C85" s="206">
        <f ca="1">ROUND(D45/(1+'数据-取费表'!C42),0)</f>
        <v>282</v>
      </c>
      <c r="D85" s="199" t="s">
        <v>31</v>
      </c>
      <c r="E85" s="1798"/>
      <c r="F85" s="1792"/>
      <c r="G85" s="1792"/>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771</v>
      </c>
      <c r="B86" s="172" t="s">
        <v>2221</v>
      </c>
      <c r="C86" s="206">
        <f ca="1">IF(H88="仅含出让金",C87+C90+C91+C92+C93+C94,C87+C91+C92+C93+C94)</f>
        <v>2</v>
      </c>
      <c r="D86" s="234"/>
      <c r="E86" s="1798"/>
      <c r="F86" s="1792"/>
      <c r="G86" s="1792"/>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769</v>
      </c>
      <c r="B87" s="197" t="s">
        <v>2238</v>
      </c>
      <c r="C87" s="224">
        <f>C88+C89</f>
        <v>0</v>
      </c>
      <c r="D87" s="225"/>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775</v>
      </c>
      <c r="B88" s="197" t="s">
        <v>2239</v>
      </c>
      <c r="C88" s="235"/>
      <c r="D88" s="225"/>
      <c r="E88" s="236" t="s">
        <v>2240</v>
      </c>
      <c r="F88" s="1795"/>
      <c r="G88" s="237" t="s">
        <v>2241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776</v>
      </c>
      <c r="B89" s="197" t="s">
        <v>2229</v>
      </c>
      <c r="C89" s="224">
        <f>ROUND(C88*D89,0)</f>
        <v>0</v>
      </c>
      <c r="D89" s="225">
        <f>'数据-取费表'!B48+'数据-取费表'!B49</f>
        <v>4.0500000000000001E-2</v>
      </c>
      <c r="E89" s="236" t="s">
        <v>2242</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770</v>
      </c>
      <c r="B90" s="197" t="s">
        <v>2243</v>
      </c>
      <c r="C90" s="235"/>
      <c r="D90" s="225"/>
      <c r="E90" s="236"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2244</v>
      </c>
      <c r="B91" s="197" t="s">
        <v>2245</v>
      </c>
      <c r="C91" s="224">
        <f>IF(H91="——",成本法!C33,I91)</f>
        <v>0</v>
      </c>
      <c r="D91" s="225"/>
      <c r="E91" s="3134" t="s">
        <v>2246</v>
      </c>
      <c r="F91" s="3135"/>
      <c r="G91" s="3135"/>
      <c r="H91" s="2511" t="s">
        <v>2247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2248</v>
      </c>
      <c r="B92" s="197" t="s">
        <v>2249</v>
      </c>
      <c r="C92" s="224">
        <f>ROUND((C87+C90+C91)*D92,0)</f>
        <v>0</v>
      </c>
      <c r="D92" s="225">
        <v>0.1</v>
      </c>
      <c r="E92" s="3134" t="s">
        <v>2250</v>
      </c>
      <c r="F92" s="3135"/>
      <c r="G92" s="3135"/>
      <c r="H92" s="313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2251</v>
      </c>
      <c r="B93" s="197" t="s">
        <v>2232</v>
      </c>
      <c r="C93" s="224">
        <f ca="1">ROUND(D45*D93/(1+'数据-取费表'!C42),0)</f>
        <v>2</v>
      </c>
      <c r="D93" s="225">
        <f>'数据-取费表'!B43</f>
        <v>6.000000000000001E-3</v>
      </c>
      <c r="E93" s="3134" t="s">
        <v>2233</v>
      </c>
      <c r="F93" s="3135"/>
      <c r="G93" s="3135"/>
      <c r="H93" s="313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2252</v>
      </c>
      <c r="B94" s="197" t="s">
        <v>2253</v>
      </c>
      <c r="C94" s="235">
        <f>ROUND((C87+C90+C91)*D94,0)</f>
        <v>0</v>
      </c>
      <c r="D94" s="225">
        <v>0.2</v>
      </c>
      <c r="E94" s="3182" t="s">
        <v>2254</v>
      </c>
      <c r="F94" s="3183"/>
      <c r="G94" s="3183"/>
      <c r="H94" s="3184"/>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3" t="s">
        <v>2234</v>
      </c>
      <c r="C95" s="206">
        <f ca="1">ROUND(C85-C86,0)</f>
        <v>280</v>
      </c>
      <c r="D95" s="199" t="s">
        <v>31</v>
      </c>
      <c r="E95" s="1798"/>
      <c r="F95" s="1792"/>
      <c r="G95" s="1792"/>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3" t="s">
        <v>2235</v>
      </c>
      <c r="C96" s="226">
        <f ca="1">IF(C95&lt;=0,0,C95/C86)</f>
        <v>140</v>
      </c>
      <c r="D96" s="199"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8" t="s">
        <v>2236</v>
      </c>
      <c r="C97" s="227">
        <f ca="1">ROUND(IF(C95&lt;=0,0,IF(C96&gt;=200%,C95*60%-C86*35%,IF(C96&gt;=100%,C95*50%-C86*15%,IF(C96&gt;=50%,C95*40%-C86*5%,IF(C96&lt;50%,C95*30%,0))))),0)</f>
        <v>167</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7"/>
    </row>
    <row r="99" spans="1:35" ht="21.75" customHeight="1" thickBot="1">
      <c r="A99" s="2467" t="s">
        <v>2255</v>
      </c>
      <c r="B99" s="2411"/>
      <c r="C99" s="2411"/>
      <c r="D99" s="2411"/>
      <c r="E99" s="2160"/>
      <c r="F99" s="2160"/>
      <c r="G99" s="2160"/>
      <c r="H99" s="2159"/>
      <c r="I99" s="137"/>
    </row>
    <row r="100" spans="1:35" ht="18.75" customHeight="1">
      <c r="A100" s="3086" t="s">
        <v>2256</v>
      </c>
      <c r="B100" s="3087"/>
      <c r="C100" s="3087"/>
      <c r="D100" s="3118"/>
      <c r="E100" s="3087" t="s">
        <v>2257</v>
      </c>
      <c r="F100" s="3087"/>
      <c r="G100" s="3087"/>
      <c r="H100" s="3118"/>
      <c r="I100" s="137"/>
    </row>
    <row r="101" spans="1:35" ht="18.75" customHeight="1">
      <c r="A101" s="3126" t="s">
        <v>2258</v>
      </c>
      <c r="B101" s="3127"/>
      <c r="C101" s="735" t="str">
        <f>C4</f>
        <v>成本法</v>
      </c>
      <c r="D101" s="736" t="str">
        <f>D4</f>
        <v>假设开发法</v>
      </c>
      <c r="E101" s="3098" t="s">
        <v>2259</v>
      </c>
      <c r="F101" s="3099"/>
      <c r="G101" s="2513" t="s">
        <v>2260</v>
      </c>
      <c r="H101" s="1043">
        <f ca="1">H118</f>
        <v>296</v>
      </c>
      <c r="I101" s="137"/>
    </row>
    <row r="102" spans="1:35" ht="18.75" customHeight="1">
      <c r="A102" s="3128" t="s">
        <v>2261</v>
      </c>
      <c r="B102" s="2513" t="s">
        <v>2260</v>
      </c>
      <c r="C102" s="735">
        <f ca="1">C19</f>
        <v>314</v>
      </c>
      <c r="D102" s="736">
        <f ca="1">D19</f>
        <v>278</v>
      </c>
      <c r="E102" s="3098"/>
      <c r="F102" s="3099"/>
      <c r="G102" s="2513" t="s">
        <v>2262</v>
      </c>
      <c r="H102" s="370">
        <f ca="1">I118</f>
        <v>13378</v>
      </c>
      <c r="I102" s="137"/>
    </row>
    <row r="103" spans="1:35" ht="42.75" customHeight="1">
      <c r="A103" s="3128"/>
      <c r="B103" s="2513" t="s">
        <v>2262</v>
      </c>
      <c r="C103" s="737">
        <f ca="1">C20</f>
        <v>14191</v>
      </c>
      <c r="D103" s="738">
        <f ca="1">D20</f>
        <v>12564</v>
      </c>
      <c r="E103" s="3092" t="s">
        <v>2263</v>
      </c>
      <c r="F103" s="3093"/>
      <c r="G103" s="2514" t="s">
        <v>2264</v>
      </c>
      <c r="H103" s="1043">
        <f>IF(D36="正常操作",H104+H105+H106,H105+H106)</f>
        <v>0</v>
      </c>
      <c r="I103" s="137"/>
    </row>
    <row r="104" spans="1:35" ht="18.75" customHeight="1">
      <c r="A104" s="3128" t="s">
        <v>2265</v>
      </c>
      <c r="B104" s="2515" t="s">
        <v>2260</v>
      </c>
      <c r="C104" s="739">
        <f ca="1">H118</f>
        <v>296</v>
      </c>
      <c r="D104" s="740"/>
      <c r="E104" s="2260" t="s">
        <v>2266</v>
      </c>
      <c r="F104" s="2252"/>
      <c r="G104" s="2514" t="s">
        <v>2264</v>
      </c>
      <c r="H104" s="1044">
        <f>IF(D36="同一抵押权人同一抵押物续贷",C36&amp;"（未扣减，详见特别提示）",C36)</f>
        <v>0</v>
      </c>
      <c r="I104" s="137"/>
    </row>
    <row r="105" spans="1:35" ht="18.75" customHeight="1" thickBot="1">
      <c r="A105" s="3140"/>
      <c r="B105" s="2516" t="s">
        <v>2262</v>
      </c>
      <c r="C105" s="741">
        <f ca="1">I118</f>
        <v>13378</v>
      </c>
      <c r="D105" s="742"/>
      <c r="E105" s="2260" t="s">
        <v>2267</v>
      </c>
      <c r="F105" s="2252"/>
      <c r="G105" s="2514" t="s">
        <v>2264</v>
      </c>
      <c r="H105" s="1044">
        <f>C37</f>
        <v>0</v>
      </c>
      <c r="I105" s="137"/>
    </row>
    <row r="106" spans="1:35" ht="18.75" customHeight="1">
      <c r="A106" s="2411" t="s">
        <v>2268</v>
      </c>
      <c r="B106" s="2411"/>
      <c r="C106" s="2411"/>
      <c r="D106" s="2411"/>
      <c r="E106" s="2517" t="s">
        <v>2269</v>
      </c>
      <c r="F106" s="2252"/>
      <c r="G106" s="2514" t="s">
        <v>2264</v>
      </c>
      <c r="H106" s="1044">
        <f>C38</f>
        <v>0</v>
      </c>
      <c r="I106" s="137"/>
    </row>
    <row r="107" spans="1:35" ht="18.75" customHeight="1">
      <c r="A107" s="137"/>
      <c r="B107" s="137"/>
      <c r="C107" s="137"/>
      <c r="D107" s="137"/>
      <c r="E107" s="3129" t="str">
        <f>IF(项目基本情况!E8="已注销","——","3.房地产抵押价值")</f>
        <v>3.房地产抵押价值</v>
      </c>
      <c r="F107" s="3099"/>
      <c r="G107" s="2513" t="s">
        <v>2260</v>
      </c>
      <c r="H107" s="1043">
        <f ca="1">IF(E107="——","——",H101-H103)</f>
        <v>296</v>
      </c>
      <c r="I107" s="137"/>
    </row>
    <row r="108" spans="1:35" ht="18.75" customHeight="1">
      <c r="A108" s="137"/>
      <c r="B108" s="137"/>
      <c r="C108" s="137"/>
      <c r="D108" s="137"/>
      <c r="E108" s="3129"/>
      <c r="F108" s="3099"/>
      <c r="G108" s="2513" t="s">
        <v>2262</v>
      </c>
      <c r="H108" s="370">
        <f ca="1">ROUND(H107*10000/'数据-汇总表'!E3,0)</f>
        <v>13378</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099"/>
      <c r="G109" s="2513" t="s">
        <v>2260</v>
      </c>
      <c r="H109" s="347" t="str">
        <f>IF(E109="——","——",H101-H105-H106)</f>
        <v>——</v>
      </c>
      <c r="I109" s="137"/>
    </row>
    <row r="110" spans="1:35" ht="18.75" customHeight="1">
      <c r="A110" s="137"/>
      <c r="B110" s="137"/>
      <c r="C110" s="137"/>
      <c r="D110" s="137"/>
      <c r="E110" s="3129"/>
      <c r="F110" s="3099"/>
      <c r="G110" s="2513" t="s">
        <v>2262</v>
      </c>
      <c r="H110" s="370" t="str">
        <f>IF(H109="——","——",ROUND(H109*10000/'数据-汇总表'!E3,0))</f>
        <v>——</v>
      </c>
      <c r="I110" s="137"/>
    </row>
    <row r="111" spans="1:35" ht="18.75" customHeight="1">
      <c r="A111" s="137"/>
      <c r="B111" s="137"/>
      <c r="C111" s="137"/>
      <c r="D111" s="137"/>
      <c r="E111" s="3130" t="str">
        <f>IF(项目基本情况!E9="抵押净值",IF(OR(项目基本情况!E8="已注销",项目基本情况!E8="房地产抵押价值"),"4.抵押净值","5.抵押净值"),"——")</f>
        <v>——</v>
      </c>
      <c r="F111" s="3131"/>
      <c r="G111" s="2513" t="s">
        <v>2260</v>
      </c>
      <c r="H111" s="1043" t="str">
        <f>IF(E111="——","——",N59)</f>
        <v>——</v>
      </c>
      <c r="I111" s="137"/>
    </row>
    <row r="112" spans="1:35" ht="18.75" customHeight="1" thickBot="1">
      <c r="A112" s="137"/>
      <c r="B112" s="137"/>
      <c r="C112" s="137"/>
      <c r="D112" s="137"/>
      <c r="E112" s="3132"/>
      <c r="F112" s="3133"/>
      <c r="G112" s="2518" t="s">
        <v>2262</v>
      </c>
      <c r="H112" s="789" t="str">
        <f>IF(E111="——","——",N61)</f>
        <v>——</v>
      </c>
      <c r="I112" s="137"/>
    </row>
    <row r="113" spans="1:11" ht="18.75" customHeight="1">
      <c r="A113" s="137"/>
      <c r="B113" s="137"/>
      <c r="C113" s="137"/>
      <c r="D113" s="137"/>
      <c r="E113" s="3141" t="s">
        <v>2268</v>
      </c>
      <c r="F113" s="3141"/>
      <c r="G113" s="3141"/>
      <c r="H113" s="3141"/>
      <c r="I113" s="137"/>
    </row>
    <row r="114" spans="1:11" ht="3.75" customHeight="1">
      <c r="A114" s="2411"/>
      <c r="B114" s="2411"/>
      <c r="C114" s="2411"/>
      <c r="D114" s="2411"/>
      <c r="E114" s="2489"/>
      <c r="F114" s="2489"/>
      <c r="G114" s="2489"/>
      <c r="H114" s="2489"/>
      <c r="I114" s="2411"/>
    </row>
    <row r="115" spans="1:11" ht="18.75" customHeight="1">
      <c r="A115" s="3154" t="s">
        <v>2270</v>
      </c>
      <c r="B115" s="3155"/>
      <c r="C115" s="3155"/>
      <c r="D115" s="3155"/>
      <c r="E115" s="3155"/>
      <c r="F115" s="3155"/>
      <c r="G115" s="3155"/>
      <c r="H115" s="3155"/>
      <c r="I115" s="3156"/>
    </row>
    <row r="116" spans="1:11" ht="27" customHeight="1">
      <c r="A116" s="3063" t="s">
        <v>2271</v>
      </c>
      <c r="B116" s="3108" t="s">
        <v>2272</v>
      </c>
      <c r="C116" s="3108" t="s">
        <v>2273</v>
      </c>
      <c r="D116" s="3114" t="s">
        <v>2274</v>
      </c>
      <c r="E116" s="3115"/>
      <c r="F116" s="3150" t="s">
        <v>2275</v>
      </c>
      <c r="G116" s="3150"/>
      <c r="H116" s="3063" t="s">
        <v>2276</v>
      </c>
      <c r="I116" s="3063"/>
    </row>
    <row r="117" spans="1:11" ht="18.75" customHeight="1">
      <c r="A117" s="3063"/>
      <c r="B117" s="3109"/>
      <c r="C117" s="3109"/>
      <c r="D117" s="1793" t="s">
        <v>2277</v>
      </c>
      <c r="E117" s="1793" t="s">
        <v>2278</v>
      </c>
      <c r="F117" s="1793" t="s">
        <v>2277</v>
      </c>
      <c r="G117" s="1793" t="s">
        <v>2279</v>
      </c>
      <c r="H117" s="1793" t="s">
        <v>2277</v>
      </c>
      <c r="I117" s="1793" t="s">
        <v>2279</v>
      </c>
    </row>
    <row r="118" spans="1:11" ht="24.75" customHeight="1">
      <c r="A118" s="2519" t="str">
        <f>项目基本情况!S2</f>
        <v>江苏省无锡市惠山新城白屈港东侧、融泽路南侧出让国有建设用地使用权及在建建筑物房地产</v>
      </c>
      <c r="B118" s="1793">
        <f>M18</f>
        <v>221.26</v>
      </c>
      <c r="C118" s="1793">
        <f>M19</f>
        <v>75.39</v>
      </c>
      <c r="D118" s="1793">
        <f ca="1">ROUND(IF(D32="总价",C34,E118*B118/10000),0)</f>
        <v>272</v>
      </c>
      <c r="E118" s="1793">
        <f ca="1">ROUND(IF(C33="自定义",IF(D32="楼面单价",C34,D118*10000/B118),I118-G118),0)</f>
        <v>12293</v>
      </c>
      <c r="F118" s="1793">
        <f ca="1">ROUND(IF(D32="总价",C35,G118*B118/10000),0)</f>
        <v>24</v>
      </c>
      <c r="G118" s="1793">
        <f ca="1">ROUND(IF(D32="楼面单价",C35,F118*10000/B118),0)</f>
        <v>1085</v>
      </c>
      <c r="H118" s="1793">
        <f ca="1">ROUND(IF(D32="总价",C32,I118*B118/10000),0)</f>
        <v>296</v>
      </c>
      <c r="I118" s="1793">
        <f ca="1">ROUND(IF(D32="楼面单价",C32,H118*10000/B118),0)</f>
        <v>13378</v>
      </c>
    </row>
    <row r="119" spans="1:11" ht="18.75" customHeight="1">
      <c r="A119" s="3063" t="s">
        <v>2280</v>
      </c>
      <c r="B119" s="3063"/>
      <c r="C119" s="3063"/>
      <c r="D119" s="3110" t="str">
        <f ca="1">NUMBERSTRING(INT(D118*10000),2)&amp;"元整"</f>
        <v>贰佰柒拾贰万元整</v>
      </c>
      <c r="E119" s="3111"/>
      <c r="F119" s="3110" t="str">
        <f ca="1">NUMBERSTRING(INT(F118*10000),2)&amp;"元整"</f>
        <v>贰拾肆万元整</v>
      </c>
      <c r="G119" s="3111"/>
      <c r="H119" s="3110" t="str">
        <f ca="1">NUMBERSTRING(INT(H118*10000),2)&amp;"元整"</f>
        <v>贰佰玖拾陆万元整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16" t="str">
        <f>IF(D120=0,"故，本次评估不存在"&amp;A120,"故，本次评估"&amp;A120&amp;"为人民币"&amp;D120&amp;"万元整。")</f>
        <v>故，本次评估不存在估价师知悉的法定优先受偿款</v>
      </c>
    </row>
    <row r="121" spans="1:11" ht="18.75" customHeight="1">
      <c r="A121" s="3151" t="s">
        <v>2280</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296</v>
      </c>
      <c r="E122" s="3106"/>
      <c r="F122" s="3106"/>
      <c r="G122" s="3106"/>
      <c r="H122" s="3106"/>
      <c r="I122" s="3107"/>
    </row>
    <row r="123" spans="1:11" ht="18.75" customHeight="1">
      <c r="A123" s="3063" t="s">
        <v>2280</v>
      </c>
      <c r="B123" s="3063"/>
      <c r="C123" s="3063"/>
      <c r="D123" s="3110" t="str">
        <f ca="1">NUMBERSTRING(INT(D122*10000),2)&amp;"元整"</f>
        <v>贰佰玖拾陆万元整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3" t="s">
        <v>2280</v>
      </c>
      <c r="B125" s="3063"/>
      <c r="C125" s="3063"/>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3" t="s">
        <v>2280</v>
      </c>
      <c r="B127" s="3063"/>
      <c r="C127" s="3063"/>
      <c r="D127" s="3110" t="e">
        <f>NUMBERSTRING(INT(D126*10000),2)&amp;"元整"</f>
        <v>#VALUE!</v>
      </c>
      <c r="E127" s="3112"/>
      <c r="F127" s="3112"/>
      <c r="G127" s="3112"/>
      <c r="H127" s="3112"/>
      <c r="I127" s="3111"/>
    </row>
    <row r="128" spans="1:11" ht="21.75" customHeight="1">
      <c r="A128" s="3113" t="s">
        <v>2281</v>
      </c>
      <c r="B128" s="3113"/>
      <c r="C128" s="3113"/>
      <c r="D128" s="3113"/>
      <c r="E128" s="3113"/>
      <c r="F128" s="3113"/>
      <c r="G128" s="3113"/>
      <c r="H128" s="3113"/>
      <c r="I128" s="3113"/>
    </row>
    <row r="129" spans="1:35" ht="21.75" customHeight="1">
      <c r="A129" s="2520" t="s">
        <v>2282</v>
      </c>
      <c r="B129" s="2521"/>
      <c r="C129" s="2522" t="s">
        <v>2283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2284</v>
      </c>
      <c r="G135" s="2537"/>
      <c r="H135" s="2537"/>
      <c r="I135" s="2538" t="s">
        <v>2285</v>
      </c>
    </row>
    <row r="136" spans="1:35" ht="21.75" customHeight="1">
      <c r="A136" s="794"/>
      <c r="B136" s="2539" t="s">
        <v>2286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2287</v>
      </c>
    </row>
    <row r="139" spans="1:35" ht="21.75" customHeight="1">
      <c r="A139" s="794"/>
      <c r="B139" s="2539" t="s">
        <v>2288</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2287</v>
      </c>
    </row>
    <row r="142" spans="1:35" ht="21.75" customHeight="1">
      <c r="A142" s="794"/>
      <c r="B142" s="2539"/>
      <c r="C142" s="2540"/>
      <c r="D142" s="2541"/>
      <c r="E142" s="2541"/>
      <c r="F142" s="2334"/>
      <c r="G142" s="794"/>
      <c r="H142" s="794"/>
      <c r="I142" s="794"/>
    </row>
    <row r="143" spans="1:35" s="138"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0" sqref="C2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2289</v>
      </c>
      <c r="B1" s="1934"/>
      <c r="C1" s="241"/>
      <c r="D1" s="241"/>
      <c r="E1" s="241"/>
      <c r="F1" s="241"/>
      <c r="G1" s="1377">
        <f>MATCH(B1,'数据-取费表'!A6:A16,0)+5</f>
        <v>7</v>
      </c>
    </row>
    <row r="2" spans="1:9" s="243" customFormat="1" ht="18" customHeight="1">
      <c r="A2" s="244" t="s">
        <v>2290</v>
      </c>
      <c r="B2" s="245">
        <f ca="1">IF(D2="——",C52,C52-E2)</f>
        <v>314</v>
      </c>
      <c r="C2" s="242" t="s">
        <v>2291</v>
      </c>
      <c r="D2" s="2542" t="s">
        <v>69</v>
      </c>
      <c r="E2" s="1438" t="e">
        <f ca="1">SUMIF(INDIRECT("'"&amp;G2&amp;"'"&amp;"!A:A"),"承租人权益价值",INDIRECT("'"&amp;G2&amp;"'"&amp;"!c:c"))</f>
        <v>#REF!</v>
      </c>
      <c r="F2" s="2543" t="s">
        <v>2291</v>
      </c>
      <c r="G2" s="2544"/>
    </row>
    <row r="3" spans="1:9" s="243" customFormat="1" ht="18" customHeight="1" thickBot="1">
      <c r="A3" s="246" t="s">
        <v>2292</v>
      </c>
      <c r="B3" s="247">
        <f ca="1">ROUND(B2*10000/(IF(B1="",'数据-汇总表'!E3,INDIRECT("'数据-取费表'!k"&amp;$G$1))),0)</f>
        <v>14191</v>
      </c>
      <c r="C3" s="242" t="s">
        <v>2293</v>
      </c>
      <c r="D3" s="242"/>
      <c r="E3" s="242"/>
      <c r="F3" s="242"/>
      <c r="G3" s="242"/>
    </row>
    <row r="4" spans="1:9" s="251" customFormat="1" ht="15.75">
      <c r="A4" s="248" t="s">
        <v>2294</v>
      </c>
      <c r="B4" s="249"/>
      <c r="C4" s="249"/>
      <c r="D4" s="249"/>
      <c r="E4" s="249"/>
      <c r="F4" s="249"/>
      <c r="G4" s="250"/>
    </row>
    <row r="5" spans="1:9" s="257" customFormat="1" ht="13.5" customHeight="1">
      <c r="A5" s="298" t="s">
        <v>2295</v>
      </c>
      <c r="B5" s="253" t="s">
        <v>2296</v>
      </c>
      <c r="C5" s="254">
        <f>C6+C7+C8</f>
        <v>249</v>
      </c>
      <c r="D5" s="254" t="s">
        <v>2297</v>
      </c>
      <c r="E5" s="255" t="s">
        <v>2298</v>
      </c>
      <c r="F5" s="255" t="s">
        <v>2299</v>
      </c>
      <c r="G5" s="256"/>
    </row>
    <row r="6" spans="1:9" s="257" customFormat="1" ht="13.5" customHeight="1">
      <c r="A6" s="947" t="s">
        <v>2300</v>
      </c>
      <c r="B6" s="258" t="s">
        <v>2301</v>
      </c>
      <c r="C6" s="259">
        <f>'土地比较法-住宅、综合'!B2</f>
        <v>239</v>
      </c>
      <c r="D6" s="260"/>
      <c r="E6" s="261"/>
      <c r="F6" s="261"/>
      <c r="G6" s="262"/>
    </row>
    <row r="7" spans="1:9" s="257" customFormat="1" ht="13.5" customHeight="1">
      <c r="A7" s="947" t="s">
        <v>2302</v>
      </c>
      <c r="B7" s="258" t="s">
        <v>2303</v>
      </c>
      <c r="C7" s="263">
        <f>ROUND(C6*F7,0)</f>
        <v>10</v>
      </c>
      <c r="D7" s="263"/>
      <c r="E7" s="261"/>
      <c r="F7" s="264">
        <f>IF(项目基本情况!B8="出让",0,'数据-取费表'!B48+'数据-取费表'!B49)</f>
        <v>4.0500000000000001E-2</v>
      </c>
      <c r="G7" s="262"/>
    </row>
    <row r="8" spans="1:9" s="266" customFormat="1">
      <c r="A8" s="947" t="s">
        <v>2304</v>
      </c>
      <c r="B8" s="258" t="s">
        <v>2305</v>
      </c>
      <c r="C8" s="263">
        <f>IF(G8="已包含在土地购买价格中","0",IF(B1="",'数据-取费表'!B29,IF(G9="全部缴纳",C9+C10,H9)))</f>
        <v>0</v>
      </c>
      <c r="D8" s="265"/>
      <c r="E8" s="263"/>
      <c r="F8" s="264"/>
      <c r="G8" s="2545" t="s">
        <v>3185</v>
      </c>
    </row>
    <row r="9" spans="1:9" s="257" customFormat="1" ht="13.5" customHeight="1">
      <c r="A9" s="948" t="s">
        <v>799</v>
      </c>
      <c r="B9" s="267" t="s">
        <v>2306</v>
      </c>
      <c r="C9" s="268">
        <f ca="1">ROUND(D9*E9/10000,0)</f>
        <v>2</v>
      </c>
      <c r="D9" s="1030">
        <f ca="1">IF(B1="",'数据-汇总表'!E5,IF(INDIRECT("'数据-取费表'!c"&amp;$G$1)="住宅",INDIRECT("'数据-取费表'!k"&amp;$G$1),0))</f>
        <v>221.26</v>
      </c>
      <c r="E9" s="268">
        <f>'数据-取费表'!B27</f>
        <v>105</v>
      </c>
      <c r="F9" s="264"/>
      <c r="G9" s="2546" t="s">
        <v>3186</v>
      </c>
      <c r="H9" s="1388"/>
      <c r="I9" s="2547" t="s">
        <v>2307</v>
      </c>
    </row>
    <row r="10" spans="1:9" s="257" customFormat="1" ht="13.5" customHeight="1">
      <c r="A10" s="948" t="s">
        <v>800</v>
      </c>
      <c r="B10" s="267" t="s">
        <v>2308</v>
      </c>
      <c r="C10" s="268">
        <f ca="1">ROUND(D10*E10/10000,0)</f>
        <v>0</v>
      </c>
      <c r="D10" s="1030">
        <f ca="1">IF(B1="",'数据-汇总表'!E6,IF(INDIRECT("'数据-取费表'!c"&amp;$G$1)="住宅",INDIRECT("'数据-取费表'!s"&amp;$G$1),INDIRECT("'数据-取费表'!k"&amp;$G$1)+INDIRECT("'数据-取费表'!s"&amp;$G$1)))</f>
        <v>0</v>
      </c>
      <c r="E10" s="268">
        <f>'数据-取费表'!B28</f>
        <v>105</v>
      </c>
      <c r="F10" s="264"/>
      <c r="G10" s="269"/>
    </row>
    <row r="11" spans="1:9" s="257" customFormat="1" ht="13.5" hidden="1" customHeight="1">
      <c r="A11" s="270" t="s">
        <v>7</v>
      </c>
      <c r="B11" s="258" t="s">
        <v>2309</v>
      </c>
      <c r="C11" s="254"/>
      <c r="D11" s="1032"/>
      <c r="E11" s="261"/>
      <c r="F11" s="261"/>
      <c r="G11" s="262"/>
    </row>
    <row r="12" spans="1:9" s="257" customFormat="1" ht="13.5" hidden="1" customHeight="1">
      <c r="A12" s="270" t="s">
        <v>8</v>
      </c>
      <c r="B12" s="258" t="s">
        <v>2310</v>
      </c>
      <c r="C12" s="254">
        <v>0</v>
      </c>
      <c r="D12" s="1032"/>
      <c r="E12" s="271"/>
      <c r="F12" s="264">
        <v>3.0499999999999999E-2</v>
      </c>
      <c r="G12" s="262"/>
    </row>
    <row r="13" spans="1:9" s="257" customFormat="1" ht="13.5" hidden="1" customHeight="1">
      <c r="A13" s="270" t="s">
        <v>9</v>
      </c>
      <c r="B13" s="258" t="s">
        <v>2311</v>
      </c>
      <c r="C13" s="254"/>
      <c r="D13" s="1032"/>
      <c r="E13" s="261"/>
      <c r="F13" s="261"/>
      <c r="G13" s="262"/>
    </row>
    <row r="14" spans="1:9" s="257" customFormat="1" ht="13.5" hidden="1" customHeight="1">
      <c r="A14" s="270" t="s">
        <v>10</v>
      </c>
      <c r="B14" s="258" t="s">
        <v>2312</v>
      </c>
      <c r="C14" s="254"/>
      <c r="D14" s="1032"/>
      <c r="E14" s="261"/>
      <c r="F14" s="261"/>
      <c r="G14" s="262" t="s">
        <v>2313</v>
      </c>
    </row>
    <row r="15" spans="1:9" s="257" customFormat="1" ht="13.5" hidden="1" customHeight="1">
      <c r="A15" s="270" t="s">
        <v>11</v>
      </c>
      <c r="B15" s="258" t="s">
        <v>2314</v>
      </c>
      <c r="C15" s="263"/>
      <c r="D15" s="1032"/>
      <c r="E15" s="261"/>
      <c r="F15" s="261"/>
      <c r="G15" s="262" t="s">
        <v>2315</v>
      </c>
    </row>
    <row r="16" spans="1:9" s="257" customFormat="1" ht="13.5" hidden="1" customHeight="1">
      <c r="A16" s="270" t="s">
        <v>12</v>
      </c>
      <c r="B16" s="258" t="s">
        <v>2312</v>
      </c>
      <c r="C16" s="263"/>
      <c r="D16" s="1032"/>
      <c r="E16" s="261"/>
      <c r="F16" s="261"/>
      <c r="G16" s="262"/>
    </row>
    <row r="17" spans="1:7" s="257" customFormat="1" ht="13.5" hidden="1" customHeight="1">
      <c r="A17" s="270" t="s">
        <v>13</v>
      </c>
      <c r="B17" s="258" t="s">
        <v>2316</v>
      </c>
      <c r="C17" s="272"/>
      <c r="D17" s="1033"/>
      <c r="E17" s="272"/>
      <c r="F17" s="272"/>
      <c r="G17" s="262" t="s">
        <v>2315</v>
      </c>
    </row>
    <row r="18" spans="1:7" s="257" customFormat="1" ht="13.5" hidden="1" customHeight="1">
      <c r="A18" s="270" t="s">
        <v>14</v>
      </c>
      <c r="B18" s="258" t="s">
        <v>2317</v>
      </c>
      <c r="C18" s="263">
        <v>0</v>
      </c>
      <c r="D18" s="1032"/>
      <c r="E18" s="261"/>
      <c r="F18" s="264">
        <v>3.0499999999999999E-2</v>
      </c>
      <c r="G18" s="262" t="s">
        <v>2318</v>
      </c>
    </row>
    <row r="19" spans="1:7" s="266" customFormat="1" ht="13.5" customHeight="1">
      <c r="A19" s="298" t="s">
        <v>2319</v>
      </c>
      <c r="B19" s="253" t="s">
        <v>2320</v>
      </c>
      <c r="C19" s="254" t="str">
        <f>IF(G19="已包含在土地取得成本中","0",ROUND(D19*E19/10000,0))</f>
        <v>0</v>
      </c>
      <c r="D19" s="1034">
        <f ca="1">D9+D10</f>
        <v>221.26</v>
      </c>
      <c r="E19" s="254">
        <f>'数据-取费表'!B31</f>
        <v>0</v>
      </c>
      <c r="F19" s="274"/>
      <c r="G19" s="2545" t="s">
        <v>3291</v>
      </c>
    </row>
    <row r="20" spans="1:7" s="257" customFormat="1" ht="13.5" customHeight="1">
      <c r="A20" s="298" t="s">
        <v>2321</v>
      </c>
      <c r="B20" s="253" t="s">
        <v>2322</v>
      </c>
      <c r="C20" s="275">
        <f>ROUND((C5+C19)*F20,0)</f>
        <v>4</v>
      </c>
      <c r="D20" s="275"/>
      <c r="E20" s="275"/>
      <c r="F20" s="276">
        <f>'数据-取费表'!B37</f>
        <v>1.4999999999999999E-2</v>
      </c>
      <c r="G20" s="277" t="s">
        <v>2323</v>
      </c>
    </row>
    <row r="21" spans="1:7" s="257" customFormat="1" ht="13.5" customHeight="1">
      <c r="A21" s="298" t="s">
        <v>2324</v>
      </c>
      <c r="B21" s="253" t="s">
        <v>2325</v>
      </c>
      <c r="C21" s="278">
        <f>F21</f>
        <v>1.4999999999999999E-2</v>
      </c>
      <c r="D21" s="279" t="s">
        <v>2326</v>
      </c>
      <c r="E21" s="275"/>
      <c r="F21" s="276">
        <f>'数据-取费表'!B38</f>
        <v>1.4999999999999999E-2</v>
      </c>
      <c r="G21" s="277" t="s">
        <v>2327</v>
      </c>
    </row>
    <row r="22" spans="1:7" s="257" customFormat="1" ht="13.5" customHeight="1">
      <c r="A22" s="298" t="s">
        <v>2328</v>
      </c>
      <c r="B22" s="253" t="s">
        <v>2329</v>
      </c>
      <c r="C22" s="1352">
        <f ca="1">ROUND(SUM(C23:C25),0)</f>
        <v>6</v>
      </c>
      <c r="D22" s="278">
        <f ca="1">C26</f>
        <v>2.0000000000000001E-4</v>
      </c>
      <c r="E22" s="279" t="s">
        <v>2326</v>
      </c>
      <c r="F22" s="280">
        <f ca="1">'数据-取费表'!B40</f>
        <v>4.7500000000000001E-2</v>
      </c>
      <c r="G22" s="277" t="str">
        <f>IF('数据-取费表'!B22&lt;=1,"单利计息","复利计息")</f>
        <v>复利计息</v>
      </c>
    </row>
    <row r="23" spans="1:7" s="257" customFormat="1" ht="13.5" customHeight="1">
      <c r="A23" s="949" t="s">
        <v>2330</v>
      </c>
      <c r="B23" s="258" t="s">
        <v>2331</v>
      </c>
      <c r="C23" s="1353">
        <f ca="1">ROUND(IF('数据-取费表'!B22&lt;=1,C5*F22*'数据-取费表'!B23,C5*(POWER((1+F22),'数据-取费表'!B23)-1)),0)</f>
        <v>6</v>
      </c>
      <c r="D23" s="281"/>
      <c r="E23" s="281"/>
      <c r="F23" s="282"/>
      <c r="G23" s="283" t="s">
        <v>2332</v>
      </c>
    </row>
    <row r="24" spans="1:7" s="257" customFormat="1" ht="13.5" customHeight="1">
      <c r="A24" s="949" t="s">
        <v>2333</v>
      </c>
      <c r="B24" s="258" t="s">
        <v>2334</v>
      </c>
      <c r="C24" s="1353">
        <f ca="1">ROUND(IF('数据-取费表'!B22&lt;=1,C19*F22*('数据-取费表'!B19/2+'数据-取费表'!B21),C19*(POWER((1+F22),('数据-取费表'!B19/2+'数据-取费表'!B21))-1)),0)</f>
        <v>0</v>
      </c>
      <c r="D24" s="281"/>
      <c r="E24" s="281"/>
      <c r="F24" s="282"/>
      <c r="G24" s="283" t="s">
        <v>2335</v>
      </c>
    </row>
    <row r="25" spans="1:7" s="257" customFormat="1" ht="24">
      <c r="A25" s="949" t="s">
        <v>2336</v>
      </c>
      <c r="B25" s="258" t="s">
        <v>2337</v>
      </c>
      <c r="C25" s="1353">
        <f ca="1">ROUND(IF('数据-取费表'!B22&lt;=1,C20*F22*'数据-取费表'!B23/2,C20*(POWER((1+F22),'数据-取费表'!B23/2)-1)),0)</f>
        <v>0</v>
      </c>
      <c r="D25" s="281"/>
      <c r="E25" s="284"/>
      <c r="F25" s="282"/>
      <c r="G25" s="285" t="s">
        <v>2338</v>
      </c>
    </row>
    <row r="26" spans="1:7" s="257" customFormat="1">
      <c r="A26" s="949" t="s">
        <v>794</v>
      </c>
      <c r="B26" s="258" t="s">
        <v>2339</v>
      </c>
      <c r="C26" s="281">
        <f ca="1">ROUND(IF('数据-取费表'!B22&lt;=1,F21*F22*'数据-取费表'!B23/2,F21*(POWER((1+F22),'数据-取费表'!B23/2)-1)),4)</f>
        <v>2.0000000000000001E-4</v>
      </c>
      <c r="D26" s="281"/>
      <c r="E26" s="284"/>
      <c r="F26" s="282"/>
      <c r="G26" s="286"/>
    </row>
    <row r="27" spans="1:7" s="257" customFormat="1" ht="24.75">
      <c r="A27" s="298" t="s">
        <v>2340</v>
      </c>
      <c r="B27" s="287" t="s">
        <v>2341</v>
      </c>
      <c r="C27" s="288">
        <f ca="1">C28</f>
        <v>10</v>
      </c>
      <c r="D27" s="278">
        <f ca="1">C29</f>
        <v>5.9999999999999995E-4</v>
      </c>
      <c r="E27" s="279" t="s">
        <v>2342</v>
      </c>
      <c r="F27" s="289">
        <f ca="1">IF(B1="",'数据-取费表'!Q16,INDIRECT("'数据-取费表'!q"&amp;$G$1))</f>
        <v>0.15</v>
      </c>
      <c r="G27" s="290" t="s">
        <v>2343</v>
      </c>
    </row>
    <row r="28" spans="1:7" s="257" customFormat="1" ht="13.5" customHeight="1">
      <c r="A28" s="949" t="s">
        <v>790</v>
      </c>
      <c r="B28" s="291" t="s">
        <v>2344</v>
      </c>
      <c r="C28" s="292">
        <f ca="1">ROUND((C5+C19+C20)*F27*'数据-取费表'!B21/'数据-取费表'!B20,0)</f>
        <v>10</v>
      </c>
      <c r="D28" s="278"/>
      <c r="E28" s="279"/>
      <c r="F28" s="289"/>
      <c r="G28" s="290"/>
    </row>
    <row r="29" spans="1:7" s="257" customFormat="1" ht="13.5" customHeight="1">
      <c r="A29" s="949" t="s">
        <v>791</v>
      </c>
      <c r="B29" s="291" t="s">
        <v>2345</v>
      </c>
      <c r="C29" s="281">
        <f ca="1">ROUND(C21*F27*'数据-取费表'!B21/'数据-取费表'!B20,4)</f>
        <v>5.9999999999999995E-4</v>
      </c>
      <c r="D29" s="278"/>
      <c r="E29" s="279"/>
      <c r="F29" s="289"/>
      <c r="G29" s="290"/>
    </row>
    <row r="30" spans="1:7" s="257" customFormat="1" ht="13.5" customHeight="1">
      <c r="A30" s="298" t="s">
        <v>2346</v>
      </c>
      <c r="B30" s="253" t="s">
        <v>2347</v>
      </c>
      <c r="C30" s="278">
        <f>ROUND(F30/(1+'数据-取费表'!C42),4)</f>
        <v>5.33E-2</v>
      </c>
      <c r="D30" s="279" t="s">
        <v>2342</v>
      </c>
      <c r="E30" s="284"/>
      <c r="F30" s="280">
        <f>'数据-取费表'!B41</f>
        <v>5.6000000000000001E-2</v>
      </c>
      <c r="G30" s="277" t="s">
        <v>2348</v>
      </c>
    </row>
    <row r="31" spans="1:7" ht="16.5" customHeight="1">
      <c r="A31" s="252">
        <v>1</v>
      </c>
      <c r="B31" s="253" t="s">
        <v>2349</v>
      </c>
      <c r="C31" s="254">
        <f ca="1">ROUND((C5+C19+C20+C22+C27)/(1-C21-D22-D27-C30),0)</f>
        <v>289</v>
      </c>
      <c r="D31" s="273"/>
      <c r="E31" s="254"/>
      <c r="F31" s="293"/>
      <c r="G31" s="277" t="s">
        <v>2350</v>
      </c>
    </row>
    <row r="32" spans="1:7" s="251" customFormat="1" ht="15.75">
      <c r="A32" s="295" t="s">
        <v>2351</v>
      </c>
      <c r="B32" s="296"/>
      <c r="C32" s="296"/>
      <c r="D32" s="296"/>
      <c r="E32" s="296"/>
      <c r="F32" s="296"/>
      <c r="G32" s="297"/>
    </row>
    <row r="33" spans="1:7" s="257" customFormat="1" ht="13.5" customHeight="1">
      <c r="A33" s="298" t="s">
        <v>781</v>
      </c>
      <c r="B33" s="253" t="s">
        <v>2352</v>
      </c>
      <c r="C33" s="299">
        <f ca="1">SUM(C34:C38)</f>
        <v>20</v>
      </c>
      <c r="D33" s="275"/>
      <c r="E33" s="255"/>
      <c r="F33" s="284"/>
      <c r="G33" s="277"/>
    </row>
    <row r="34" spans="1:7" s="301" customFormat="1" ht="13.5" customHeight="1">
      <c r="A34" s="949" t="s">
        <v>790</v>
      </c>
      <c r="B34" s="258" t="s">
        <v>2353</v>
      </c>
      <c r="C34" s="263">
        <f ca="1">IF(B1="",IF(F34=100%,'数据-取费表'!M16,'数据-取费表'!O16),IF(F34=100%,INDIRECT("'数据-取费表'!m"&amp;$G$1)+INDIRECT("'数据-取费表'!t"&amp;$G$1),INDIRECT("'数据-取费表'!o"&amp;$G$1)+INDIRECT("'数据-取费表'!aq"&amp;$G$1)))</f>
        <v>17</v>
      </c>
      <c r="D34" s="260"/>
      <c r="E34" s="263"/>
      <c r="F34" s="300">
        <f ca="1">IF('数据-取费表'!B24=0,1,IF(B1="",'数据-取费表'!N16,INDIRECT("'数据-取费表'!n"&amp;$G$1)))</f>
        <v>0.26</v>
      </c>
      <c r="G34" s="262" t="s">
        <v>2354</v>
      </c>
    </row>
    <row r="35" spans="1:7" ht="13.5" customHeight="1">
      <c r="A35" s="949" t="s">
        <v>795</v>
      </c>
      <c r="B35" s="258" t="s">
        <v>2355</v>
      </c>
      <c r="C35" s="263">
        <f ca="1">ROUND(C34*F35,0)</f>
        <v>1</v>
      </c>
      <c r="D35" s="263"/>
      <c r="E35" s="263"/>
      <c r="F35" s="302">
        <f>'数据-取费表'!B33</f>
        <v>0.03</v>
      </c>
      <c r="G35" s="262" t="s">
        <v>2356</v>
      </c>
    </row>
    <row r="36" spans="1:7" ht="24">
      <c r="A36" s="949" t="s">
        <v>796</v>
      </c>
      <c r="B36" s="258" t="s">
        <v>2357</v>
      </c>
      <c r="C36" s="263">
        <f ca="1">ROUND(IF(B1="",SUMIF('数据-取费表'!C:C,"住宅",IF(F34=100%,'数据-取费表'!M:M,'数据-取费表'!O:O))*F36,IF(INDIRECT("'数据-取费表'!c"&amp;$G$1)="住宅",IF(F34=100%,INDIRECT("'数据-取费表'!m"&amp;$G$1)*F36,INDIRECT("'数据-取费表'!o"&amp;$G$1)*F36),0)),0)</f>
        <v>1</v>
      </c>
      <c r="D36" s="263"/>
      <c r="E36" s="263"/>
      <c r="F36" s="302">
        <f>'数据-取费表'!B34</f>
        <v>0.03</v>
      </c>
      <c r="G36" s="303" t="s">
        <v>2358</v>
      </c>
    </row>
    <row r="37" spans="1:7" s="301" customFormat="1" ht="13.5" customHeight="1">
      <c r="A37" s="949" t="s">
        <v>797</v>
      </c>
      <c r="B37" s="258" t="s">
        <v>2359</v>
      </c>
      <c r="C37" s="292">
        <f ca="1">ROUND(E37*D37*F34/10000,0)</f>
        <v>1</v>
      </c>
      <c r="D37" s="260">
        <f ca="1">D19</f>
        <v>221.26</v>
      </c>
      <c r="E37" s="292">
        <f>'数据-取费表'!B35</f>
        <v>150</v>
      </c>
      <c r="F37" s="302"/>
      <c r="G37" s="304" t="s">
        <v>2360</v>
      </c>
    </row>
    <row r="38" spans="1:7" ht="13.5" customHeight="1">
      <c r="A38" s="949" t="s">
        <v>798</v>
      </c>
      <c r="B38" s="258" t="s">
        <v>2361</v>
      </c>
      <c r="C38" s="263">
        <f ca="1">ROUND(C34*F38,0)</f>
        <v>0</v>
      </c>
      <c r="D38" s="263"/>
      <c r="E38" s="263"/>
      <c r="F38" s="302">
        <f>'数据-取费表'!B36</f>
        <v>1.4999999999999999E-2</v>
      </c>
      <c r="G38" s="262" t="s">
        <v>2356</v>
      </c>
    </row>
    <row r="39" spans="1:7" s="257" customFormat="1" ht="13.5" customHeight="1">
      <c r="A39" s="298" t="s">
        <v>2362</v>
      </c>
      <c r="B39" s="253" t="s">
        <v>2363</v>
      </c>
      <c r="C39" s="275">
        <f ca="1">ROUND(C33*F20,0)</f>
        <v>0</v>
      </c>
      <c r="D39" s="275"/>
      <c r="E39" s="275"/>
      <c r="F39" s="276"/>
      <c r="G39" s="277" t="s">
        <v>2364</v>
      </c>
    </row>
    <row r="40" spans="1:7" s="257" customFormat="1" ht="13.5" customHeight="1">
      <c r="A40" s="298" t="s">
        <v>2365</v>
      </c>
      <c r="B40" s="253" t="s">
        <v>2366</v>
      </c>
      <c r="C40" s="1726">
        <f>F21</f>
        <v>1.4999999999999999E-2</v>
      </c>
      <c r="D40" s="279" t="s">
        <v>2367</v>
      </c>
      <c r="E40" s="275"/>
      <c r="F40" s="276"/>
      <c r="G40" s="277" t="s">
        <v>2368</v>
      </c>
    </row>
    <row r="41" spans="1:7" s="257" customFormat="1" ht="13.5" customHeight="1">
      <c r="A41" s="298" t="s">
        <v>2369</v>
      </c>
      <c r="B41" s="253" t="s">
        <v>2370</v>
      </c>
      <c r="C41" s="275">
        <f ca="1">ROUND(SUM(C42:C43),0)</f>
        <v>0</v>
      </c>
      <c r="D41" s="278">
        <f ca="1">C44</f>
        <v>2.0000000000000001E-4</v>
      </c>
      <c r="E41" s="279" t="s">
        <v>2367</v>
      </c>
      <c r="F41" s="280"/>
      <c r="G41" s="277" t="str">
        <f>IF('数据-取费表'!B22&lt;=1,"单利计息","复利计息")</f>
        <v>复利计息</v>
      </c>
    </row>
    <row r="42" spans="1:7" ht="13.5" customHeight="1">
      <c r="A42" s="949" t="s">
        <v>790</v>
      </c>
      <c r="B42" s="258" t="s">
        <v>2371</v>
      </c>
      <c r="C42" s="281">
        <f ca="1">ROUND(IF('数据-取费表'!B22&lt;=1,C33*F22*'数据-取费表'!B21/2,C33*(POWER((1+F22),'数据-取费表'!B21/2)-1)),0)</f>
        <v>0</v>
      </c>
      <c r="D42" s="281"/>
      <c r="E42" s="281"/>
      <c r="F42" s="282"/>
      <c r="G42" s="3185" t="s">
        <v>2372</v>
      </c>
    </row>
    <row r="43" spans="1:7" ht="13.5" customHeight="1">
      <c r="A43" s="949" t="s">
        <v>791</v>
      </c>
      <c r="B43" s="258" t="s">
        <v>2373</v>
      </c>
      <c r="C43" s="281">
        <f ca="1">ROUND(IF('数据-取费表'!B22&lt;=1,C39*F22*'数据-取费表'!B21/2,C39*(POWER((1+F22),'数据-取费表'!B21/2)-1)),0)</f>
        <v>0</v>
      </c>
      <c r="D43" s="281"/>
      <c r="E43" s="281"/>
      <c r="F43" s="282"/>
      <c r="G43" s="3186"/>
    </row>
    <row r="44" spans="1:7" ht="13.5" customHeight="1">
      <c r="A44" s="949" t="s">
        <v>792</v>
      </c>
      <c r="B44" s="258" t="s">
        <v>2374</v>
      </c>
      <c r="C44" s="281">
        <f ca="1">ROUND(IF('数据-取费表'!B22&lt;=1,C40*F22*'数据-取费表'!B21/2,C40*(POWER((1+F22),'数据-取费表'!B21/2)-1)),4)</f>
        <v>2.0000000000000001E-4</v>
      </c>
      <c r="D44" s="281"/>
      <c r="E44" s="281"/>
      <c r="F44" s="282"/>
      <c r="G44" s="3187"/>
    </row>
    <row r="45" spans="1:7" s="257" customFormat="1" ht="13.5" customHeight="1">
      <c r="A45" s="298" t="s">
        <v>2375</v>
      </c>
      <c r="B45" s="287" t="s">
        <v>2341</v>
      </c>
      <c r="C45" s="288">
        <f ca="1">C46</f>
        <v>3</v>
      </c>
      <c r="D45" s="278">
        <f ca="1">C47</f>
        <v>2.3E-3</v>
      </c>
      <c r="E45" s="279" t="s">
        <v>2367</v>
      </c>
      <c r="F45" s="289"/>
      <c r="G45" s="290" t="s">
        <v>2376</v>
      </c>
    </row>
    <row r="46" spans="1:7" s="257" customFormat="1" ht="13.5" customHeight="1">
      <c r="A46" s="949" t="s">
        <v>790</v>
      </c>
      <c r="B46" s="291" t="s">
        <v>2377</v>
      </c>
      <c r="C46" s="292">
        <f ca="1">ROUND((C33+C39)*F27,0)</f>
        <v>3</v>
      </c>
      <c r="D46" s="306"/>
      <c r="E46" s="279"/>
      <c r="F46" s="289"/>
      <c r="G46" s="290"/>
    </row>
    <row r="47" spans="1:7" s="257" customFormat="1" ht="13.5" customHeight="1">
      <c r="A47" s="949" t="s">
        <v>791</v>
      </c>
      <c r="B47" s="291" t="s">
        <v>2378</v>
      </c>
      <c r="C47" s="281">
        <f ca="1">ROUND(C40*F27,4)</f>
        <v>2.3E-3</v>
      </c>
      <c r="D47" s="306"/>
      <c r="E47" s="279"/>
      <c r="F47" s="289"/>
      <c r="G47" s="290"/>
    </row>
    <row r="48" spans="1:7" s="257" customFormat="1" ht="13.5" customHeight="1">
      <c r="A48" s="298" t="s">
        <v>2340</v>
      </c>
      <c r="B48" s="253" t="s">
        <v>2379</v>
      </c>
      <c r="C48" s="1726">
        <f>ROUND(F30/(1+'数据-取费表'!C42),4)</f>
        <v>5.33E-2</v>
      </c>
      <c r="D48" s="279" t="s">
        <v>2367</v>
      </c>
      <c r="E48" s="275"/>
      <c r="F48" s="280"/>
      <c r="G48" s="277" t="s">
        <v>2380</v>
      </c>
    </row>
    <row r="49" spans="1:7" ht="16.5" customHeight="1">
      <c r="A49" s="298" t="s">
        <v>2346</v>
      </c>
      <c r="B49" s="253" t="s">
        <v>2381</v>
      </c>
      <c r="C49" s="275">
        <f ca="1">ROUND((C33+C39+C41+C45)/(1-C40-D41-D45-C48),0)</f>
        <v>25</v>
      </c>
      <c r="D49" s="275"/>
      <c r="E49" s="275"/>
      <c r="F49" s="307"/>
      <c r="G49" s="277" t="s">
        <v>2382</v>
      </c>
    </row>
    <row r="50" spans="1:7" s="301" customFormat="1" ht="24">
      <c r="A50" s="298" t="s">
        <v>2383</v>
      </c>
      <c r="B50" s="253" t="s">
        <v>2384</v>
      </c>
      <c r="C50" s="275"/>
      <c r="D50" s="275"/>
      <c r="E50" s="275"/>
      <c r="F50" s="307">
        <f>IF('数据-取费表'!B24=0,'数据-取费表'!N16,1)</f>
        <v>1</v>
      </c>
      <c r="G50" s="290" t="s">
        <v>2385</v>
      </c>
    </row>
    <row r="51" spans="1:7" ht="16.5" customHeight="1">
      <c r="A51" s="298" t="s">
        <v>2386</v>
      </c>
      <c r="B51" s="253" t="s">
        <v>2387</v>
      </c>
      <c r="C51" s="275">
        <f ca="1">ROUND(C49*F50,0)</f>
        <v>25</v>
      </c>
      <c r="D51" s="275"/>
      <c r="E51" s="275"/>
      <c r="F51" s="307"/>
      <c r="G51" s="277" t="s">
        <v>2388</v>
      </c>
    </row>
    <row r="52" spans="1:7" s="251" customFormat="1" ht="16.5" thickBot="1">
      <c r="A52" s="308" t="s">
        <v>2389</v>
      </c>
      <c r="B52" s="309"/>
      <c r="C52" s="310">
        <f ca="1">C31+C51</f>
        <v>314</v>
      </c>
      <c r="D52" s="309"/>
      <c r="E52" s="309"/>
      <c r="F52" s="309"/>
      <c r="G52" s="311"/>
    </row>
    <row r="55" spans="1:7" ht="15">
      <c r="B55" s="313" t="s">
        <v>2390</v>
      </c>
      <c r="C55" s="314"/>
    </row>
    <row r="56" spans="1:7">
      <c r="B56" s="316" t="s">
        <v>1506</v>
      </c>
      <c r="C56" s="318">
        <f ca="1">1-C57</f>
        <v>0.92</v>
      </c>
    </row>
    <row r="57" spans="1:7">
      <c r="B57" s="316" t="s">
        <v>1507</v>
      </c>
      <c r="C57" s="317">
        <f ca="1">ROUND(C51/C52,3)</f>
        <v>0.08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7" sqref="E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2289</v>
      </c>
      <c r="B1" s="1934"/>
      <c r="C1" s="2548" t="s">
        <v>2391</v>
      </c>
      <c r="D1" s="241"/>
      <c r="E1" s="241"/>
      <c r="F1" s="241"/>
      <c r="G1" s="1377">
        <f>MATCH(B1,'数据-取费表'!A6:A16,0)+5</f>
        <v>7</v>
      </c>
      <c r="H1" s="1280" t="str">
        <f>IF(ISERROR(FIND("住宅",B1)),"非住宅","住宅")</f>
        <v>非住宅</v>
      </c>
    </row>
    <row r="2" spans="1:8" s="243" customFormat="1" ht="18" customHeight="1">
      <c r="A2" s="244" t="s">
        <v>2290</v>
      </c>
      <c r="B2" s="245">
        <f ca="1">ROUND(IF(D2="——",C52/10000,C52/10000-E2),0)</f>
        <v>101</v>
      </c>
      <c r="C2" s="242" t="s">
        <v>2291</v>
      </c>
      <c r="D2" s="2542" t="s">
        <v>69</v>
      </c>
      <c r="E2" s="1438" t="e">
        <f ca="1">SUMIF(INDIRECT("'"&amp;G2&amp;"'"&amp;"!A:A"),"承租人权益价值",INDIRECT("'"&amp;G2&amp;"'"&amp;"!c:c"))</f>
        <v>#REF!</v>
      </c>
      <c r="F2" s="2543" t="s">
        <v>2291</v>
      </c>
      <c r="G2" s="2544"/>
    </row>
    <row r="3" spans="1:8" s="243" customFormat="1" ht="18" customHeight="1" thickBot="1">
      <c r="A3" s="246" t="s">
        <v>2292</v>
      </c>
      <c r="B3" s="247">
        <f ca="1">ROUND(B2*10000/(IF(B1="",'数据-汇总表'!E3,INDIRECT("'数据-取费表'!k"&amp;$G$1))),0)</f>
        <v>4565</v>
      </c>
      <c r="C3" s="242" t="s">
        <v>2293</v>
      </c>
      <c r="D3" s="242"/>
      <c r="E3" s="242"/>
      <c r="F3" s="242"/>
      <c r="G3" s="242"/>
    </row>
    <row r="4" spans="1:8" s="251" customFormat="1" ht="15.75">
      <c r="A4" s="248" t="s">
        <v>2294</v>
      </c>
      <c r="B4" s="249"/>
      <c r="C4" s="249"/>
      <c r="D4" s="249"/>
      <c r="E4" s="249"/>
      <c r="F4" s="249"/>
      <c r="G4" s="250"/>
    </row>
    <row r="5" spans="1:8" s="257" customFormat="1" ht="13.5" customHeight="1">
      <c r="A5" s="298" t="s">
        <v>2295</v>
      </c>
      <c r="B5" s="253" t="s">
        <v>2296</v>
      </c>
      <c r="C5" s="254">
        <f ca="1">C6+C7+C8</f>
        <v>23232</v>
      </c>
      <c r="D5" s="254" t="s">
        <v>2297</v>
      </c>
      <c r="E5" s="255" t="s">
        <v>2298</v>
      </c>
      <c r="F5" s="255" t="s">
        <v>2299</v>
      </c>
      <c r="G5" s="256"/>
    </row>
    <row r="6" spans="1:8" s="257" customFormat="1" ht="13.5" customHeight="1">
      <c r="A6" s="947" t="s">
        <v>2300</v>
      </c>
      <c r="B6" s="258" t="s">
        <v>2301</v>
      </c>
      <c r="C6" s="259"/>
      <c r="D6" s="260"/>
      <c r="E6" s="261"/>
      <c r="F6" s="261"/>
      <c r="G6" s="262"/>
    </row>
    <row r="7" spans="1:8" s="257" customFormat="1" ht="13.5" customHeight="1">
      <c r="A7" s="947" t="s">
        <v>2302</v>
      </c>
      <c r="B7" s="258" t="s">
        <v>2303</v>
      </c>
      <c r="C7" s="263">
        <f>ROUND(C6*F7,0)</f>
        <v>0</v>
      </c>
      <c r="D7" s="263"/>
      <c r="E7" s="261"/>
      <c r="F7" s="264">
        <f>IF(项目基本情况!B8="出让",0,'数据-取费表'!B48+'数据-取费表'!B49)</f>
        <v>4.0500000000000001E-2</v>
      </c>
      <c r="G7" s="262"/>
    </row>
    <row r="8" spans="1:8" s="266" customFormat="1">
      <c r="A8" s="947" t="s">
        <v>2304</v>
      </c>
      <c r="B8" s="258" t="s">
        <v>2305</v>
      </c>
      <c r="C8" s="263">
        <f ca="1">IF(G8="已包含在土地购买价格中",0,C9+C10)</f>
        <v>23232</v>
      </c>
      <c r="D8" s="265"/>
      <c r="E8" s="263"/>
      <c r="F8" s="264"/>
      <c r="G8" s="2545"/>
    </row>
    <row r="9" spans="1:8" s="257" customFormat="1" ht="13.5" customHeight="1">
      <c r="A9" s="948" t="s">
        <v>799</v>
      </c>
      <c r="B9" s="267" t="s">
        <v>2306</v>
      </c>
      <c r="C9" s="268">
        <f ca="1">ROUND(D9*E9,0)</f>
        <v>23232</v>
      </c>
      <c r="D9" s="1030">
        <f ca="1">IF(B1="",'数据-汇总表'!E5,IF(INDIRECT("'数据-取费表'!c"&amp;$G$1)="住宅",INDIRECT("'数据-取费表'!k"&amp;$G$1),0))</f>
        <v>221.26</v>
      </c>
      <c r="E9" s="268">
        <f>'数据-取费表'!B27</f>
        <v>105</v>
      </c>
      <c r="F9" s="264"/>
      <c r="G9" s="269"/>
    </row>
    <row r="10" spans="1:8" s="257" customFormat="1" ht="13.5" customHeight="1">
      <c r="A10" s="948" t="s">
        <v>800</v>
      </c>
      <c r="B10" s="267" t="s">
        <v>2308</v>
      </c>
      <c r="C10" s="268">
        <f ca="1">ROUND(D10*E10,0)</f>
        <v>0</v>
      </c>
      <c r="D10" s="1030">
        <f ca="1">IF(B1="",'数据-汇总表'!E6,IF(INDIRECT("'数据-取费表'!c"&amp;$G$1)="住宅",INDIRECT("'数据-取费表'!s"&amp;$G$1),INDIRECT("'数据-取费表'!k"&amp;$G$1)+INDIRECT("'数据-取费表'!s"&amp;$G$1)))</f>
        <v>0</v>
      </c>
      <c r="E10" s="268">
        <f>'数据-取费表'!B28</f>
        <v>105</v>
      </c>
      <c r="F10" s="264"/>
      <c r="G10" s="269"/>
    </row>
    <row r="11" spans="1:8" s="257" customFormat="1" ht="13.5" hidden="1" customHeight="1">
      <c r="A11" s="270" t="s">
        <v>7</v>
      </c>
      <c r="B11" s="258" t="s">
        <v>2309</v>
      </c>
      <c r="C11" s="254"/>
      <c r="D11" s="1032"/>
      <c r="E11" s="261"/>
      <c r="F11" s="261"/>
      <c r="G11" s="262"/>
    </row>
    <row r="12" spans="1:8" s="257" customFormat="1" ht="13.5" hidden="1" customHeight="1">
      <c r="A12" s="270" t="s">
        <v>8</v>
      </c>
      <c r="B12" s="258" t="s">
        <v>2392</v>
      </c>
      <c r="C12" s="254">
        <v>0</v>
      </c>
      <c r="D12" s="1032"/>
      <c r="E12" s="271"/>
      <c r="F12" s="264">
        <v>3.0499999999999999E-2</v>
      </c>
      <c r="G12" s="262"/>
    </row>
    <row r="13" spans="1:8" s="257" customFormat="1" ht="13.5" hidden="1" customHeight="1">
      <c r="A13" s="270" t="s">
        <v>9</v>
      </c>
      <c r="B13" s="258" t="s">
        <v>2393</v>
      </c>
      <c r="C13" s="254"/>
      <c r="D13" s="1032"/>
      <c r="E13" s="261"/>
      <c r="F13" s="261"/>
      <c r="G13" s="262"/>
    </row>
    <row r="14" spans="1:8" s="257" customFormat="1" ht="13.5" hidden="1" customHeight="1">
      <c r="A14" s="270" t="s">
        <v>10</v>
      </c>
      <c r="B14" s="258" t="s">
        <v>2305</v>
      </c>
      <c r="C14" s="254"/>
      <c r="D14" s="1032"/>
      <c r="E14" s="261"/>
      <c r="F14" s="261"/>
      <c r="G14" s="262" t="s">
        <v>2394</v>
      </c>
    </row>
    <row r="15" spans="1:8" s="257" customFormat="1" ht="13.5" hidden="1" customHeight="1">
      <c r="A15" s="270" t="s">
        <v>11</v>
      </c>
      <c r="B15" s="258" t="s">
        <v>2395</v>
      </c>
      <c r="C15" s="263"/>
      <c r="D15" s="1032"/>
      <c r="E15" s="261"/>
      <c r="F15" s="261"/>
      <c r="G15" s="262" t="s">
        <v>2396</v>
      </c>
    </row>
    <row r="16" spans="1:8" s="257" customFormat="1" ht="13.5" hidden="1" customHeight="1">
      <c r="A16" s="270" t="s">
        <v>12</v>
      </c>
      <c r="B16" s="258" t="s">
        <v>2305</v>
      </c>
      <c r="C16" s="263"/>
      <c r="D16" s="1032"/>
      <c r="E16" s="261"/>
      <c r="F16" s="261"/>
      <c r="G16" s="262"/>
    </row>
    <row r="17" spans="1:7" s="257" customFormat="1" ht="13.5" hidden="1" customHeight="1">
      <c r="A17" s="270" t="s">
        <v>13</v>
      </c>
      <c r="B17" s="258" t="s">
        <v>2397</v>
      </c>
      <c r="C17" s="272"/>
      <c r="D17" s="1033"/>
      <c r="E17" s="272"/>
      <c r="F17" s="272"/>
      <c r="G17" s="262" t="s">
        <v>2396</v>
      </c>
    </row>
    <row r="18" spans="1:7" s="257" customFormat="1" ht="13.5" hidden="1" customHeight="1">
      <c r="A18" s="270" t="s">
        <v>14</v>
      </c>
      <c r="B18" s="258" t="s">
        <v>2398</v>
      </c>
      <c r="C18" s="263">
        <v>0</v>
      </c>
      <c r="D18" s="1032"/>
      <c r="E18" s="261"/>
      <c r="F18" s="264">
        <v>3.0499999999999999E-2</v>
      </c>
      <c r="G18" s="262" t="s">
        <v>2399</v>
      </c>
    </row>
    <row r="19" spans="1:7" s="266" customFormat="1" ht="13.5" customHeight="1">
      <c r="A19" s="298" t="s">
        <v>2400</v>
      </c>
      <c r="B19" s="253" t="s">
        <v>2401</v>
      </c>
      <c r="C19" s="254">
        <f ca="1">IF(G19="已包含在土地取得成本中","0",ROUND(D19*E19,0))</f>
        <v>0</v>
      </c>
      <c r="D19" s="1034">
        <f ca="1">D9+D10</f>
        <v>221.26</v>
      </c>
      <c r="E19" s="254">
        <f>'数据-取费表'!B31</f>
        <v>0</v>
      </c>
      <c r="F19" s="274"/>
      <c r="G19" s="2545"/>
    </row>
    <row r="20" spans="1:7" s="257" customFormat="1" ht="13.5" customHeight="1">
      <c r="A20" s="298" t="s">
        <v>2402</v>
      </c>
      <c r="B20" s="253" t="s">
        <v>2403</v>
      </c>
      <c r="C20" s="275">
        <f ca="1">ROUND((C5+C19)*F20,0)</f>
        <v>348</v>
      </c>
      <c r="D20" s="275"/>
      <c r="E20" s="275"/>
      <c r="F20" s="276">
        <f>'数据-取费表'!B37</f>
        <v>1.4999999999999999E-2</v>
      </c>
      <c r="G20" s="277" t="s">
        <v>2404</v>
      </c>
    </row>
    <row r="21" spans="1:7" s="257" customFormat="1" ht="13.5" customHeight="1">
      <c r="A21" s="298" t="s">
        <v>2405</v>
      </c>
      <c r="B21" s="253" t="s">
        <v>2406</v>
      </c>
      <c r="C21" s="278">
        <f>F21</f>
        <v>1.4999999999999999E-2</v>
      </c>
      <c r="D21" s="279" t="s">
        <v>2407</v>
      </c>
      <c r="E21" s="275"/>
      <c r="F21" s="276">
        <f>'数据-取费表'!B38</f>
        <v>1.4999999999999999E-2</v>
      </c>
      <c r="G21" s="277" t="s">
        <v>2408</v>
      </c>
    </row>
    <row r="22" spans="1:7" s="257" customFormat="1" ht="13.5" customHeight="1">
      <c r="A22" s="298" t="s">
        <v>2409</v>
      </c>
      <c r="B22" s="253" t="s">
        <v>2410</v>
      </c>
      <c r="C22" s="1378">
        <f ca="1">ROUND(SUM(C23:C25),0)</f>
        <v>2276</v>
      </c>
      <c r="D22" s="278">
        <f ca="1">C26</f>
        <v>6.9999999999999999E-4</v>
      </c>
      <c r="E22" s="279" t="s">
        <v>2407</v>
      </c>
      <c r="F22" s="280">
        <f ca="1">'数据-取费表'!B40</f>
        <v>4.7500000000000001E-2</v>
      </c>
      <c r="G22" s="277" t="str">
        <f>IF('数据-取费表'!B22&lt;=1,"单利计息","复利计息")</f>
        <v>复利计息</v>
      </c>
    </row>
    <row r="23" spans="1:7" s="257" customFormat="1" ht="13.5" customHeight="1">
      <c r="A23" s="949" t="s">
        <v>2300</v>
      </c>
      <c r="B23" s="258" t="s">
        <v>2411</v>
      </c>
      <c r="C23" s="1379">
        <f ca="1">ROUND(IF('数据-取费表'!B22&lt;=1,C5*F22*'数据-取费表'!B22,C5*(POWER((1+F22),'数据-取费表'!B22)-1)),0)</f>
        <v>2259</v>
      </c>
      <c r="D23" s="281"/>
      <c r="E23" s="281"/>
      <c r="F23" s="282"/>
      <c r="G23" s="283" t="s">
        <v>2412</v>
      </c>
    </row>
    <row r="24" spans="1:7" s="257" customFormat="1" ht="13.5" customHeight="1">
      <c r="A24" s="949" t="s">
        <v>2302</v>
      </c>
      <c r="B24" s="258" t="s">
        <v>2413</v>
      </c>
      <c r="C24" s="1379">
        <f ca="1">ROUND(IF('数据-取费表'!B22&lt;=1,C19*F22*('数据-取费表'!B19/2+'数据-取费表'!B20),C19*(POWER((1+F22),('数据-取费表'!B19/2+'数据-取费表'!B20))-1)),0)</f>
        <v>0</v>
      </c>
      <c r="D24" s="281"/>
      <c r="E24" s="281"/>
      <c r="F24" s="282"/>
      <c r="G24" s="283" t="s">
        <v>2414</v>
      </c>
    </row>
    <row r="25" spans="1:7" s="257" customFormat="1" ht="24">
      <c r="A25" s="949" t="s">
        <v>2304</v>
      </c>
      <c r="B25" s="258" t="s">
        <v>2415</v>
      </c>
      <c r="C25" s="1379">
        <f ca="1">ROUND(IF('数据-取费表'!B22&lt;=1,C20*F22*'数据-取费表'!B22/2,C20*(POWER((1+F22),'数据-取费表'!B22/2)-1)),0)</f>
        <v>17</v>
      </c>
      <c r="D25" s="281"/>
      <c r="E25" s="284"/>
      <c r="F25" s="282"/>
      <c r="G25" s="285" t="s">
        <v>2416</v>
      </c>
    </row>
    <row r="26" spans="1:7" s="257" customFormat="1">
      <c r="A26" s="949" t="s">
        <v>794</v>
      </c>
      <c r="B26" s="258" t="s">
        <v>2339</v>
      </c>
      <c r="C26" s="281">
        <f ca="1">ROUND(IF('数据-取费表'!B22&lt;=1,F21*F22*'数据-取费表'!B22/2,F21*(POWER((1+F22),'数据-取费表'!B22/2)-1)),4)</f>
        <v>6.9999999999999999E-4</v>
      </c>
      <c r="D26" s="281"/>
      <c r="E26" s="284"/>
      <c r="F26" s="282"/>
      <c r="G26" s="286"/>
    </row>
    <row r="27" spans="1:7" s="257" customFormat="1" ht="24.75">
      <c r="A27" s="298" t="s">
        <v>2340</v>
      </c>
      <c r="B27" s="287" t="s">
        <v>2341</v>
      </c>
      <c r="C27" s="288">
        <f ca="1">C28</f>
        <v>3537</v>
      </c>
      <c r="D27" s="278">
        <f ca="1">C29</f>
        <v>2.3E-3</v>
      </c>
      <c r="E27" s="279" t="s">
        <v>2342</v>
      </c>
      <c r="F27" s="289">
        <f ca="1">IF(B1="",'数据-取费表'!Q16,INDIRECT("'数据-取费表'!q"&amp;$G$1))</f>
        <v>0.15</v>
      </c>
      <c r="G27" s="290" t="s">
        <v>2343</v>
      </c>
    </row>
    <row r="28" spans="1:7" s="257" customFormat="1" ht="13.5" customHeight="1">
      <c r="A28" s="949" t="s">
        <v>790</v>
      </c>
      <c r="B28" s="291" t="s">
        <v>2344</v>
      </c>
      <c r="C28" s="292">
        <f ca="1">ROUND((C5+C19+C20)*F27,0)</f>
        <v>3537</v>
      </c>
      <c r="D28" s="278"/>
      <c r="E28" s="279"/>
      <c r="F28" s="289"/>
      <c r="G28" s="290"/>
    </row>
    <row r="29" spans="1:7" s="257" customFormat="1" ht="13.5" customHeight="1">
      <c r="A29" s="949" t="s">
        <v>791</v>
      </c>
      <c r="B29" s="291" t="s">
        <v>2345</v>
      </c>
      <c r="C29" s="281">
        <f ca="1">ROUND(C21*F27,4)</f>
        <v>2.3E-3</v>
      </c>
      <c r="D29" s="278"/>
      <c r="E29" s="279"/>
      <c r="F29" s="289"/>
      <c r="G29" s="290"/>
    </row>
    <row r="30" spans="1:7" s="257" customFormat="1" ht="13.5" customHeight="1">
      <c r="A30" s="298" t="s">
        <v>2346</v>
      </c>
      <c r="B30" s="253" t="s">
        <v>2347</v>
      </c>
      <c r="C30" s="278">
        <f>ROUND(F30/(1+'数据-取费表'!C42),4)</f>
        <v>5.33E-2</v>
      </c>
      <c r="D30" s="279" t="s">
        <v>2342</v>
      </c>
      <c r="E30" s="284"/>
      <c r="F30" s="280">
        <f>'数据-取费表'!B41</f>
        <v>5.6000000000000001E-2</v>
      </c>
      <c r="G30" s="277" t="s">
        <v>2348</v>
      </c>
    </row>
    <row r="31" spans="1:7" ht="16.5" customHeight="1">
      <c r="A31" s="252">
        <v>1</v>
      </c>
      <c r="B31" s="253" t="s">
        <v>2349</v>
      </c>
      <c r="C31" s="254">
        <f ca="1">ROUND((C5+C19+C20+C22+C27)/(1-C21-D22-D27-C30),0)</f>
        <v>31650</v>
      </c>
      <c r="D31" s="273"/>
      <c r="E31" s="254"/>
      <c r="F31" s="293"/>
      <c r="G31" s="277" t="s">
        <v>2350</v>
      </c>
    </row>
    <row r="32" spans="1:7" s="251" customFormat="1" ht="15.75">
      <c r="A32" s="295" t="s">
        <v>2417</v>
      </c>
      <c r="B32" s="296"/>
      <c r="C32" s="296"/>
      <c r="D32" s="296"/>
      <c r="E32" s="296"/>
      <c r="F32" s="296"/>
      <c r="G32" s="297"/>
    </row>
    <row r="33" spans="1:7" s="257" customFormat="1" ht="13.5" customHeight="1">
      <c r="A33" s="298" t="s">
        <v>781</v>
      </c>
      <c r="B33" s="253" t="s">
        <v>2418</v>
      </c>
      <c r="C33" s="299">
        <f ca="1">SUM(C34:C38)</f>
        <v>746752</v>
      </c>
      <c r="D33" s="275"/>
      <c r="E33" s="255"/>
      <c r="F33" s="284"/>
      <c r="G33" s="277"/>
    </row>
    <row r="34" spans="1:7" s="301" customFormat="1" ht="13.5" customHeight="1">
      <c r="A34" s="949" t="s">
        <v>790</v>
      </c>
      <c r="B34" s="258" t="s">
        <v>2353</v>
      </c>
      <c r="C34" s="263">
        <f ca="1">ROUND(IF(B1="",SUMPRODUCT('数据-取费表'!K6:K14,'数据-取费表'!L6:L14),INDIRECT("'数据-取费表'!l"&amp;$G$1)*INDIRECT("'数据-取费表'!k"&amp;$G$1)+'数据-取费表'!L14*INDIRECT("'数据-取费表'!S"&amp;$G$1)),0)</f>
        <v>663780</v>
      </c>
      <c r="D34" s="260"/>
      <c r="E34" s="263"/>
      <c r="F34" s="300"/>
      <c r="G34" s="262"/>
    </row>
    <row r="35" spans="1:7" ht="13.5" customHeight="1">
      <c r="A35" s="949" t="s">
        <v>795</v>
      </c>
      <c r="B35" s="258" t="s">
        <v>2355</v>
      </c>
      <c r="C35" s="263">
        <f ca="1">ROUND(C34*F35,0)</f>
        <v>19913</v>
      </c>
      <c r="D35" s="263"/>
      <c r="E35" s="263"/>
      <c r="F35" s="302">
        <f>'数据-取费表'!B33</f>
        <v>0.03</v>
      </c>
      <c r="G35" s="262" t="s">
        <v>2356</v>
      </c>
    </row>
    <row r="36" spans="1:7" ht="24">
      <c r="A36" s="949" t="s">
        <v>796</v>
      </c>
      <c r="B36" s="258" t="s">
        <v>2357</v>
      </c>
      <c r="C36" s="263">
        <f ca="1">ROUND(IF(B1="",SUM('数据-取费表'!AP6:AP13)*F36,IF(INDIRECT("'数据-取费表'!c"&amp;$G$1)="住宅",INDIRECT("'数据-取费表'!k"&amp;$G$1)*INDIRECT("'数据-取费表'!l"&amp;$G$1)*F36,0)),0)</f>
        <v>19913</v>
      </c>
      <c r="D36" s="263"/>
      <c r="E36" s="263"/>
      <c r="F36" s="302">
        <f>'数据-取费表'!B34</f>
        <v>0.03</v>
      </c>
      <c r="G36" s="303" t="s">
        <v>2358</v>
      </c>
    </row>
    <row r="37" spans="1:7" s="301" customFormat="1" ht="13.5" customHeight="1">
      <c r="A37" s="949" t="s">
        <v>797</v>
      </c>
      <c r="B37" s="258" t="s">
        <v>2359</v>
      </c>
      <c r="C37" s="292">
        <f ca="1">ROUND(E37*D37,0)</f>
        <v>33189</v>
      </c>
      <c r="D37" s="260">
        <f ca="1">D19</f>
        <v>221.26</v>
      </c>
      <c r="E37" s="292">
        <f>'数据-取费表'!B35</f>
        <v>150</v>
      </c>
      <c r="F37" s="302"/>
      <c r="G37" s="304"/>
    </row>
    <row r="38" spans="1:7" ht="13.5" customHeight="1">
      <c r="A38" s="949" t="s">
        <v>798</v>
      </c>
      <c r="B38" s="258" t="s">
        <v>2361</v>
      </c>
      <c r="C38" s="263">
        <f ca="1">ROUND(C34*F38,0)</f>
        <v>9957</v>
      </c>
      <c r="D38" s="263"/>
      <c r="E38" s="263"/>
      <c r="F38" s="302">
        <f>'数据-取费表'!B36</f>
        <v>1.4999999999999999E-2</v>
      </c>
      <c r="G38" s="262" t="s">
        <v>2356</v>
      </c>
    </row>
    <row r="39" spans="1:7" s="257" customFormat="1" ht="13.5" customHeight="1">
      <c r="A39" s="298" t="s">
        <v>2362</v>
      </c>
      <c r="B39" s="253" t="s">
        <v>2363</v>
      </c>
      <c r="C39" s="275">
        <f ca="1">ROUND(C33*F20,0)</f>
        <v>11201</v>
      </c>
      <c r="D39" s="275"/>
      <c r="E39" s="275"/>
      <c r="F39" s="276"/>
      <c r="G39" s="277" t="s">
        <v>2364</v>
      </c>
    </row>
    <row r="40" spans="1:7" s="257" customFormat="1" ht="13.5" customHeight="1">
      <c r="A40" s="298" t="s">
        <v>2365</v>
      </c>
      <c r="B40" s="253" t="s">
        <v>2366</v>
      </c>
      <c r="C40" s="1726">
        <f>F21</f>
        <v>1.4999999999999999E-2</v>
      </c>
      <c r="D40" s="279" t="s">
        <v>2367</v>
      </c>
      <c r="E40" s="275"/>
      <c r="F40" s="276"/>
      <c r="G40" s="277" t="s">
        <v>2368</v>
      </c>
    </row>
    <row r="41" spans="1:7" s="257" customFormat="1" ht="13.5" customHeight="1">
      <c r="A41" s="298" t="s">
        <v>2369</v>
      </c>
      <c r="B41" s="253" t="s">
        <v>2370</v>
      </c>
      <c r="C41" s="275">
        <f ca="1">ROUND(SUM(C42:C43),0)</f>
        <v>36003</v>
      </c>
      <c r="D41" s="278">
        <f ca="1">C44</f>
        <v>6.9999999999999999E-4</v>
      </c>
      <c r="E41" s="279" t="s">
        <v>2367</v>
      </c>
      <c r="F41" s="280"/>
      <c r="G41" s="277" t="str">
        <f>IF('数据-取费表'!B22&lt;=1,"单利计息","复利计息")</f>
        <v>复利计息</v>
      </c>
    </row>
    <row r="42" spans="1:7" ht="13.5" customHeight="1">
      <c r="A42" s="949" t="s">
        <v>790</v>
      </c>
      <c r="B42" s="258" t="s">
        <v>2371</v>
      </c>
      <c r="C42" s="281">
        <f ca="1">ROUND(IF('数据-取费表'!B22&lt;=1,C33*F22*'数据-取费表'!B20/2,C33*(POWER((1+F22),'数据-取费表'!B20/2)-1)),0)</f>
        <v>35471</v>
      </c>
      <c r="D42" s="281"/>
      <c r="E42" s="281"/>
      <c r="F42" s="282"/>
      <c r="G42" s="3185" t="s">
        <v>2419</v>
      </c>
    </row>
    <row r="43" spans="1:7" ht="13.5" customHeight="1">
      <c r="A43" s="949" t="s">
        <v>791</v>
      </c>
      <c r="B43" s="258" t="s">
        <v>2373</v>
      </c>
      <c r="C43" s="281">
        <f ca="1">ROUND(IF('数据-取费表'!B22&lt;=1,C39*F22*'数据-取费表'!B20/2,C39*(POWER((1+F22),'数据-取费表'!B20/2)-1)),0)</f>
        <v>532</v>
      </c>
      <c r="D43" s="281"/>
      <c r="E43" s="281"/>
      <c r="F43" s="282"/>
      <c r="G43" s="3186"/>
    </row>
    <row r="44" spans="1:7" ht="13.5" customHeight="1">
      <c r="A44" s="949" t="s">
        <v>792</v>
      </c>
      <c r="B44" s="258" t="s">
        <v>2374</v>
      </c>
      <c r="C44" s="281">
        <f ca="1">ROUND(IF('数据-取费表'!B22&lt;=1,C40*F22*'数据-取费表'!B20/2,C40*(POWER((1+F22),'数据-取费表'!B20/2)-1)),4)</f>
        <v>6.9999999999999999E-4</v>
      </c>
      <c r="D44" s="281"/>
      <c r="E44" s="281"/>
      <c r="F44" s="282"/>
      <c r="G44" s="3187"/>
    </row>
    <row r="45" spans="1:7" s="257" customFormat="1" ht="13.5" customHeight="1">
      <c r="A45" s="298" t="s">
        <v>2375</v>
      </c>
      <c r="B45" s="287" t="s">
        <v>2341</v>
      </c>
      <c r="C45" s="288">
        <f ca="1">C46</f>
        <v>113693</v>
      </c>
      <c r="D45" s="278">
        <f ca="1">C47</f>
        <v>2.3E-3</v>
      </c>
      <c r="E45" s="279" t="s">
        <v>2367</v>
      </c>
      <c r="F45" s="289"/>
      <c r="G45" s="290" t="s">
        <v>2376</v>
      </c>
    </row>
    <row r="46" spans="1:7" s="257" customFormat="1" ht="13.5" customHeight="1">
      <c r="A46" s="949" t="s">
        <v>790</v>
      </c>
      <c r="B46" s="291" t="s">
        <v>2377</v>
      </c>
      <c r="C46" s="292">
        <f ca="1">ROUND((C33+C39)*F27,0)</f>
        <v>113693</v>
      </c>
      <c r="D46" s="306"/>
      <c r="E46" s="279"/>
      <c r="F46" s="289"/>
      <c r="G46" s="290"/>
    </row>
    <row r="47" spans="1:7" s="257" customFormat="1" ht="13.5" customHeight="1">
      <c r="A47" s="949" t="s">
        <v>791</v>
      </c>
      <c r="B47" s="291" t="s">
        <v>2378</v>
      </c>
      <c r="C47" s="281">
        <f ca="1">ROUND(C40*F27,4)</f>
        <v>2.3E-3</v>
      </c>
      <c r="D47" s="306"/>
      <c r="E47" s="279"/>
      <c r="F47" s="289"/>
      <c r="G47" s="290"/>
    </row>
    <row r="48" spans="1:7" s="257" customFormat="1" ht="13.5" customHeight="1">
      <c r="A48" s="298" t="s">
        <v>2340</v>
      </c>
      <c r="B48" s="253" t="s">
        <v>2379</v>
      </c>
      <c r="C48" s="305">
        <f>ROUND(F30/(1+'数据-取费表'!C42),4)</f>
        <v>5.33E-2</v>
      </c>
      <c r="D48" s="279" t="s">
        <v>2367</v>
      </c>
      <c r="E48" s="275"/>
      <c r="F48" s="280"/>
      <c r="G48" s="277" t="s">
        <v>2380</v>
      </c>
    </row>
    <row r="49" spans="1:7" ht="16.5" customHeight="1">
      <c r="A49" s="298" t="s">
        <v>2346</v>
      </c>
      <c r="B49" s="253" t="s">
        <v>2420</v>
      </c>
      <c r="C49" s="275">
        <f ca="1">ROUND((C33+C39+C41+C45)/(1-C40-D41-D45-C48),0)</f>
        <v>977333</v>
      </c>
      <c r="D49" s="275"/>
      <c r="E49" s="275"/>
      <c r="F49" s="307"/>
      <c r="G49" s="277" t="s">
        <v>2382</v>
      </c>
    </row>
    <row r="50" spans="1:7" s="301" customFormat="1">
      <c r="A50" s="298" t="s">
        <v>2383</v>
      </c>
      <c r="B50" s="253" t="s">
        <v>2384</v>
      </c>
      <c r="C50" s="275"/>
      <c r="D50" s="275"/>
      <c r="E50" s="275"/>
      <c r="F50" s="307">
        <f>IF('数据-取费表'!B24=0,'数据-取费表'!N16,1)</f>
        <v>1</v>
      </c>
      <c r="G50" s="290"/>
    </row>
    <row r="51" spans="1:7" ht="16.5" customHeight="1">
      <c r="A51" s="298" t="s">
        <v>2386</v>
      </c>
      <c r="B51" s="253" t="s">
        <v>2421</v>
      </c>
      <c r="C51" s="275">
        <f ca="1">ROUND(C49*F50,0)</f>
        <v>977333</v>
      </c>
      <c r="D51" s="275"/>
      <c r="E51" s="275"/>
      <c r="F51" s="307"/>
      <c r="G51" s="277" t="s">
        <v>2388</v>
      </c>
    </row>
    <row r="52" spans="1:7" s="251" customFormat="1" ht="16.5" thickBot="1">
      <c r="A52" s="308" t="s">
        <v>2389</v>
      </c>
      <c r="B52" s="309"/>
      <c r="C52" s="310">
        <f ca="1">C31+C51</f>
        <v>1008983</v>
      </c>
      <c r="D52" s="309"/>
      <c r="E52" s="309"/>
      <c r="F52" s="309"/>
      <c r="G52" s="311"/>
    </row>
    <row r="55" spans="1:7" ht="15">
      <c r="B55" s="313" t="s">
        <v>2390</v>
      </c>
      <c r="C55" s="314"/>
    </row>
    <row r="56" spans="1:7">
      <c r="B56" s="316" t="s">
        <v>1506</v>
      </c>
      <c r="C56" s="318">
        <f ca="1">1-C57</f>
        <v>3.1000000000000028E-2</v>
      </c>
    </row>
    <row r="57" spans="1:7">
      <c r="B57" s="316" t="s">
        <v>1507</v>
      </c>
      <c r="C57" s="317">
        <f ca="1">ROUND(C51/C52,3)</f>
        <v>0.96899999999999997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9" sqref="M19"/>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2422</v>
      </c>
      <c r="B1" s="1579"/>
      <c r="C1" s="1580"/>
      <c r="D1" s="1578"/>
      <c r="E1" s="319"/>
      <c r="F1" s="319"/>
      <c r="G1" s="1579"/>
      <c r="H1" s="319"/>
      <c r="I1" s="319"/>
      <c r="J1" s="319"/>
      <c r="K1" s="319">
        <f>MATCH(C1,'数据-取费表'!A6:A16,0)+5</f>
        <v>7</v>
      </c>
    </row>
    <row r="2" spans="1:33" ht="18" customHeight="1">
      <c r="A2" s="244" t="s">
        <v>2290</v>
      </c>
      <c r="B2" s="247">
        <f ca="1">C32</f>
        <v>278</v>
      </c>
      <c r="C2" s="319" t="s">
        <v>2423</v>
      </c>
      <c r="D2" s="319"/>
      <c r="E2" s="319"/>
      <c r="F2" s="319"/>
      <c r="G2" s="319"/>
      <c r="H2" s="319"/>
      <c r="I2" s="319"/>
      <c r="J2" s="319"/>
      <c r="K2" s="319"/>
    </row>
    <row r="3" spans="1:33" ht="18" customHeight="1" thickBot="1">
      <c r="A3" s="246" t="s">
        <v>2292</v>
      </c>
      <c r="B3" s="247">
        <f ca="1">ROUND(B2*10000/IF(C1="",'数据-汇总表'!E3,INDIRECT("'数据-取费表'!K"&amp;$K$1)),0)</f>
        <v>12564</v>
      </c>
      <c r="C3" s="319" t="s">
        <v>2424</v>
      </c>
      <c r="D3" s="319"/>
      <c r="E3" s="319"/>
      <c r="F3" s="319"/>
      <c r="G3" s="319"/>
      <c r="H3" s="319"/>
      <c r="I3" s="319"/>
      <c r="J3" s="319"/>
      <c r="K3" s="319"/>
    </row>
    <row r="4" spans="1:33" s="954" customFormat="1" ht="16.5" customHeight="1">
      <c r="A4" s="951" t="s">
        <v>2425</v>
      </c>
      <c r="B4" s="952"/>
      <c r="C4" s="994">
        <f>SUM(C8:K8)</f>
        <v>442</v>
      </c>
      <c r="D4" s="952"/>
      <c r="E4" s="952"/>
      <c r="F4" s="952"/>
      <c r="G4" s="952"/>
      <c r="H4" s="952"/>
      <c r="I4" s="952"/>
      <c r="J4" s="952"/>
      <c r="K4" s="953"/>
    </row>
    <row r="5" spans="1:33" s="958" customFormat="1" ht="15">
      <c r="A5" s="955" t="s">
        <v>2426</v>
      </c>
      <c r="B5" s="956" t="s">
        <v>2427</v>
      </c>
      <c r="C5" s="2549" t="s">
        <v>3103</v>
      </c>
      <c r="D5" s="2549"/>
      <c r="E5" s="2549"/>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2428</v>
      </c>
      <c r="C6" s="960">
        <f>'比较法-住宅-高层'!B3</f>
        <v>19994</v>
      </c>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2429</v>
      </c>
      <c r="B7" s="139" t="s">
        <v>2430</v>
      </c>
      <c r="C7" s="320">
        <f>SUMIF('数据-汇总表'!$C19:$C33,假设开发法!C5,'数据-汇总表'!$E19:$E33)</f>
        <v>221.26</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2431</v>
      </c>
      <c r="B8" s="176" t="s">
        <v>2432</v>
      </c>
      <c r="C8" s="995">
        <f>'比较法-住宅-高层'!B2</f>
        <v>442</v>
      </c>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2433</v>
      </c>
      <c r="B9" s="952"/>
      <c r="C9" s="952"/>
      <c r="D9" s="952"/>
      <c r="E9" s="952"/>
      <c r="F9" s="952"/>
      <c r="G9" s="952"/>
      <c r="H9" s="952"/>
      <c r="I9" s="952"/>
      <c r="J9" s="952"/>
      <c r="K9" s="953"/>
    </row>
    <row r="10" spans="1:33" s="968" customFormat="1" ht="13.5" customHeight="1">
      <c r="A10" s="955" t="s">
        <v>2434</v>
      </c>
      <c r="B10" s="8" t="s">
        <v>2435</v>
      </c>
      <c r="C10" s="964" t="s">
        <v>2436</v>
      </c>
      <c r="D10" s="965" t="s">
        <v>2437</v>
      </c>
      <c r="E10" s="965" t="s">
        <v>2438</v>
      </c>
      <c r="F10" s="965" t="s">
        <v>2439</v>
      </c>
      <c r="G10" s="8"/>
      <c r="H10" s="966"/>
      <c r="I10" s="966"/>
      <c r="J10" s="966"/>
      <c r="K10" s="967"/>
    </row>
    <row r="11" spans="1:33" s="973" customFormat="1" ht="13.5" customHeight="1">
      <c r="A11" s="969" t="s">
        <v>1328</v>
      </c>
      <c r="B11" s="970" t="s">
        <v>2440</v>
      </c>
      <c r="C11" s="322">
        <f ca="1">IF(C1="",'数据-取费表'!P16,INDIRECT("'数据-取费表'!p"&amp;$K$1)+INDIRECT("'数据-取费表'!ar"&amp;$K$1))</f>
        <v>49</v>
      </c>
      <c r="D11" s="971"/>
      <c r="E11" s="374"/>
      <c r="F11" s="972">
        <f ca="1">1-IF('数据-取费表'!B24=0,1,IF(C1="",'数据-取费表'!N16,INDIRECT("'数据-取费表'!n"&amp;$K$1)))</f>
        <v>0.74</v>
      </c>
      <c r="G11" s="8"/>
      <c r="H11" s="966"/>
      <c r="I11" s="966"/>
      <c r="J11" s="966"/>
      <c r="K11" s="967"/>
    </row>
    <row r="12" spans="1:33" s="973" customFormat="1" ht="13.5" customHeight="1">
      <c r="A12" s="969" t="s">
        <v>1329</v>
      </c>
      <c r="B12" s="970" t="s">
        <v>2441</v>
      </c>
      <c r="C12" s="24">
        <f ca="1">ROUND(C11*F12,0)</f>
        <v>1</v>
      </c>
      <c r="D12" s="971"/>
      <c r="E12" s="374"/>
      <c r="F12" s="974">
        <f>'数据-取费表'!B33</f>
        <v>0.03</v>
      </c>
      <c r="G12" s="8" t="s">
        <v>2442</v>
      </c>
      <c r="H12" s="966"/>
      <c r="I12" s="966"/>
      <c r="J12" s="966"/>
      <c r="K12" s="967"/>
    </row>
    <row r="13" spans="1:33" s="973" customFormat="1" ht="13.5" customHeight="1">
      <c r="A13" s="969" t="s">
        <v>1330</v>
      </c>
      <c r="B13" s="970" t="s">
        <v>2443</v>
      </c>
      <c r="C13" s="24">
        <f ca="1">ROUND(IF(C1="",SUMIF('数据-取费表'!C:C,"住宅",'数据-取费表'!P:P)*F13,IF(INDIRECT("'数据-取费表'!c"&amp;$K$1)="住宅",INDIRECT("'数据-取费表'!P"&amp;$K$1)*F13,0)),0)</f>
        <v>1</v>
      </c>
      <c r="D13" s="1031"/>
      <c r="E13" s="374"/>
      <c r="F13" s="974">
        <f>'数据-取费表'!B34</f>
        <v>0.03</v>
      </c>
      <c r="G13" s="8" t="s">
        <v>2444</v>
      </c>
      <c r="H13" s="966"/>
      <c r="I13" s="966"/>
      <c r="J13" s="966"/>
      <c r="K13" s="967"/>
    </row>
    <row r="14" spans="1:33" s="975" customFormat="1" ht="13.5" customHeight="1">
      <c r="A14" s="969" t="s">
        <v>1331</v>
      </c>
      <c r="B14" s="970" t="s">
        <v>2445</v>
      </c>
      <c r="C14" s="24">
        <f ca="1">ROUND(D14*E14*F11/10000,0)</f>
        <v>2</v>
      </c>
      <c r="D14" s="1031">
        <f ca="1">IF(C1="",'数据-汇总表'!E3,INDIRECT("'数据-取费表'!K"&amp;$K$1)+INDIRECT("'数据-取费表'!S"&amp;$K$1))</f>
        <v>221.26</v>
      </c>
      <c r="E14" s="24">
        <f>'数据-取费表'!B35</f>
        <v>150</v>
      </c>
      <c r="F14" s="974"/>
      <c r="G14" s="8" t="s">
        <v>2446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1332</v>
      </c>
      <c r="B15" s="970" t="s">
        <v>2447</v>
      </c>
      <c r="C15" s="981">
        <f ca="1">ROUND(C11*F15,0)</f>
        <v>1</v>
      </c>
      <c r="D15" s="976"/>
      <c r="E15" s="981"/>
      <c r="F15" s="982">
        <f>'数据-取费表'!B36</f>
        <v>1.4999999999999999E-2</v>
      </c>
      <c r="G15" s="139" t="s">
        <v>2448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2449</v>
      </c>
      <c r="C16" s="981">
        <f ca="1">SUM(C11:C15)</f>
        <v>54</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2450</v>
      </c>
      <c r="C17" s="24">
        <f ca="1">ROUND(D17*E17/10000,0)</f>
        <v>3</v>
      </c>
      <c r="D17" s="1031">
        <f ca="1">D14</f>
        <v>221.26</v>
      </c>
      <c r="E17" s="24">
        <f>'数据-取费表'!B32</f>
        <v>150</v>
      </c>
      <c r="F17" s="976"/>
      <c r="G17" s="139" t="s">
        <v>2451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1333</v>
      </c>
      <c r="B18" s="970" t="s">
        <v>2452</v>
      </c>
      <c r="C18" s="24">
        <f ca="1">C19+C20-IF(C1="",'数据-取费表'!B29,IF(G18="已全部缴纳",C19+C20,H18))</f>
        <v>2</v>
      </c>
      <c r="D18" s="1031"/>
      <c r="E18" s="24"/>
      <c r="F18" s="974"/>
      <c r="G18" s="2551" t="s">
        <v>3290</v>
      </c>
      <c r="H18" s="1575"/>
      <c r="I18" s="2552" t="s">
        <v>2453</v>
      </c>
      <c r="J18" s="977"/>
      <c r="K18" s="978"/>
    </row>
    <row r="19" spans="1:33" s="973" customFormat="1" ht="13.5" customHeight="1">
      <c r="A19" s="969" t="s">
        <v>804</v>
      </c>
      <c r="B19" s="970" t="s">
        <v>2454</v>
      </c>
      <c r="C19" s="24">
        <f ca="1">ROUND(D19*E19/10000,0)</f>
        <v>2</v>
      </c>
      <c r="D19" s="1031">
        <f ca="1">IF(C1="",'数据-汇总表'!E5,IF(INDIRECT("'数据-取费表'!c"&amp;$K$1)="住宅",INDIRECT("'数据-取费表'!k"&amp;$K$1),0))</f>
        <v>221.26</v>
      </c>
      <c r="E19" s="24">
        <f>'数据-取费表'!B27</f>
        <v>105</v>
      </c>
      <c r="F19" s="974"/>
      <c r="G19" s="15"/>
      <c r="H19" s="1577"/>
      <c r="I19" s="979"/>
      <c r="J19" s="979"/>
      <c r="K19" s="980"/>
    </row>
    <row r="20" spans="1:33" s="973" customFormat="1" ht="13.5" customHeight="1">
      <c r="A20" s="969" t="s">
        <v>805</v>
      </c>
      <c r="B20" s="970" t="s">
        <v>2455</v>
      </c>
      <c r="C20" s="24">
        <f ca="1">ROUND(D20*E20/10000,0)</f>
        <v>0</v>
      </c>
      <c r="D20" s="1031">
        <f ca="1">IF(C1="",'数据-汇总表'!E6,IF(INDIRECT("'数据-取费表'!c"&amp;$K$1)="住宅",INDIRECT("'数据-取费表'!s"&amp;$K$1),INDIRECT("'数据-取费表'!k"&amp;$K$1)+INDIRECT("'数据-取费表'!s"&amp;$K$1)))</f>
        <v>0</v>
      </c>
      <c r="E20" s="24">
        <f>'数据-取费表'!B28</f>
        <v>105</v>
      </c>
      <c r="F20" s="974"/>
      <c r="G20" s="15"/>
      <c r="H20" s="979"/>
      <c r="I20" s="979"/>
      <c r="J20" s="979"/>
      <c r="K20" s="980"/>
    </row>
    <row r="21" spans="1:33" s="973" customFormat="1" ht="13.5" customHeight="1">
      <c r="A21" s="959" t="s">
        <v>801</v>
      </c>
      <c r="B21" s="983" t="s">
        <v>2456</v>
      </c>
      <c r="C21" s="984">
        <f ca="1">C16+C17+C18</f>
        <v>59</v>
      </c>
      <c r="D21" s="985"/>
      <c r="E21" s="324"/>
      <c r="F21" s="324"/>
      <c r="G21" s="139" t="s">
        <v>2457</v>
      </c>
      <c r="H21" s="977"/>
      <c r="I21" s="977"/>
      <c r="J21" s="977"/>
      <c r="K21" s="978"/>
    </row>
    <row r="22" spans="1:33" s="973" customFormat="1" ht="13.5" customHeight="1">
      <c r="A22" s="959" t="s">
        <v>2429</v>
      </c>
      <c r="B22" s="983" t="s">
        <v>2458</v>
      </c>
      <c r="C22" s="984">
        <f ca="1">ROUND(C21*F22,0)</f>
        <v>1</v>
      </c>
      <c r="D22" s="324"/>
      <c r="E22" s="324"/>
      <c r="F22" s="986">
        <f>'数据-取费表'!B37</f>
        <v>1.4999999999999999E-2</v>
      </c>
      <c r="G22" s="8" t="s">
        <v>2459</v>
      </c>
      <c r="H22" s="966"/>
      <c r="I22" s="966"/>
      <c r="J22" s="966"/>
      <c r="K22" s="967"/>
    </row>
    <row r="23" spans="1:33" s="973" customFormat="1" ht="13.5" customHeight="1">
      <c r="A23" s="959" t="s">
        <v>2431</v>
      </c>
      <c r="B23" s="983" t="s">
        <v>2460</v>
      </c>
      <c r="C23" s="984">
        <f ca="1">ROUND(C4*F23*F11,0)</f>
        <v>5</v>
      </c>
      <c r="D23" s="324"/>
      <c r="E23" s="324"/>
      <c r="F23" s="986">
        <f>'数据-取费表'!B38</f>
        <v>1.4999999999999999E-2</v>
      </c>
      <c r="G23" s="8" t="s">
        <v>2461</v>
      </c>
      <c r="H23" s="966"/>
      <c r="I23" s="966"/>
      <c r="J23" s="966"/>
      <c r="K23" s="967"/>
    </row>
    <row r="24" spans="1:33" s="973" customFormat="1" ht="13.5" customHeight="1">
      <c r="A24" s="959" t="s">
        <v>2462</v>
      </c>
      <c r="B24" s="983" t="s">
        <v>2463</v>
      </c>
      <c r="C24" s="323">
        <f>ROUND(F24/(1+'数据-取费表'!C42),4)</f>
        <v>3.8600000000000002E-2</v>
      </c>
      <c r="D24" s="324" t="s">
        <v>15</v>
      </c>
      <c r="E24" s="324"/>
      <c r="F24" s="986">
        <f>IF(项目基本情况!B8="出让",0,'数据-取费表'!B48+'数据-取费表'!B49)</f>
        <v>4.0500000000000001E-2</v>
      </c>
      <c r="G24" s="8" t="s">
        <v>2464</v>
      </c>
      <c r="H24" s="988"/>
      <c r="I24" s="988"/>
      <c r="J24" s="988"/>
      <c r="K24" s="989"/>
    </row>
    <row r="25" spans="1:33" s="973" customFormat="1" ht="13.5" customHeight="1">
      <c r="A25" s="959" t="s">
        <v>2465</v>
      </c>
      <c r="B25" s="985" t="s">
        <v>2466</v>
      </c>
      <c r="C25" s="1354">
        <f ca="1">C27</f>
        <v>2</v>
      </c>
      <c r="D25" s="323">
        <f ca="1">C26</f>
        <v>7.3800000000000004E-2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2467</v>
      </c>
      <c r="C26" s="1355">
        <f ca="1">ROUND(IF('数据-取费表'!B22&lt;=1,(1+C24)*F25*'数据-取费表'!B24,(1+C24)*(POWER((1+F25),'数据-取费表'!B24)-1)),4)</f>
        <v>7.3800000000000004E-2</v>
      </c>
      <c r="D26" s="327"/>
      <c r="E26" s="328"/>
      <c r="F26" s="329"/>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2468</v>
      </c>
      <c r="C27" s="1356">
        <f ca="1">ROUND(IF('数据-取费表'!B22&lt;=1,(C21+C22+C23)*F25*'数据-取费表'!B24/2,(C21+C22+C23)*(POWER((1+F25),'数据-取费表'!B24/2)-1)),0)</f>
        <v>2</v>
      </c>
      <c r="D27" s="327"/>
      <c r="E27" s="328"/>
      <c r="F27" s="329"/>
      <c r="G27" s="2553" t="str">
        <f>IF('数据-取费表'!B22&lt;=1,"（1）-（3）项×年利率×建设期÷2","（1）-（3）项×((1+年利率)^(建设期÷2)-1)")</f>
        <v>（1）-（3）项×((1+年利率)^(建设期÷2)-1)</v>
      </c>
      <c r="H27" s="977"/>
      <c r="I27" s="977"/>
      <c r="J27" s="977"/>
      <c r="K27" s="978"/>
    </row>
    <row r="28" spans="1:33" s="332" customFormat="1" ht="13.5" customHeight="1">
      <c r="A28" s="959" t="s">
        <v>2469</v>
      </c>
      <c r="B28" s="2554" t="s">
        <v>2470</v>
      </c>
      <c r="C28" s="330">
        <f ca="1">C30</f>
        <v>10</v>
      </c>
      <c r="D28" s="323">
        <f ca="1">C29</f>
        <v>0.1153</v>
      </c>
      <c r="E28" s="325" t="s">
        <v>15</v>
      </c>
      <c r="F28" s="331">
        <f ca="1">IF(C1="",'数据-取费表'!Q16,INDIRECT("'数据-取费表'!q"&amp;$K$1))</f>
        <v>0.15</v>
      </c>
      <c r="G28" s="987"/>
      <c r="H28" s="988"/>
      <c r="I28" s="988"/>
      <c r="J28" s="988"/>
      <c r="K28" s="989"/>
    </row>
    <row r="29" spans="1:33" s="334" customFormat="1" ht="13.5" customHeight="1">
      <c r="A29" s="969" t="s">
        <v>802</v>
      </c>
      <c r="B29" s="992" t="s">
        <v>2471</v>
      </c>
      <c r="C29" s="327">
        <f ca="1">ROUND((1+C24)*F28*'数据-取费表'!B24/'数据-取费表'!B20,4)</f>
        <v>0.1153</v>
      </c>
      <c r="D29" s="327"/>
      <c r="E29" s="328"/>
      <c r="F29" s="333"/>
      <c r="G29" s="139" t="s">
        <v>2472</v>
      </c>
      <c r="H29" s="977"/>
      <c r="I29" s="977"/>
      <c r="J29" s="977"/>
      <c r="K29" s="978"/>
    </row>
    <row r="30" spans="1:33" s="334" customFormat="1" ht="13.5" customHeight="1">
      <c r="A30" s="969" t="s">
        <v>803</v>
      </c>
      <c r="B30" s="992" t="s">
        <v>2473</v>
      </c>
      <c r="C30" s="335">
        <f ca="1">ROUND((C21+C22+C23)*F28,0)</f>
        <v>10</v>
      </c>
      <c r="D30" s="327"/>
      <c r="E30" s="328"/>
      <c r="F30" s="333"/>
      <c r="G30" s="139"/>
      <c r="H30" s="977"/>
      <c r="I30" s="977"/>
      <c r="J30" s="977"/>
      <c r="K30" s="978"/>
    </row>
    <row r="31" spans="1:33" s="973" customFormat="1" ht="13.5" customHeight="1" thickBot="1">
      <c r="A31" s="2555" t="s">
        <v>2474</v>
      </c>
      <c r="B31" s="1003" t="s">
        <v>2475</v>
      </c>
      <c r="C31" s="1004">
        <f>ROUND(C4*F31/(1+'数据-取费表'!C42),0)</f>
        <v>24</v>
      </c>
      <c r="D31" s="1005"/>
      <c r="E31" s="1006"/>
      <c r="F31" s="1007">
        <f>'数据-取费表'!B41</f>
        <v>5.6000000000000001E-2</v>
      </c>
      <c r="G31" s="1008" t="s">
        <v>2476</v>
      </c>
      <c r="H31" s="1009"/>
      <c r="I31" s="1009"/>
      <c r="J31" s="1009"/>
      <c r="K31" s="1010"/>
    </row>
    <row r="32" spans="1:33" s="968" customFormat="1" ht="13.5" customHeight="1" thickBot="1">
      <c r="A32" s="998" t="s">
        <v>2477</v>
      </c>
      <c r="B32" s="999"/>
      <c r="C32" s="1000">
        <f ca="1">ROUND((C4-C21-C22-C23-C25-C28-C31)/(1+C24+D25+D28),0)</f>
        <v>278</v>
      </c>
      <c r="D32" s="999"/>
      <c r="E32" s="999"/>
      <c r="F32" s="999"/>
      <c r="G32" s="1001" t="s">
        <v>2478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1582</v>
      </c>
      <c r="B1" s="781"/>
      <c r="C1" s="1835"/>
      <c r="D1" s="1818"/>
      <c r="E1" s="1819" t="s">
        <v>1380</v>
      </c>
      <c r="F1" s="1281">
        <f ca="1">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t="e">
        <f ca="1">C40+J29+L46</f>
        <v>#DIV/0!</v>
      </c>
      <c r="C2" s="1843" t="s">
        <v>1509</v>
      </c>
      <c r="D2" s="1843"/>
      <c r="E2" s="1844"/>
      <c r="F2" s="1845"/>
      <c r="G2" s="1846"/>
      <c r="H2" s="1838"/>
      <c r="I2" s="1838"/>
      <c r="J2" s="1838"/>
      <c r="K2" s="1839"/>
      <c r="L2" s="1838"/>
      <c r="M2" s="1838"/>
    </row>
    <row r="3" spans="1:37" ht="18" customHeight="1" thickBot="1">
      <c r="A3" s="1847" t="s">
        <v>1510</v>
      </c>
      <c r="B3" s="1848">
        <f ca="1">IF(ISERROR(B2*10000/F43),0,ROUND(B2*10000/F43,0))</f>
        <v>0</v>
      </c>
      <c r="C3" s="1843" t="s">
        <v>1511</v>
      </c>
      <c r="D3" s="1843"/>
      <c r="E3" s="1844"/>
      <c r="F3" s="1845"/>
      <c r="G3" s="1846"/>
      <c r="H3" s="743" t="s">
        <v>1581</v>
      </c>
      <c r="I3" s="1838"/>
      <c r="J3" s="1838"/>
      <c r="K3" s="1839"/>
      <c r="L3" s="1838"/>
      <c r="M3" s="1838"/>
    </row>
    <row r="4" spans="1:37" ht="18" customHeight="1">
      <c r="A4" s="339" t="s">
        <v>1389</v>
      </c>
      <c r="B4" s="340" t="s">
        <v>1390</v>
      </c>
      <c r="C4" s="340" t="s">
        <v>1391</v>
      </c>
      <c r="D4" s="340" t="s">
        <v>1392</v>
      </c>
      <c r="E4" s="341" t="s">
        <v>1393</v>
      </c>
      <c r="F4" s="342"/>
      <c r="G4" s="1849"/>
      <c r="H4" s="339" t="s">
        <v>1389</v>
      </c>
      <c r="I4" s="340" t="s">
        <v>1390</v>
      </c>
      <c r="J4" s="340" t="s">
        <v>1391</v>
      </c>
      <c r="K4" s="340" t="s">
        <v>1392</v>
      </c>
      <c r="L4" s="341" t="s">
        <v>1393</v>
      </c>
      <c r="M4" s="342"/>
    </row>
    <row r="5" spans="1:37" ht="18" customHeight="1">
      <c r="A5" s="343">
        <v>1</v>
      </c>
      <c r="B5" s="344" t="s">
        <v>1394</v>
      </c>
      <c r="C5" s="1290">
        <f ca="1">C6+C10+C12</f>
        <v>0</v>
      </c>
      <c r="D5" s="1820" t="s">
        <v>1395</v>
      </c>
      <c r="E5" s="1291"/>
      <c r="F5" s="1292"/>
      <c r="G5" s="1849"/>
      <c r="H5" s="343">
        <v>1</v>
      </c>
      <c r="I5" s="344" t="s">
        <v>1394</v>
      </c>
      <c r="J5" s="1290">
        <f ca="1">J6+J10+J12</f>
        <v>0</v>
      </c>
      <c r="K5" s="1820" t="s">
        <v>1395</v>
      </c>
      <c r="L5" s="1291"/>
      <c r="M5" s="1292"/>
    </row>
    <row r="6" spans="1:37" ht="18" customHeight="1">
      <c r="A6" s="1289" t="s">
        <v>1030</v>
      </c>
      <c r="B6" s="3190" t="s">
        <v>1396</v>
      </c>
      <c r="C6" s="1294">
        <f ca="1">ROUND(F6*F8*F7*(1-F9)/10000,0)</f>
        <v>0</v>
      </c>
      <c r="D6" s="163" t="s">
        <v>2992</v>
      </c>
      <c r="E6" s="346" t="s">
        <v>1398</v>
      </c>
      <c r="F6" s="347">
        <f ca="1">INDIRECT("'数据-取费表'!u"&amp;$G$1)</f>
        <v>0</v>
      </c>
      <c r="G6" s="1849"/>
      <c r="H6" s="1289" t="s">
        <v>1030</v>
      </c>
      <c r="I6" s="3190" t="s">
        <v>1396</v>
      </c>
      <c r="J6" s="345">
        <f ca="1">ROUND(M6*M8*M7*(1-M9)/10000,0)</f>
        <v>0</v>
      </c>
      <c r="K6" s="163" t="s">
        <v>2991</v>
      </c>
      <c r="L6" s="346" t="s">
        <v>1398</v>
      </c>
      <c r="M6" s="347">
        <f ca="1">INDIRECT("'数据-取费表'!z"&amp;$G$1)</f>
        <v>0</v>
      </c>
    </row>
    <row r="7" spans="1:37" ht="18" customHeight="1">
      <c r="A7" s="1293"/>
      <c r="B7" s="3191"/>
      <c r="C7" s="1295"/>
      <c r="D7" s="351"/>
      <c r="E7" s="1296" t="s">
        <v>1399</v>
      </c>
      <c r="F7" s="347">
        <f ca="1">IF(INDIRECT("'数据-取费表'!ah"&amp;$G$1)="",INDIRECT("'数据-取费表'!k"&amp;$G$1),INDIRECT("'数据-取费表'!ah"&amp;$G$1))</f>
        <v>0</v>
      </c>
      <c r="G7" s="1849"/>
      <c r="H7" s="348"/>
      <c r="I7" s="3191"/>
      <c r="J7" s="350"/>
      <c r="K7" s="351"/>
      <c r="L7" s="346" t="s">
        <v>1399</v>
      </c>
      <c r="M7" s="347">
        <f ca="1">F7</f>
        <v>0</v>
      </c>
    </row>
    <row r="8" spans="1:37" ht="18" customHeight="1">
      <c r="A8" s="348"/>
      <c r="B8" s="3191"/>
      <c r="C8" s="350"/>
      <c r="D8" s="351"/>
      <c r="E8" s="346" t="s">
        <v>1400</v>
      </c>
      <c r="F8" s="347">
        <f ca="1">INDIRECT("'数据-取费表'!ai"&amp;$G$1)</f>
        <v>0</v>
      </c>
      <c r="G8" s="1849"/>
      <c r="H8" s="348"/>
      <c r="I8" s="3191"/>
      <c r="J8" s="350"/>
      <c r="K8" s="351"/>
      <c r="L8" s="346" t="s">
        <v>1400</v>
      </c>
      <c r="M8" s="347">
        <f ca="1">INDIRECT("'数据-取费表'!ai"&amp;$G$1)</f>
        <v>0</v>
      </c>
    </row>
    <row r="9" spans="1:37" ht="18" customHeight="1">
      <c r="A9" s="348"/>
      <c r="B9" s="3192"/>
      <c r="C9" s="350"/>
      <c r="D9" s="351"/>
      <c r="E9" s="346" t="s">
        <v>1401</v>
      </c>
      <c r="F9" s="356">
        <f ca="1">INDIRECT("'数据-取费表'!w"&amp;$G$1)</f>
        <v>0</v>
      </c>
      <c r="G9" s="1849"/>
      <c r="H9" s="348"/>
      <c r="I9" s="3192"/>
      <c r="J9" s="350"/>
      <c r="K9" s="351"/>
      <c r="L9" s="357" t="s">
        <v>1401</v>
      </c>
      <c r="M9" s="358">
        <f ca="1">INDIRECT("'数据-取费表'!ab"&amp;$G$1)</f>
        <v>0</v>
      </c>
    </row>
    <row r="10" spans="1:37" ht="18" customHeight="1">
      <c r="A10" s="1289" t="s">
        <v>1034</v>
      </c>
      <c r="B10" s="1821" t="s">
        <v>1402</v>
      </c>
      <c r="C10" s="360">
        <f ca="1">ROUND(IF(F10="押一",C6/12*F11,IF(F10="押二",C6/12*2*F11,IF(F10="押三",C6/12*3*F11,C11*F11))),0)</f>
        <v>0</v>
      </c>
      <c r="D10" s="1822" t="s">
        <v>3001</v>
      </c>
      <c r="E10" s="357" t="s">
        <v>1403</v>
      </c>
      <c r="F10" s="1364"/>
      <c r="G10" s="1849"/>
      <c r="H10" s="1289" t="s">
        <v>1034</v>
      </c>
      <c r="I10" s="1821" t="s">
        <v>1402</v>
      </c>
      <c r="J10" s="345">
        <f ca="1">ROUND(IF(M10="押一",J6/12*M11,IF(M10="押二",J6/12*2*M11,IF(M10="押三",J6/12*3*M11,J11*M11))),0)</f>
        <v>0</v>
      </c>
      <c r="K10" s="1822" t="s">
        <v>3000</v>
      </c>
      <c r="L10" s="357" t="s">
        <v>1403</v>
      </c>
      <c r="M10" s="1364" t="s">
        <v>1404</v>
      </c>
    </row>
    <row r="11" spans="1:37" ht="18" customHeight="1">
      <c r="A11" s="352"/>
      <c r="B11" s="1823" t="s">
        <v>1381</v>
      </c>
      <c r="C11" s="1176"/>
      <c r="D11" s="1824"/>
      <c r="E11" s="357" t="s">
        <v>1405</v>
      </c>
      <c r="F11" s="358">
        <f ca="1">'数据-取费表'!B39</f>
        <v>1.4999999999999999E-2</v>
      </c>
      <c r="G11" s="1849"/>
      <c r="H11" s="1297"/>
      <c r="I11" s="1823" t="s">
        <v>1381</v>
      </c>
      <c r="J11" s="1176"/>
      <c r="K11" s="747"/>
      <c r="L11" s="357" t="s">
        <v>1405</v>
      </c>
      <c r="M11" s="1054">
        <f ca="1">'数据-取费表'!B39</f>
        <v>1.4999999999999999E-2</v>
      </c>
    </row>
    <row r="12" spans="1:37" ht="18" customHeight="1" thickBot="1">
      <c r="A12" s="1331" t="s">
        <v>1070</v>
      </c>
      <c r="B12" s="1825" t="s">
        <v>1406</v>
      </c>
      <c r="C12" s="1332"/>
      <c r="D12" s="1333"/>
      <c r="E12" s="1338"/>
      <c r="F12" s="1334"/>
      <c r="G12" s="1849"/>
      <c r="H12" s="1331" t="s">
        <v>1070</v>
      </c>
      <c r="I12" s="1825"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9"/>
      <c r="H13" s="1327">
        <v>2</v>
      </c>
      <c r="I13" s="1328" t="s">
        <v>1407</v>
      </c>
      <c r="J13" s="1288">
        <f ca="1">ROUND(J14*J15,0)</f>
        <v>0</v>
      </c>
      <c r="K13" s="1335" t="s">
        <v>1408</v>
      </c>
      <c r="L13" s="1850"/>
      <c r="M13" s="1851"/>
    </row>
    <row r="14" spans="1:37" ht="18" customHeight="1">
      <c r="A14" s="1199" t="s">
        <v>1029</v>
      </c>
      <c r="B14" s="346" t="s">
        <v>1410</v>
      </c>
      <c r="C14" s="362">
        <f ca="1">INDIRECT("'数据-取费表'!m"&amp;$G$1)+INDIRECT("'数据-取费表'!t"&amp;$G$1)</f>
        <v>0</v>
      </c>
      <c r="D14" s="1798" t="s">
        <v>1411</v>
      </c>
      <c r="E14" s="1792"/>
      <c r="F14" s="363"/>
      <c r="G14" s="1849"/>
      <c r="H14" s="1199" t="s">
        <v>1030</v>
      </c>
      <c r="I14" s="346" t="s">
        <v>1412</v>
      </c>
      <c r="J14" s="24">
        <f ca="1">C29</f>
        <v>0</v>
      </c>
      <c r="K14" s="15"/>
      <c r="L14" s="977"/>
      <c r="M14" s="978"/>
    </row>
    <row r="15" spans="1:37" s="1856" customFormat="1" ht="18" customHeight="1" thickBot="1">
      <c r="A15" s="1199" t="s">
        <v>1031</v>
      </c>
      <c r="B15" s="346" t="s">
        <v>1413</v>
      </c>
      <c r="C15" s="24">
        <f ca="1">ROUND(C14*F15,0)</f>
        <v>0</v>
      </c>
      <c r="D15" s="364" t="s">
        <v>1414</v>
      </c>
      <c r="E15" s="364" t="s">
        <v>1415</v>
      </c>
      <c r="F15" s="365">
        <f>'数据-取费表'!B33</f>
        <v>0.03</v>
      </c>
      <c r="G15" s="1852"/>
      <c r="H15" s="1337" t="s">
        <v>1034</v>
      </c>
      <c r="I15" s="1338" t="s">
        <v>1409</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1382</v>
      </c>
      <c r="B16" s="346" t="s">
        <v>1416</v>
      </c>
      <c r="C16" s="24">
        <f ca="1">ROUND(INDIRECT("'数据-取费表'!m"&amp;$G$1)*F16,0)</f>
        <v>0</v>
      </c>
      <c r="D16" s="346" t="s">
        <v>1414</v>
      </c>
      <c r="E16" s="346" t="s">
        <v>1415</v>
      </c>
      <c r="F16" s="366">
        <f ca="1">IF(INDIRECT("'数据-取费表'!c"&amp;$G$1)="住宅",'数据-取费表'!B34,0)</f>
        <v>0.03</v>
      </c>
      <c r="G16" s="1849"/>
      <c r="H16" s="1327" t="s">
        <v>1025</v>
      </c>
      <c r="I16" s="1328" t="s">
        <v>1417</v>
      </c>
      <c r="J16" s="354">
        <f ca="1">ROUND(J17+J22+J23+J24,0)</f>
        <v>0</v>
      </c>
      <c r="K16" s="1335" t="s">
        <v>1418</v>
      </c>
      <c r="L16" s="1336"/>
      <c r="M16" s="1292"/>
    </row>
    <row r="17" spans="1:37" s="1856" customFormat="1" ht="18" customHeight="1">
      <c r="A17" s="1199" t="s">
        <v>1383</v>
      </c>
      <c r="B17" s="346" t="s">
        <v>1419</v>
      </c>
      <c r="C17" s="24">
        <f ca="1">ROUND(F17*(F43+INDIRECT("'数据-取费表'!S"&amp;$G$1))/10000,0)</f>
        <v>0</v>
      </c>
      <c r="D17" s="346" t="s">
        <v>1420</v>
      </c>
      <c r="E17" s="346" t="s">
        <v>1421</v>
      </c>
      <c r="F17" s="26">
        <f>'数据-取费表'!B35</f>
        <v>150</v>
      </c>
      <c r="G17" s="1852"/>
      <c r="H17" s="1199" t="s">
        <v>1030</v>
      </c>
      <c r="I17" s="346" t="s">
        <v>1422</v>
      </c>
      <c r="J17" s="24">
        <f ca="1">ROUND(IF(项目基本情况!B11="自然人",J6*M17/(1+'数据-取费表'!C42),J18+J19+J20),1)</f>
        <v>0</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1384</v>
      </c>
      <c r="B18" s="346" t="s">
        <v>1425</v>
      </c>
      <c r="C18" s="24">
        <f ca="1">ROUND(C14*F18,0)</f>
        <v>0</v>
      </c>
      <c r="D18" s="346" t="s">
        <v>1414</v>
      </c>
      <c r="E18" s="346" t="s">
        <v>1415</v>
      </c>
      <c r="F18" s="366">
        <f>'数据-取费表'!B36</f>
        <v>1.4999999999999999E-2</v>
      </c>
      <c r="G18" s="1852"/>
      <c r="H18" s="1199" t="s">
        <v>1029</v>
      </c>
      <c r="I18" s="346" t="s">
        <v>1426</v>
      </c>
      <c r="J18" s="24">
        <f ca="1">ROUND(J6*M18/(1+'数据-取费表'!C42),2)</f>
        <v>0</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1030</v>
      </c>
      <c r="B19" s="346" t="s">
        <v>1428</v>
      </c>
      <c r="C19" s="24">
        <f ca="1">SUM(C14:C18)</f>
        <v>0</v>
      </c>
      <c r="D19" s="139" t="s">
        <v>1429</v>
      </c>
      <c r="E19" s="1816"/>
      <c r="F19" s="26"/>
      <c r="G19" s="1849"/>
      <c r="H19" s="1199" t="s">
        <v>1031</v>
      </c>
      <c r="I19" s="346" t="s">
        <v>1430</v>
      </c>
      <c r="J19" s="24">
        <f ca="1">IF(K19="按租金收入计税",ROUND(J6*M19/(1+'数据-取费表'!C42),2),ROUND(C29*M19*0.7,2))</f>
        <v>0</v>
      </c>
      <c r="K19" s="1826" t="s">
        <v>1431</v>
      </c>
      <c r="L19" s="346" t="s">
        <v>1415</v>
      </c>
      <c r="M19" s="366">
        <f>IF(K19="按租金收入计税",'数据-取费表'!B51,'数据-取费表'!B50)</f>
        <v>1.2E-2</v>
      </c>
    </row>
    <row r="20" spans="1:37" s="1856" customFormat="1" ht="18" customHeight="1">
      <c r="A20" s="1199" t="s">
        <v>1034</v>
      </c>
      <c r="B20" s="346" t="s">
        <v>1432</v>
      </c>
      <c r="C20" s="24">
        <f ca="1">ROUND(C19*F20,0)</f>
        <v>0</v>
      </c>
      <c r="D20" s="368" t="s">
        <v>1433</v>
      </c>
      <c r="E20" s="346" t="s">
        <v>1415</v>
      </c>
      <c r="F20" s="366">
        <f>'数据-取费表'!B37</f>
        <v>1.4999999999999999E-2</v>
      </c>
      <c r="G20" s="1852"/>
      <c r="H20" s="1199" t="s">
        <v>1382</v>
      </c>
      <c r="I20" s="163" t="s">
        <v>1434</v>
      </c>
      <c r="J20" s="25">
        <f ca="1">ROUND(M20*M21/10000,2)</f>
        <v>0</v>
      </c>
      <c r="K20" s="369" t="s">
        <v>1435</v>
      </c>
      <c r="L20" s="346" t="s">
        <v>1436</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1070</v>
      </c>
      <c r="B21" s="346" t="s">
        <v>1437</v>
      </c>
      <c r="C21" s="24" t="s">
        <v>18</v>
      </c>
      <c r="D21" s="368" t="s">
        <v>1438</v>
      </c>
      <c r="E21" s="346" t="s">
        <v>1439</v>
      </c>
      <c r="F21" s="366">
        <f>'数据-取费表'!B38</f>
        <v>1.4999999999999999E-2</v>
      </c>
      <c r="G21" s="1852"/>
      <c r="H21" s="371"/>
      <c r="I21" s="355"/>
      <c r="J21" s="29"/>
      <c r="K21" s="372"/>
      <c r="L21" s="346" t="s">
        <v>1440</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1385</v>
      </c>
      <c r="B22" s="346" t="s">
        <v>1441</v>
      </c>
      <c r="C22" s="24"/>
      <c r="D22" s="139" t="str">
        <f>IF(F23&lt;=1,"单利计息。","复利计息。")&amp;"建造成本、管理费用、销售费用产生的利息。"</f>
        <v>复利计息。建造成本、管理费用、销售费用产生的利息。</v>
      </c>
      <c r="E22" s="1816"/>
      <c r="F22" s="26"/>
      <c r="G22" s="1849"/>
      <c r="H22" s="1199" t="s">
        <v>1034</v>
      </c>
      <c r="I22" s="346" t="s">
        <v>1442</v>
      </c>
      <c r="J22" s="24">
        <f ca="1">ROUND(J14*M22,1)</f>
        <v>0</v>
      </c>
      <c r="K22" s="1796" t="s">
        <v>1443</v>
      </c>
      <c r="L22" s="346" t="s">
        <v>1415</v>
      </c>
      <c r="M22" s="373">
        <f ca="1">INDIRECT("'数据-取费表'!Ak"&amp;$G$1)</f>
        <v>0</v>
      </c>
    </row>
    <row r="23" spans="1:37" s="1856" customFormat="1" ht="18" customHeight="1">
      <c r="A23" s="1199" t="s">
        <v>1029</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2"/>
      <c r="H23" s="1199" t="s">
        <v>1070</v>
      </c>
      <c r="I23" s="346" t="s">
        <v>1446</v>
      </c>
      <c r="J23" s="24">
        <f ca="1">ROUND(J13*M23,1)</f>
        <v>0</v>
      </c>
      <c r="K23" s="1796" t="s">
        <v>1447</v>
      </c>
      <c r="L23" s="346" t="s">
        <v>1448</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6.9999999999999999E-4</v>
      </c>
      <c r="D24" s="374" t="str">
        <f>IF(F23&lt;=1,"销售费用×利率×(建设周期÷2)","销售费用×((1+利率)^(建设周期÷2)-1)")</f>
        <v>销售费用×((1+利率)^(建设周期÷2)-1)</v>
      </c>
      <c r="E24" s="346" t="s">
        <v>1451</v>
      </c>
      <c r="F24" s="376">
        <f ca="1">'数据-取费表'!B40</f>
        <v>4.7500000000000001E-2</v>
      </c>
      <c r="G24" s="1852"/>
      <c r="H24" s="1337" t="s">
        <v>1386</v>
      </c>
      <c r="I24" s="1338" t="s">
        <v>1432</v>
      </c>
      <c r="J24" s="1339">
        <f ca="1">ROUND(J5*M24,1)</f>
        <v>0</v>
      </c>
      <c r="K24" s="1340" t="s">
        <v>1452</v>
      </c>
      <c r="L24" s="1338" t="s">
        <v>1448</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1453</v>
      </c>
      <c r="B25" s="346" t="s">
        <v>1454</v>
      </c>
      <c r="C25" s="24"/>
      <c r="D25" s="139" t="s">
        <v>1455</v>
      </c>
      <c r="E25" s="1816"/>
      <c r="F25" s="26"/>
      <c r="G25" s="1849"/>
      <c r="H25" s="1327" t="s">
        <v>1026</v>
      </c>
      <c r="I25" s="1342" t="s">
        <v>1456</v>
      </c>
      <c r="J25" s="354">
        <f ca="1">J5-J16</f>
        <v>0</v>
      </c>
      <c r="K25" s="1343" t="s">
        <v>1457</v>
      </c>
      <c r="L25" s="1344"/>
      <c r="M25" s="1345"/>
    </row>
    <row r="26" spans="1:37">
      <c r="A26" s="1199" t="s">
        <v>1029</v>
      </c>
      <c r="B26" s="346" t="s">
        <v>1458</v>
      </c>
      <c r="C26" s="24">
        <f ca="1">ROUND((C19+C20)*F26,0)</f>
        <v>0</v>
      </c>
      <c r="D26" s="368" t="s">
        <v>1459</v>
      </c>
      <c r="E26" s="357" t="s">
        <v>1460</v>
      </c>
      <c r="F26" s="356">
        <f ca="1">INDIRECT("'数据-取费表'!q"&amp;$G$1)</f>
        <v>0.15</v>
      </c>
      <c r="G26" s="1849"/>
      <c r="H26" s="343" t="s">
        <v>1027</v>
      </c>
      <c r="I26" s="344" t="s">
        <v>1461</v>
      </c>
      <c r="J26" s="345">
        <f ca="1">IF(J5&lt;&gt;0,ROUND(J25*(1-((1+M28)/(1+M26))^M27)/(M26-M28),0),0)</f>
        <v>0</v>
      </c>
      <c r="K26" s="369" t="s">
        <v>1462</v>
      </c>
      <c r="L26" s="346" t="s">
        <v>1463</v>
      </c>
      <c r="M26" s="356">
        <f ca="1">INDIRECT("'数据-取费表'!I"&amp;$G$1)</f>
        <v>0.05</v>
      </c>
    </row>
    <row r="27" spans="1:37" ht="18" customHeight="1">
      <c r="A27" s="1199" t="s">
        <v>1031</v>
      </c>
      <c r="B27" s="346" t="s">
        <v>1464</v>
      </c>
      <c r="C27" s="24">
        <f ca="1">ROUND(F21*F26,4)</f>
        <v>2.3E-3</v>
      </c>
      <c r="D27" s="368" t="s">
        <v>1465</v>
      </c>
      <c r="E27" s="364"/>
      <c r="F27" s="365"/>
      <c r="G27" s="1849"/>
      <c r="H27" s="348"/>
      <c r="I27" s="349"/>
      <c r="J27" s="350"/>
      <c r="K27" s="377" t="s">
        <v>1466</v>
      </c>
      <c r="L27" s="346" t="s">
        <v>1467</v>
      </c>
      <c r="M27" s="378">
        <f ca="1">INDIRECT("'数据-取费表'!ag"&amp;$G$1)</f>
        <v>0</v>
      </c>
    </row>
    <row r="28" spans="1:37" s="1856" customFormat="1" ht="18" customHeight="1">
      <c r="A28" s="1199" t="s">
        <v>1032</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1033</v>
      </c>
      <c r="B29" s="1338" t="s">
        <v>1471</v>
      </c>
      <c r="C29" s="1339">
        <f ca="1">ROUND((C19+C20+C23+C26)/(1-F21-C24-C27-C28),0)</f>
        <v>0</v>
      </c>
      <c r="D29" s="1340"/>
      <c r="E29" s="1338"/>
      <c r="F29" s="1341"/>
      <c r="G29" s="1852"/>
      <c r="H29" s="379" t="s">
        <v>1028</v>
      </c>
      <c r="I29" s="380" t="s">
        <v>1472</v>
      </c>
      <c r="J29" s="381">
        <f ca="1">ROUND(J26/(1+F40)^F41,0)</f>
        <v>0</v>
      </c>
      <c r="K29" s="382" t="s">
        <v>1473</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1025</v>
      </c>
      <c r="B30" s="1328" t="s">
        <v>1417</v>
      </c>
      <c r="C30" s="354">
        <f ca="1">ROUND(C31+C36+C37+C38,0)</f>
        <v>0</v>
      </c>
      <c r="D30" s="1335" t="s">
        <v>1418</v>
      </c>
      <c r="E30" s="1336"/>
      <c r="F30" s="1292"/>
      <c r="G30" s="1849"/>
      <c r="H30" s="744"/>
      <c r="I30" s="745"/>
      <c r="J30" s="746"/>
      <c r="K30" s="747"/>
      <c r="L30" s="748"/>
      <c r="M30" s="749"/>
    </row>
    <row r="31" spans="1:37" ht="18" customHeight="1">
      <c r="A31" s="1199" t="s">
        <v>1030</v>
      </c>
      <c r="B31" s="346" t="s">
        <v>1422</v>
      </c>
      <c r="C31" s="24">
        <f ca="1">ROUND(IF(项目基本情况!B11="自然人",C6*F31/(1+'数据-取费表'!C42),C32+C33+C34),1)</f>
        <v>0</v>
      </c>
      <c r="D31" s="1798" t="s">
        <v>1423</v>
      </c>
      <c r="E31" s="1796" t="s">
        <v>1474</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1029</v>
      </c>
      <c r="B32" s="346" t="s">
        <v>1426</v>
      </c>
      <c r="C32" s="24">
        <f ca="1">IF(项目基本情况!B11="自然人","——",ROUND(C6*F32/(1+'数据-取费表'!C42),2))</f>
        <v>0</v>
      </c>
      <c r="D32" s="1796" t="s">
        <v>1427</v>
      </c>
      <c r="E32" s="346" t="s">
        <v>1415</v>
      </c>
      <c r="F32" s="376">
        <f>'数据-取费表'!B41</f>
        <v>5.6000000000000001E-2</v>
      </c>
      <c r="G32" s="1849"/>
      <c r="H32" s="744"/>
      <c r="I32" s="745"/>
      <c r="J32" s="746"/>
      <c r="K32" s="747"/>
      <c r="L32" s="748"/>
      <c r="M32" s="749"/>
    </row>
    <row r="33" spans="1:18" ht="18" customHeight="1">
      <c r="A33" s="1199" t="s">
        <v>1031</v>
      </c>
      <c r="B33" s="346" t="s">
        <v>1430</v>
      </c>
      <c r="C33" s="24">
        <f ca="1">IF(项目基本情况!B11="自然人","——",IF(D33="按租金收入计税",ROUND(C6*F33/(1+'数据-取费表'!C42),2),IF(D33="按房产原值计税",ROUND(C29*F33*0.7,2),INDIRECT("'数据-取费表'!Aj"&amp;$G$1))))</f>
        <v>0</v>
      </c>
      <c r="D33" s="1826" t="s">
        <v>1431</v>
      </c>
      <c r="E33" s="346" t="s">
        <v>1415</v>
      </c>
      <c r="F33" s="366">
        <f>IF(D33="按票据","——",IF(D33="按租金收入计税",'数据-取费表'!B51,'数据-取费表'!B50))</f>
        <v>1.2E-2</v>
      </c>
      <c r="G33" s="1849"/>
      <c r="H33" s="1857"/>
      <c r="I33" s="1858"/>
      <c r="J33" s="1859"/>
      <c r="K33" s="1860"/>
      <c r="L33" s="1857"/>
      <c r="M33" s="1857"/>
    </row>
    <row r="34" spans="1:18" ht="18" customHeight="1">
      <c r="A34" s="1289" t="s">
        <v>1382</v>
      </c>
      <c r="B34" s="163" t="s">
        <v>1434</v>
      </c>
      <c r="C34" s="25">
        <f ca="1">IF(项目基本情况!B11="自然人","——",ROUND(F34*F35/10000,2))</f>
        <v>0</v>
      </c>
      <c r="D34" s="369" t="s">
        <v>1435</v>
      </c>
      <c r="E34" s="346" t="s">
        <v>1436</v>
      </c>
      <c r="F34" s="370">
        <f>'数据-取费表'!B52</f>
        <v>4</v>
      </c>
      <c r="G34" s="1849"/>
      <c r="H34" s="744"/>
      <c r="I34" s="1858"/>
      <c r="J34" s="1859"/>
      <c r="K34" s="1861"/>
      <c r="L34" s="1862"/>
      <c r="M34" s="1862"/>
    </row>
    <row r="35" spans="1:18" ht="18" customHeight="1">
      <c r="A35" s="1351"/>
      <c r="B35" s="1349"/>
      <c r="C35" s="29"/>
      <c r="D35" s="372"/>
      <c r="E35" s="346" t="s">
        <v>1440</v>
      </c>
      <c r="F35" s="347">
        <f ca="1">INDIRECT("'数据-取费表'!r"&amp;$G$1)</f>
        <v>0</v>
      </c>
      <c r="G35" s="1849"/>
      <c r="H35" s="744"/>
      <c r="I35" s="1858"/>
      <c r="J35" s="1859"/>
      <c r="K35" s="1860"/>
      <c r="L35" s="1857"/>
      <c r="M35" s="1857"/>
    </row>
    <row r="36" spans="1:18" ht="18" customHeight="1">
      <c r="A36" s="1350" t="s">
        <v>1034</v>
      </c>
      <c r="B36" s="346" t="s">
        <v>1442</v>
      </c>
      <c r="C36" s="24">
        <f ca="1">ROUND(C29*F36,1)</f>
        <v>0</v>
      </c>
      <c r="D36" s="1796" t="s">
        <v>1475</v>
      </c>
      <c r="E36" s="346" t="s">
        <v>1415</v>
      </c>
      <c r="F36" s="373">
        <f ca="1">INDIRECT("'数据-取费表'!Ak"&amp;$G$1)</f>
        <v>0</v>
      </c>
      <c r="G36" s="1849"/>
      <c r="H36" s="1857"/>
      <c r="I36" s="1858"/>
      <c r="J36" s="1859"/>
      <c r="K36" s="750"/>
      <c r="L36" s="1857"/>
      <c r="M36" s="1857"/>
    </row>
    <row r="37" spans="1:18" ht="18" customHeight="1">
      <c r="A37" s="1199" t="s">
        <v>1070</v>
      </c>
      <c r="B37" s="346" t="s">
        <v>1446</v>
      </c>
      <c r="C37" s="24">
        <f ca="1">ROUND(C13*F37,1)</f>
        <v>0</v>
      </c>
      <c r="D37" s="1796" t="s">
        <v>1447</v>
      </c>
      <c r="E37" s="346" t="s">
        <v>1448</v>
      </c>
      <c r="F37" s="375">
        <f ca="1">INDIRECT("'数据-取费表'!Al"&amp;$G$1)</f>
        <v>0</v>
      </c>
      <c r="G37" s="1849"/>
      <c r="H37" s="1857"/>
      <c r="I37" s="1858"/>
      <c r="J37" s="1859"/>
      <c r="K37" s="750"/>
      <c r="L37" s="1857"/>
      <c r="M37" s="1857"/>
    </row>
    <row r="38" spans="1:18" ht="18" customHeight="1" thickBot="1">
      <c r="A38" s="1337" t="s">
        <v>1386</v>
      </c>
      <c r="B38" s="1338" t="s">
        <v>1432</v>
      </c>
      <c r="C38" s="1339">
        <f ca="1">ROUND(C5*F38,1)</f>
        <v>0</v>
      </c>
      <c r="D38" s="1340" t="s">
        <v>1452</v>
      </c>
      <c r="E38" s="1338" t="s">
        <v>1448</v>
      </c>
      <c r="F38" s="1334">
        <f ca="1">INDIRECT("'数据-取费表'!Am"&amp;$G$1)</f>
        <v>0</v>
      </c>
      <c r="G38" s="1849"/>
      <c r="H38" s="1857"/>
      <c r="I38" s="1858"/>
      <c r="J38" s="1859"/>
      <c r="K38" s="1863"/>
      <c r="L38" s="1857"/>
      <c r="M38" s="1857"/>
    </row>
    <row r="39" spans="1:18" ht="24.6" customHeight="1" thickTop="1">
      <c r="A39" s="1327" t="s">
        <v>1026</v>
      </c>
      <c r="B39" s="1342" t="s">
        <v>1476</v>
      </c>
      <c r="C39" s="354">
        <f ca="1">C5-C30</f>
        <v>0</v>
      </c>
      <c r="D39" s="1343" t="s">
        <v>1477</v>
      </c>
      <c r="E39" s="1344"/>
      <c r="F39" s="1345"/>
      <c r="G39" s="1849"/>
      <c r="H39" s="1857"/>
      <c r="I39" s="1858"/>
      <c r="J39" s="1859"/>
      <c r="K39" s="1863"/>
      <c r="L39" s="1857"/>
      <c r="M39" s="1857"/>
    </row>
    <row r="40" spans="1:18" ht="18" customHeight="1">
      <c r="A40" s="343" t="s">
        <v>1027</v>
      </c>
      <c r="B40" s="344" t="s">
        <v>1478</v>
      </c>
      <c r="C40" s="345">
        <f ca="1">ROUND(C39*(1-((1+F42)/(1+F40))^F41)/(F40-F42),0)</f>
        <v>0</v>
      </c>
      <c r="D40" s="369" t="s">
        <v>1462</v>
      </c>
      <c r="E40" s="346" t="s">
        <v>1463</v>
      </c>
      <c r="F40" s="356">
        <f ca="1">INDIRECT("'数据-取费表'!I"&amp;$G$1)</f>
        <v>0.05</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1470</v>
      </c>
      <c r="F42" s="356">
        <f ca="1">INDIRECT("'数据-取费表'!v"&amp;$G$1)</f>
        <v>0</v>
      </c>
      <c r="G42" s="1849"/>
      <c r="H42" s="731"/>
      <c r="I42" s="1858"/>
      <c r="J42" s="1859"/>
      <c r="K42" s="750"/>
      <c r="L42" s="731"/>
      <c r="M42" s="731"/>
    </row>
    <row r="43" spans="1:18" ht="18" customHeight="1" thickBot="1">
      <c r="A43" s="379" t="s">
        <v>1028</v>
      </c>
      <c r="B43" s="380" t="s">
        <v>1480</v>
      </c>
      <c r="C43" s="381" t="e">
        <f ca="1">ROUND(C40*10000/F43,0)</f>
        <v>#DIV/0!</v>
      </c>
      <c r="D43" s="382" t="s">
        <v>1481</v>
      </c>
      <c r="E43" s="383" t="s">
        <v>1482</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f ca="1">C68-C40</f>
        <v>0</v>
      </c>
      <c r="D46" s="1870" t="str">
        <f>C2</f>
        <v>万元</v>
      </c>
      <c r="E46" s="1864"/>
      <c r="F46" s="1864"/>
      <c r="I46" s="1871" t="s">
        <v>1514</v>
      </c>
      <c r="J46" s="1872"/>
      <c r="K46" s="1873"/>
      <c r="L46" s="1874" t="e">
        <f ca="1">IF(M47="住宅",0,IF(L48&gt;J51,L60,J60))</f>
        <v>#DIV/0!</v>
      </c>
      <c r="O46" s="1875" t="s">
        <v>1515</v>
      </c>
      <c r="P46" s="1876" t="s">
        <v>1516</v>
      </c>
      <c r="Q46" s="1877" t="s">
        <v>1517</v>
      </c>
      <c r="R46" s="1877" t="s">
        <v>1518</v>
      </c>
    </row>
    <row r="47" spans="1:18" s="1840" customFormat="1" ht="13.5" thickBot="1">
      <c r="A47" s="1163" t="s">
        <v>1389</v>
      </c>
      <c r="B47" s="1195" t="s">
        <v>1390</v>
      </c>
      <c r="C47" s="1365" t="s">
        <v>1391</v>
      </c>
      <c r="D47" s="1195" t="s">
        <v>1392</v>
      </c>
      <c r="E47" s="1277" t="s">
        <v>1393</v>
      </c>
      <c r="F47" s="1278"/>
      <c r="G47" s="791"/>
      <c r="I47" s="1878" t="s">
        <v>1519</v>
      </c>
      <c r="J47" s="1879"/>
      <c r="K47" s="1880" t="s">
        <v>1520</v>
      </c>
      <c r="L47" s="1881">
        <f ca="1">INDIRECT("'数据-取费表'!d"&amp;$G$1)</f>
        <v>70</v>
      </c>
      <c r="M47" s="1836" t="str">
        <f>IF(ISNUMBER(FIND("住宅",C1)),"住宅","非住宅")</f>
        <v>非住宅</v>
      </c>
      <c r="O47" s="1882" t="s">
        <v>1035</v>
      </c>
      <c r="P47" s="1883" t="s">
        <v>1521</v>
      </c>
      <c r="Q47" s="1884">
        <f ca="1">C40+J29</f>
        <v>0</v>
      </c>
      <c r="R47" s="1884" t="s">
        <v>1522</v>
      </c>
    </row>
    <row r="48" spans="1:18" s="1840" customFormat="1" ht="28.5" thickBot="1">
      <c r="A48" s="1358" t="s">
        <v>1130</v>
      </c>
      <c r="B48" s="344" t="s">
        <v>1394</v>
      </c>
      <c r="C48" s="1815">
        <f ca="1">C49+C53+C55</f>
        <v>0</v>
      </c>
      <c r="D48" s="1360"/>
      <c r="E48" s="1361"/>
      <c r="F48" s="1179"/>
      <c r="G48" s="791"/>
      <c r="H48" s="792"/>
      <c r="I48" s="1885" t="s">
        <v>1523</v>
      </c>
      <c r="J48" s="1886"/>
      <c r="K48" s="1887" t="s">
        <v>1524</v>
      </c>
      <c r="L48" s="1888">
        <f ca="1">INDIRECT("'数据-取费表'!f"&amp;$G$1)</f>
        <v>69.150000000000006</v>
      </c>
      <c r="O48" s="1882" t="s">
        <v>1036</v>
      </c>
      <c r="P48" s="1883" t="s">
        <v>1525</v>
      </c>
      <c r="Q48" s="1884" t="str">
        <f ca="1">J60</f>
        <v>0</v>
      </c>
      <c r="R48" s="1884" t="s">
        <v>1526</v>
      </c>
    </row>
    <row r="49" spans="1:18" s="1840" customFormat="1" ht="13.5" thickBot="1">
      <c r="A49" s="1192" t="s">
        <v>1131</v>
      </c>
      <c r="B49" s="1827" t="s">
        <v>1483</v>
      </c>
      <c r="C49" s="1362">
        <f ca="1">ROUND(F49*F51*F50*(1-F52)/10000,0)</f>
        <v>0</v>
      </c>
      <c r="D49" s="1274" t="s">
        <v>2993</v>
      </c>
      <c r="E49" s="1828" t="s">
        <v>1484</v>
      </c>
      <c r="F49" s="1279"/>
      <c r="G49" s="1889"/>
      <c r="H49" s="792"/>
      <c r="I49" s="1885" t="s">
        <v>1527</v>
      </c>
      <c r="J49" s="1890"/>
      <c r="K49" s="1887" t="s">
        <v>1528</v>
      </c>
      <c r="L49" s="1891"/>
      <c r="O49" s="1892" t="s">
        <v>1037</v>
      </c>
      <c r="P49" s="1883" t="s">
        <v>1529</v>
      </c>
      <c r="Q49" s="1884">
        <f ca="1">C29</f>
        <v>0</v>
      </c>
      <c r="R49" s="1884" t="s">
        <v>1522</v>
      </c>
    </row>
    <row r="50" spans="1:18" s="1840" customFormat="1" ht="13.5" thickBot="1">
      <c r="A50" s="1193"/>
      <c r="B50" s="1196"/>
      <c r="C50" s="1366"/>
      <c r="D50" s="1170"/>
      <c r="E50" s="1275" t="s">
        <v>1399</v>
      </c>
      <c r="F50" s="1276">
        <f ca="1">F7</f>
        <v>0</v>
      </c>
      <c r="H50" s="792"/>
      <c r="I50" s="1885" t="s">
        <v>1530</v>
      </c>
      <c r="J50" s="1893">
        <f>SUMPRODUCT((I63:I65=J47)*(J62:L62=J48)*(J63:L65))</f>
        <v>0</v>
      </c>
      <c r="K50" s="1887" t="s">
        <v>1531</v>
      </c>
      <c r="L50" s="1891"/>
      <c r="M50" s="1894"/>
      <c r="O50" s="1892" t="s">
        <v>1038</v>
      </c>
      <c r="P50" s="1883" t="s">
        <v>1532</v>
      </c>
      <c r="Q50" s="1895" t="e">
        <f ca="1">J58</f>
        <v>#VALUE!</v>
      </c>
      <c r="R50" s="1884"/>
    </row>
    <row r="51" spans="1:18" s="1840" customFormat="1" ht="13.5" thickBot="1">
      <c r="A51" s="1194"/>
      <c r="B51" s="1196"/>
      <c r="C51" s="1197"/>
      <c r="D51" s="1170"/>
      <c r="E51" s="1198" t="s">
        <v>1400</v>
      </c>
      <c r="F51" s="347">
        <f ca="1">F8</f>
        <v>0</v>
      </c>
      <c r="I51" s="1896" t="s">
        <v>1533</v>
      </c>
      <c r="J51" s="1897">
        <f>IF(J49="",J50,J49+J50-YEAR('数据-取费表'!B2))</f>
        <v>0</v>
      </c>
      <c r="K51" s="1898" t="s">
        <v>1534</v>
      </c>
      <c r="L51" s="1899">
        <f ca="1">ROUND(-PV(INDIRECT("'数据-取费表'!h"&amp;$G$1),L48,(C39-C13*C76),0),0)</f>
        <v>0</v>
      </c>
      <c r="M51" s="1900"/>
      <c r="O51" s="1892" t="s">
        <v>1039</v>
      </c>
      <c r="P51" s="1883" t="s">
        <v>1535</v>
      </c>
      <c r="Q51" s="1895">
        <f>J52</f>
        <v>0</v>
      </c>
      <c r="R51" s="1884"/>
    </row>
    <row r="52" spans="1:18" s="1840" customFormat="1" ht="13.5" thickBot="1">
      <c r="A52" s="1194"/>
      <c r="B52" s="1196"/>
      <c r="C52" s="1197"/>
      <c r="D52" s="1170"/>
      <c r="E52" s="1198" t="s">
        <v>1401</v>
      </c>
      <c r="F52" s="1273"/>
      <c r="I52" s="1901" t="s">
        <v>1536</v>
      </c>
      <c r="J52" s="1902"/>
      <c r="K52" s="1901" t="s">
        <v>1537</v>
      </c>
      <c r="L52" s="1902"/>
      <c r="O52" s="1892" t="s">
        <v>1040</v>
      </c>
      <c r="P52" s="1883" t="s">
        <v>1538</v>
      </c>
      <c r="Q52" s="1884">
        <f ca="1">J53</f>
        <v>0</v>
      </c>
      <c r="R52" s="1884" t="s">
        <v>1539</v>
      </c>
    </row>
    <row r="53" spans="1:18" s="1840" customFormat="1" ht="24.75" thickBot="1">
      <c r="A53" s="1403" t="s">
        <v>1132</v>
      </c>
      <c r="B53" s="1829" t="s">
        <v>1402</v>
      </c>
      <c r="C53" s="360">
        <f ca="1">ROUND(IF(F53="押一",C49/12*F11,IF(F53="押二",C49/12*2*F11,IF(F53="押三",C49/12*3*F11,C54*F11))),0)</f>
        <v>0</v>
      </c>
      <c r="D53" s="1822" t="s">
        <v>3000</v>
      </c>
      <c r="E53" s="357" t="s">
        <v>1403</v>
      </c>
      <c r="F53" s="1364"/>
      <c r="I53" s="1903" t="s">
        <v>1540</v>
      </c>
      <c r="J53" s="2944">
        <f ca="1">IF(M47="住宅",IF(D1="——",MAX(J51,L48),MAX(J51,L48-'数据-取费表'!B24)),IF(D1="——",MIN(J51,L48),MIN(J51,L48-'数据-取费表'!B24)))</f>
        <v>0</v>
      </c>
      <c r="K53" s="3188" t="s">
        <v>1541</v>
      </c>
      <c r="L53" s="3189"/>
      <c r="O53" s="1882" t="s">
        <v>1041</v>
      </c>
      <c r="P53" s="1883" t="s">
        <v>1542</v>
      </c>
      <c r="Q53" s="1884">
        <f ca="1">Q47+Q48</f>
        <v>0</v>
      </c>
      <c r="R53" s="1884" t="s">
        <v>1042</v>
      </c>
    </row>
    <row r="54" spans="1:18" s="1840" customFormat="1" ht="13.5" thickBot="1">
      <c r="A54" s="1404"/>
      <c r="B54" s="1823" t="s">
        <v>1381</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1543</v>
      </c>
      <c r="P54" s="1837"/>
      <c r="Q54" s="1837"/>
      <c r="R54" s="1837"/>
    </row>
    <row r="55" spans="1:18" s="1840" customFormat="1" ht="13.5" thickBot="1">
      <c r="A55" s="1331" t="s">
        <v>1070</v>
      </c>
      <c r="B55" s="1825" t="s">
        <v>1406</v>
      </c>
      <c r="C55" s="1332"/>
      <c r="D55" s="1822"/>
      <c r="E55" s="1830"/>
      <c r="F55" s="1904"/>
      <c r="I55" s="1907" t="s">
        <v>1544</v>
      </c>
      <c r="J55" s="1908" t="e">
        <f ca="1">ROUND(IF(J47="钢混",J57/J50,1-(1-2%)*(J50-J57)/J50),3)</f>
        <v>#VALUE!</v>
      </c>
      <c r="K55" s="1909" t="s">
        <v>1545</v>
      </c>
      <c r="L55" s="1910" t="s">
        <v>1546</v>
      </c>
      <c r="O55" s="1875" t="s">
        <v>1515</v>
      </c>
      <c r="P55" s="1876" t="s">
        <v>1516</v>
      </c>
      <c r="Q55" s="1877" t="s">
        <v>1517</v>
      </c>
      <c r="R55" s="1877" t="s">
        <v>1518</v>
      </c>
    </row>
    <row r="56" spans="1:18" s="1840" customFormat="1" ht="25.5" thickTop="1" thickBot="1">
      <c r="A56" s="1174">
        <v>2</v>
      </c>
      <c r="B56" s="1175" t="s">
        <v>1407</v>
      </c>
      <c r="C56" s="275">
        <f ca="1">C13</f>
        <v>0</v>
      </c>
      <c r="D56" s="1911"/>
      <c r="E56" s="1912"/>
      <c r="F56" s="1904"/>
      <c r="I56" s="1913" t="s">
        <v>1547</v>
      </c>
      <c r="J56" s="1914"/>
      <c r="K56" s="1885" t="s">
        <v>1548</v>
      </c>
      <c r="L56" s="1888">
        <f ca="1">IF(L48&lt;J51,"——",L48-J53)</f>
        <v>69.150000000000006</v>
      </c>
      <c r="O56" s="1882" t="s">
        <v>1035</v>
      </c>
      <c r="P56" s="1883" t="s">
        <v>1521</v>
      </c>
      <c r="Q56" s="1884">
        <f ca="1">C40+J29</f>
        <v>0</v>
      </c>
      <c r="R56" s="1884" t="s">
        <v>1522</v>
      </c>
    </row>
    <row r="57" spans="1:18" s="1840" customFormat="1" ht="24.75" thickBot="1">
      <c r="A57" s="1915"/>
      <c r="B57" s="1167" t="s">
        <v>1471</v>
      </c>
      <c r="C57" s="281">
        <f ca="1">C29</f>
        <v>0</v>
      </c>
      <c r="D57" s="1916"/>
      <c r="E57" s="1917"/>
      <c r="F57" s="1918"/>
      <c r="I57" s="1919" t="s">
        <v>1549</v>
      </c>
      <c r="J57" s="1920" t="str">
        <f ca="1">IF(OR(M47="住宅",J51&lt;L48,J56="是"),"——",J51-L48)</f>
        <v>——</v>
      </c>
      <c r="K57" s="1885" t="s">
        <v>1550</v>
      </c>
      <c r="L57" s="1888">
        <f ca="1">IF(L48&lt;J51,"——",IF(L55="比较法",L49,IF(L55="基准地价",L50,L51)))</f>
        <v>0</v>
      </c>
      <c r="O57" s="1882" t="s">
        <v>1036</v>
      </c>
      <c r="P57" s="1883" t="s">
        <v>1551</v>
      </c>
      <c r="Q57" s="1884" t="e">
        <f ca="1">L60</f>
        <v>#DIV/0!</v>
      </c>
      <c r="R57" s="1884" t="s">
        <v>1552</v>
      </c>
    </row>
    <row r="58" spans="1:18" s="1840" customFormat="1" ht="24.75" thickBot="1">
      <c r="A58" s="359" t="s">
        <v>1025</v>
      </c>
      <c r="B58" s="1175" t="s">
        <v>1417</v>
      </c>
      <c r="C58" s="360">
        <f ca="1">ROUND(C59+C64+C65+C66,0)</f>
        <v>0</v>
      </c>
      <c r="D58" s="1177" t="s">
        <v>1418</v>
      </c>
      <c r="E58" s="1178"/>
      <c r="F58" s="1179"/>
      <c r="I58" s="1919" t="s">
        <v>1553</v>
      </c>
      <c r="J58" s="1921" t="e">
        <f ca="1">IF(J55&lt;0.4,0.4,J55)</f>
        <v>#VALUE!</v>
      </c>
      <c r="K58" s="1898" t="s">
        <v>1554</v>
      </c>
      <c r="L58" s="1888" t="e">
        <f ca="1">ROUND(POWER(1+L52,L47-L48)*(POWER(1+L52,L48)-1)/(POWER(1+L52,L47)-1),4)</f>
        <v>#DIV/0!</v>
      </c>
      <c r="O58" s="1892" t="s">
        <v>1037</v>
      </c>
      <c r="P58" s="1883" t="s">
        <v>1555</v>
      </c>
      <c r="Q58" s="1884">
        <f>IF(L55="比较法",L49,IF(L55="基准地价",L50,0))</f>
        <v>0</v>
      </c>
      <c r="R58" s="1884" t="s">
        <v>1522</v>
      </c>
    </row>
    <row r="59" spans="1:18" s="1840" customFormat="1" ht="24.75" thickBot="1">
      <c r="A59" s="1199" t="s">
        <v>1030</v>
      </c>
      <c r="B59" s="1167" t="s">
        <v>1422</v>
      </c>
      <c r="C59" s="24">
        <f ca="1">ROUND(IF(项目基本情况!B11="自然人",C48*F59,C60+C61+C62),1)</f>
        <v>0</v>
      </c>
      <c r="D59" s="1180" t="s">
        <v>1423</v>
      </c>
      <c r="E59" s="1181" t="s">
        <v>1424</v>
      </c>
      <c r="F59" s="367" t="str">
        <f ca="1">IF(项目基本情况!B11="企业","",IF(INDIRECT("'数据-取费表'!c"&amp;$G$1)="住宅",5%,IF(F49*F50*F51/12/(1+'数据-取费表'!C42)&gt;20000,12%,7%)))</f>
        <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1557</v>
      </c>
      <c r="Q59" s="1895">
        <f>L52</f>
        <v>0</v>
      </c>
      <c r="R59" s="1884"/>
    </row>
    <row r="60" spans="1:18" s="1840" customFormat="1" ht="16.5" thickBot="1">
      <c r="A60" s="1199" t="s">
        <v>1029</v>
      </c>
      <c r="B60" s="1167" t="s">
        <v>1426</v>
      </c>
      <c r="C60" s="24">
        <f ca="1">IF(项目基本情况!B11="自然人","——",ROUND(C48*F60/(1+'数据-取费表'!C42),2))</f>
        <v>0</v>
      </c>
      <c r="D60" s="1181" t="s">
        <v>1427</v>
      </c>
      <c r="E60" s="1167" t="s">
        <v>1415</v>
      </c>
      <c r="F60" s="376">
        <f t="shared" ref="F60:F66" si="0">F32</f>
        <v>5.6000000000000001E-2</v>
      </c>
      <c r="I60" s="1922" t="s">
        <v>1558</v>
      </c>
      <c r="J60" s="1923" t="str">
        <f ca="1">IF(OR(M47="住宅",J51&lt;L48,J56="是"),"0",ROUND(J59/(1+J52)^J53,0))</f>
        <v>0</v>
      </c>
      <c r="K60" s="1924" t="s">
        <v>1559</v>
      </c>
      <c r="L60" s="1923" t="e">
        <f ca="1">IF(OR(M47="住宅",L48&lt;J51),0,ROUND(L57*(L58/L59-1),0))</f>
        <v>#DIV/0!</v>
      </c>
      <c r="O60" s="1892" t="s">
        <v>1039</v>
      </c>
      <c r="P60" s="1883" t="s">
        <v>1560</v>
      </c>
      <c r="Q60" s="1884" t="e">
        <f ca="1">L58</f>
        <v>#DIV/0!</v>
      </c>
      <c r="R60" s="1884" t="s">
        <v>1561</v>
      </c>
    </row>
    <row r="61" spans="1:18" s="1840" customFormat="1" ht="13.5" thickBot="1">
      <c r="A61" s="1199" t="s">
        <v>1485</v>
      </c>
      <c r="B61" s="1167" t="s">
        <v>1486</v>
      </c>
      <c r="C61" s="24">
        <f ca="1">IF(项目基本情况!B11="自然人","——",IF(D61="按租金收入计税",ROUND(C48*F61,2),IF(D61="按房产原值计税",ROUND(C57*F61*0.7,2),INDIRECT("'数据-取费表'!Aj"&amp;$G$1))))</f>
        <v>0</v>
      </c>
      <c r="D61" s="1826" t="s">
        <v>1431</v>
      </c>
      <c r="E61" s="1167" t="s">
        <v>1487</v>
      </c>
      <c r="F61" s="366">
        <f t="shared" si="0"/>
        <v>1.2E-2</v>
      </c>
      <c r="I61" s="1925"/>
      <c r="J61" s="1925"/>
      <c r="K61" s="1925"/>
      <c r="L61" s="1925"/>
      <c r="O61" s="1892" t="s">
        <v>1040</v>
      </c>
      <c r="P61" s="1883" t="str">
        <f>K59</f>
        <v>建设期及建筑物耐用年限下的土地年期修正系数Kn</v>
      </c>
      <c r="Q61" s="1884" t="e">
        <f ca="1">L59</f>
        <v>#DIV/0!</v>
      </c>
      <c r="R61" s="1884" t="s">
        <v>1562</v>
      </c>
    </row>
    <row r="62" spans="1:18" s="1840" customFormat="1" ht="13.5" thickBot="1">
      <c r="A62" s="1199" t="s">
        <v>1488</v>
      </c>
      <c r="B62" s="1166" t="s">
        <v>1489</v>
      </c>
      <c r="C62" s="25">
        <f ca="1">IF(项目基本情况!B11="自然人","——",ROUND(F62*F63/10000,2))</f>
        <v>0</v>
      </c>
      <c r="D62" s="1182" t="s">
        <v>1490</v>
      </c>
      <c r="E62" s="1167" t="s">
        <v>1491</v>
      </c>
      <c r="F62" s="370">
        <f t="shared" si="0"/>
        <v>4</v>
      </c>
      <c r="I62" s="1926" t="s">
        <v>1563</v>
      </c>
      <c r="J62" s="1927" t="s">
        <v>1564</v>
      </c>
      <c r="K62" s="1927" t="s">
        <v>1565</v>
      </c>
      <c r="L62" s="1927" t="s">
        <v>1566</v>
      </c>
      <c r="M62" s="1928" t="s">
        <v>1567</v>
      </c>
      <c r="O62" s="1882" t="s">
        <v>1041</v>
      </c>
      <c r="P62" s="1883" t="s">
        <v>1568</v>
      </c>
      <c r="Q62" s="1884" t="e">
        <f ca="1">Q56+Q57</f>
        <v>#DIV/0!</v>
      </c>
      <c r="R62" s="1884" t="s">
        <v>1042</v>
      </c>
    </row>
    <row r="63" spans="1:18" s="1840" customFormat="1" ht="13.5" thickBot="1">
      <c r="A63" s="371"/>
      <c r="B63" s="1173"/>
      <c r="C63" s="29"/>
      <c r="D63" s="1183"/>
      <c r="E63" s="1167" t="s">
        <v>1492</v>
      </c>
      <c r="F63" s="347">
        <f t="shared" ca="1" si="0"/>
        <v>0</v>
      </c>
      <c r="I63" s="1926" t="s">
        <v>1569</v>
      </c>
      <c r="J63" s="1927">
        <v>70</v>
      </c>
      <c r="K63" s="1927">
        <v>50</v>
      </c>
      <c r="L63" s="1927">
        <v>80</v>
      </c>
      <c r="M63" s="1929">
        <v>0.02</v>
      </c>
      <c r="O63" s="1867" t="s">
        <v>1570</v>
      </c>
      <c r="P63" s="1837"/>
      <c r="Q63" s="1837"/>
      <c r="R63" s="1837"/>
    </row>
    <row r="64" spans="1:18" s="1840" customFormat="1" ht="13.5" thickBot="1">
      <c r="A64" s="1199" t="s">
        <v>1493</v>
      </c>
      <c r="B64" s="1167" t="s">
        <v>1494</v>
      </c>
      <c r="C64" s="24">
        <f ca="1">ROUND(C57*F64,1)</f>
        <v>0</v>
      </c>
      <c r="D64" s="1181" t="s">
        <v>1495</v>
      </c>
      <c r="E64" s="1167" t="s">
        <v>1487</v>
      </c>
      <c r="F64" s="373">
        <f t="shared" ca="1" si="0"/>
        <v>0</v>
      </c>
      <c r="I64" s="1926" t="s">
        <v>1571</v>
      </c>
      <c r="J64" s="1927">
        <v>50</v>
      </c>
      <c r="K64" s="1927">
        <v>35</v>
      </c>
      <c r="L64" s="1927">
        <v>60</v>
      </c>
      <c r="M64" s="1928">
        <v>0</v>
      </c>
      <c r="O64" s="1875" t="s">
        <v>1515</v>
      </c>
      <c r="P64" s="1876" t="s">
        <v>1516</v>
      </c>
      <c r="Q64" s="1877" t="s">
        <v>1517</v>
      </c>
      <c r="R64" s="1877" t="s">
        <v>1518</v>
      </c>
    </row>
    <row r="65" spans="1:18" s="1840" customFormat="1" ht="13.5" thickBot="1">
      <c r="A65" s="1199" t="s">
        <v>1496</v>
      </c>
      <c r="B65" s="1167" t="s">
        <v>1446</v>
      </c>
      <c r="C65" s="24">
        <f ca="1">ROUND(C56*F65,1)</f>
        <v>0</v>
      </c>
      <c r="D65" s="1181" t="s">
        <v>1447</v>
      </c>
      <c r="E65" s="1167" t="s">
        <v>1448</v>
      </c>
      <c r="F65" s="375">
        <f t="shared" ca="1" si="0"/>
        <v>0</v>
      </c>
      <c r="I65" s="1926" t="s">
        <v>1572</v>
      </c>
      <c r="J65" s="1927">
        <v>40</v>
      </c>
      <c r="K65" s="1927">
        <v>30</v>
      </c>
      <c r="L65" s="1927">
        <v>50</v>
      </c>
      <c r="M65" s="1929">
        <v>0.02</v>
      </c>
      <c r="O65" s="1882" t="s">
        <v>1035</v>
      </c>
      <c r="P65" s="1883" t="s">
        <v>1573</v>
      </c>
      <c r="Q65" s="1884">
        <f ca="1">C40+J29</f>
        <v>0</v>
      </c>
      <c r="R65" s="1884" t="s">
        <v>1522</v>
      </c>
    </row>
    <row r="66" spans="1:18" s="1840" customFormat="1" ht="16.5" thickBot="1">
      <c r="A66" s="1199" t="s">
        <v>1497</v>
      </c>
      <c r="B66" s="1167" t="s">
        <v>1432</v>
      </c>
      <c r="C66" s="24">
        <f ca="1">ROUND(C48*F66,1)</f>
        <v>0</v>
      </c>
      <c r="D66" s="1181" t="s">
        <v>1498</v>
      </c>
      <c r="E66" s="1167" t="s">
        <v>1415</v>
      </c>
      <c r="F66" s="356">
        <f t="shared" ca="1" si="0"/>
        <v>0</v>
      </c>
      <c r="O66" s="1882" t="s">
        <v>1036</v>
      </c>
      <c r="P66" s="1883" t="s">
        <v>1551</v>
      </c>
      <c r="Q66" s="1884" t="e">
        <f ca="1">L60</f>
        <v>#DIV/0!</v>
      </c>
      <c r="R66" s="1884" t="s">
        <v>1574</v>
      </c>
    </row>
    <row r="67" spans="1:18" s="1840" customFormat="1" ht="16.5" thickBot="1">
      <c r="A67" s="1174" t="s">
        <v>1026</v>
      </c>
      <c r="B67" s="1184" t="s">
        <v>1456</v>
      </c>
      <c r="C67" s="360">
        <f ca="1">C48-C58</f>
        <v>0</v>
      </c>
      <c r="D67" s="1180" t="s">
        <v>1457</v>
      </c>
      <c r="E67" s="1185"/>
      <c r="F67" s="1186"/>
      <c r="O67" s="1892" t="s">
        <v>1037</v>
      </c>
      <c r="P67" s="1883" t="s">
        <v>1555</v>
      </c>
      <c r="Q67" s="1930">
        <f ca="1">L51</f>
        <v>0</v>
      </c>
      <c r="R67" s="1884" t="s">
        <v>1575</v>
      </c>
    </row>
    <row r="68" spans="1:18" s="1840" customFormat="1" ht="16.5" thickBot="1">
      <c r="A68" s="1164" t="s">
        <v>1027</v>
      </c>
      <c r="B68" s="1165" t="s">
        <v>1478</v>
      </c>
      <c r="C68" s="345">
        <f ca="1">ROUND(C67*(1-((1+F70)/(1+F68))^F69)/(F68-F70),0)</f>
        <v>0</v>
      </c>
      <c r="D68" s="1182" t="s">
        <v>1462</v>
      </c>
      <c r="E68" s="1167" t="s">
        <v>1463</v>
      </c>
      <c r="F68" s="356">
        <f ca="1">F40</f>
        <v>0.05</v>
      </c>
      <c r="O68" s="1892" t="s">
        <v>1038</v>
      </c>
      <c r="P68" s="1931" t="s">
        <v>1576</v>
      </c>
      <c r="Q68" s="1884">
        <f ca="1">ROUND(Q69-Q70*Q71,0)</f>
        <v>0</v>
      </c>
      <c r="R68" s="1884" t="s">
        <v>1046</v>
      </c>
    </row>
    <row r="69" spans="1:18" s="1840" customFormat="1" ht="13.5" thickBot="1">
      <c r="A69" s="1168"/>
      <c r="B69" s="1169"/>
      <c r="C69" s="350"/>
      <c r="D69" s="1187" t="s">
        <v>1466</v>
      </c>
      <c r="E69" s="1167" t="s">
        <v>1467</v>
      </c>
      <c r="F69" s="378">
        <f ca="1">F41</f>
        <v>0</v>
      </c>
      <c r="O69" s="1892" t="s">
        <v>1043</v>
      </c>
      <c r="P69" s="1931" t="s">
        <v>1577</v>
      </c>
      <c r="Q69" s="1884">
        <f ca="1">C39</f>
        <v>0</v>
      </c>
      <c r="R69" s="1884" t="s">
        <v>1522</v>
      </c>
    </row>
    <row r="70" spans="1:18" s="1840" customFormat="1" ht="13.5" thickBot="1">
      <c r="A70" s="1171"/>
      <c r="B70" s="1172"/>
      <c r="C70" s="354"/>
      <c r="D70" s="1183"/>
      <c r="E70" s="1167" t="s">
        <v>1470</v>
      </c>
      <c r="F70" s="1273"/>
      <c r="O70" s="1892" t="s">
        <v>1044</v>
      </c>
      <c r="P70" s="1931" t="s">
        <v>1578</v>
      </c>
      <c r="Q70" s="1884">
        <f ca="1">C13</f>
        <v>0</v>
      </c>
      <c r="R70" s="1884" t="s">
        <v>1522</v>
      </c>
    </row>
    <row r="71" spans="1:18" s="1840" customFormat="1" ht="13.5" thickBot="1">
      <c r="A71" s="1188" t="s">
        <v>1028</v>
      </c>
      <c r="B71" s="1189" t="s">
        <v>1480</v>
      </c>
      <c r="C71" s="381" t="e">
        <f ca="1">ROUND(C68*10000/F71,0)</f>
        <v>#DIV/0!</v>
      </c>
      <c r="D71" s="1190" t="s">
        <v>1481</v>
      </c>
      <c r="E71" s="1191" t="s">
        <v>1482</v>
      </c>
      <c r="F71" s="384">
        <f ca="1">F43</f>
        <v>0</v>
      </c>
      <c r="O71" s="1892" t="s">
        <v>1045</v>
      </c>
      <c r="P71" s="1931" t="s">
        <v>1579</v>
      </c>
      <c r="Q71" s="1895">
        <f ca="1">C76</f>
        <v>8.5000000000000006E-2</v>
      </c>
      <c r="R71" s="1884"/>
    </row>
    <row r="72" spans="1:18" s="1840" customFormat="1" ht="13.5" thickBot="1">
      <c r="B72" s="795"/>
      <c r="C72" s="795"/>
      <c r="O72" s="1892" t="s">
        <v>1039</v>
      </c>
      <c r="P72" s="1883" t="s">
        <v>1557</v>
      </c>
      <c r="Q72" s="1895">
        <f>L52</f>
        <v>0</v>
      </c>
      <c r="R72" s="1884"/>
    </row>
    <row r="73" spans="1:18" ht="16.5" thickBot="1">
      <c r="A73" s="1840"/>
      <c r="B73" s="795"/>
      <c r="C73" s="795"/>
      <c r="D73" s="1840"/>
      <c r="E73" s="1840"/>
      <c r="F73" s="1840"/>
      <c r="O73" s="1892" t="s">
        <v>1040</v>
      </c>
      <c r="P73" s="1883" t="s">
        <v>1560</v>
      </c>
      <c r="Q73" s="1884" t="e">
        <f ca="1">L58</f>
        <v>#DIV/0!</v>
      </c>
      <c r="R73" s="1884" t="s">
        <v>1561</v>
      </c>
    </row>
    <row r="74" spans="1:18" ht="13.5" thickBot="1">
      <c r="A74" s="1840"/>
      <c r="B74" s="316" t="s">
        <v>1580</v>
      </c>
      <c r="C74" s="1933"/>
      <c r="D74" s="1840"/>
      <c r="E74" s="1840"/>
      <c r="F74" s="1840"/>
      <c r="O74" s="1892" t="s">
        <v>1047</v>
      </c>
      <c r="P74" s="1883" t="str">
        <f>K59</f>
        <v>建设期及建筑物耐用年限下的土地年期修正系数Kn</v>
      </c>
      <c r="Q74" s="1884" t="e">
        <f ca="1">L59</f>
        <v>#DIV/0!</v>
      </c>
      <c r="R74" s="1884" t="s">
        <v>1562</v>
      </c>
    </row>
    <row r="75" spans="1:18" ht="13.5" thickBot="1">
      <c r="A75" s="1840"/>
      <c r="B75" s="385" t="s">
        <v>1499</v>
      </c>
      <c r="C75" s="386">
        <f ca="1">ROUND(C13*C76,0)</f>
        <v>0</v>
      </c>
      <c r="D75" s="1840"/>
      <c r="E75" s="1840"/>
      <c r="F75" s="1840"/>
      <c r="K75" s="1866"/>
      <c r="L75" s="1840"/>
      <c r="O75" s="1882" t="s">
        <v>1041</v>
      </c>
      <c r="P75" s="1883" t="s">
        <v>1542</v>
      </c>
      <c r="Q75" s="1884" t="e">
        <f ca="1">Q65+Q66</f>
        <v>#DIV/0!</v>
      </c>
      <c r="R75" s="1884" t="s">
        <v>1042</v>
      </c>
    </row>
    <row r="76" spans="1:18">
      <c r="B76" s="387" t="s">
        <v>1500</v>
      </c>
      <c r="C76" s="388">
        <f ca="1">INDIRECT("'数据-取费表'!j"&amp;$G$1)</f>
        <v>8.5000000000000006E-2</v>
      </c>
      <c r="I76" s="1840"/>
      <c r="J76" s="1840"/>
      <c r="K76" s="1866"/>
      <c r="L76" s="1840"/>
    </row>
    <row r="77" spans="1:18">
      <c r="B77" s="389" t="s">
        <v>1501</v>
      </c>
      <c r="C77" s="390"/>
      <c r="I77" s="1840"/>
      <c r="J77" s="1840"/>
      <c r="K77" s="1866"/>
      <c r="L77" s="1840"/>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48" activeCellId="1" sqref="B6:C9 G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1582</v>
      </c>
      <c r="B1" s="781"/>
      <c r="C1" s="1835"/>
      <c r="D1" s="1818"/>
      <c r="E1" s="1819" t="s">
        <v>1380</v>
      </c>
      <c r="F1" s="1281">
        <f ca="1">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t="e">
        <f ca="1">ROUND(D2/10000,0)</f>
        <v>#DIV/0!</v>
      </c>
      <c r="C2" s="1843" t="s">
        <v>1584</v>
      </c>
      <c r="D2" s="1935" t="e">
        <f ca="1">C40+J29+L46</f>
        <v>#DIV/0!</v>
      </c>
      <c r="E2" s="1844" t="s">
        <v>1585</v>
      </c>
      <c r="F2" s="1845"/>
      <c r="G2" s="1846"/>
      <c r="H2" s="1838"/>
      <c r="I2" s="1838"/>
      <c r="J2" s="1838"/>
      <c r="K2" s="1839"/>
      <c r="L2" s="1838"/>
      <c r="M2" s="1838"/>
    </row>
    <row r="3" spans="1:37" ht="18" customHeight="1" thickBot="1">
      <c r="A3" s="1847" t="s">
        <v>1586</v>
      </c>
      <c r="B3" s="1848">
        <f ca="1">IF(ISERROR(D2/F43),0,ROUND(D2/F43,0))</f>
        <v>0</v>
      </c>
      <c r="C3" s="1843" t="s">
        <v>1587</v>
      </c>
      <c r="D3" s="1843"/>
      <c r="E3" s="1844"/>
      <c r="F3" s="1845"/>
      <c r="G3" s="1846"/>
      <c r="H3" s="743" t="s">
        <v>1581</v>
      </c>
      <c r="I3" s="1838"/>
      <c r="J3" s="1838"/>
      <c r="K3" s="1839"/>
      <c r="L3" s="1838"/>
      <c r="M3" s="1838"/>
    </row>
    <row r="4" spans="1:37" ht="18" customHeight="1">
      <c r="A4" s="339" t="s">
        <v>1588</v>
      </c>
      <c r="B4" s="340" t="s">
        <v>1589</v>
      </c>
      <c r="C4" s="340" t="s">
        <v>1590</v>
      </c>
      <c r="D4" s="340" t="s">
        <v>1591</v>
      </c>
      <c r="E4" s="341" t="s">
        <v>1592</v>
      </c>
      <c r="F4" s="342"/>
      <c r="G4" s="1849"/>
      <c r="H4" s="339" t="s">
        <v>1588</v>
      </c>
      <c r="I4" s="340" t="s">
        <v>1589</v>
      </c>
      <c r="J4" s="340" t="s">
        <v>1590</v>
      </c>
      <c r="K4" s="340" t="s">
        <v>1591</v>
      </c>
      <c r="L4" s="341" t="s">
        <v>1592</v>
      </c>
      <c r="M4" s="342"/>
    </row>
    <row r="5" spans="1:37" ht="18" customHeight="1">
      <c r="A5" s="343">
        <v>1</v>
      </c>
      <c r="B5" s="344" t="s">
        <v>1593</v>
      </c>
      <c r="C5" s="1290">
        <f ca="1">C6+C10+C12</f>
        <v>0</v>
      </c>
      <c r="D5" s="1820" t="s">
        <v>1594</v>
      </c>
      <c r="E5" s="1291"/>
      <c r="F5" s="1292"/>
      <c r="G5" s="1849"/>
      <c r="H5" s="343">
        <v>1</v>
      </c>
      <c r="I5" s="344" t="s">
        <v>1593</v>
      </c>
      <c r="J5" s="1290">
        <f ca="1">J6+J10+J12</f>
        <v>0</v>
      </c>
      <c r="K5" s="1820" t="s">
        <v>1594</v>
      </c>
      <c r="L5" s="1291"/>
      <c r="M5" s="1292"/>
    </row>
    <row r="6" spans="1:37" ht="18" customHeight="1">
      <c r="A6" s="1289" t="s">
        <v>1030</v>
      </c>
      <c r="B6" s="3190" t="s">
        <v>1396</v>
      </c>
      <c r="C6" s="1294">
        <f ca="1">ROUND(F6*F8*F7*(1-F9),0)</f>
        <v>0</v>
      </c>
      <c r="D6" s="163" t="s">
        <v>2989</v>
      </c>
      <c r="E6" s="346" t="s">
        <v>1398</v>
      </c>
      <c r="F6" s="347">
        <f ca="1">INDIRECT("'数据-取费表'!u"&amp;$G$1)</f>
        <v>0</v>
      </c>
      <c r="G6" s="1849"/>
      <c r="H6" s="1289" t="s">
        <v>1030</v>
      </c>
      <c r="I6" s="3190" t="s">
        <v>1396</v>
      </c>
      <c r="J6" s="345">
        <f ca="1">ROUND(M6*M8*M7*(1-M9),0)</f>
        <v>0</v>
      </c>
      <c r="K6" s="1832" t="s">
        <v>2990</v>
      </c>
      <c r="L6" s="346" t="s">
        <v>1398</v>
      </c>
      <c r="M6" s="347">
        <f ca="1">INDIRECT("'数据-取费表'!z"&amp;$G$1)</f>
        <v>0</v>
      </c>
    </row>
    <row r="7" spans="1:37" ht="18" customHeight="1">
      <c r="A7" s="1293"/>
      <c r="B7" s="3191"/>
      <c r="C7" s="1295"/>
      <c r="D7" s="351"/>
      <c r="E7" s="1296" t="s">
        <v>1399</v>
      </c>
      <c r="F7" s="347">
        <f ca="1">IF(INDIRECT("'数据-取费表'!ah"&amp;$G$1)="",INDIRECT("'数据-取费表'!k"&amp;$G$1),INDIRECT("'数据-取费表'!ah"&amp;$G$1))</f>
        <v>0</v>
      </c>
      <c r="G7" s="1849"/>
      <c r="H7" s="348"/>
      <c r="I7" s="3191"/>
      <c r="J7" s="350"/>
      <c r="K7" s="351"/>
      <c r="L7" s="346" t="s">
        <v>1399</v>
      </c>
      <c r="M7" s="347">
        <f ca="1">F7</f>
        <v>0</v>
      </c>
    </row>
    <row r="8" spans="1:37" ht="18" customHeight="1">
      <c r="A8" s="348"/>
      <c r="B8" s="3191"/>
      <c r="C8" s="350"/>
      <c r="D8" s="351"/>
      <c r="E8" s="346" t="s">
        <v>1400</v>
      </c>
      <c r="F8" s="347">
        <f ca="1">INDIRECT("'数据-取费表'!ai"&amp;$G$1)</f>
        <v>0</v>
      </c>
      <c r="G8" s="1849"/>
      <c r="H8" s="348"/>
      <c r="I8" s="3191"/>
      <c r="J8" s="350"/>
      <c r="K8" s="351"/>
      <c r="L8" s="346" t="s">
        <v>1400</v>
      </c>
      <c r="M8" s="347">
        <f ca="1">INDIRECT("'数据-取费表'!ai"&amp;$G$1)</f>
        <v>0</v>
      </c>
    </row>
    <row r="9" spans="1:37" ht="18" customHeight="1">
      <c r="A9" s="348"/>
      <c r="B9" s="3192"/>
      <c r="C9" s="350"/>
      <c r="D9" s="351"/>
      <c r="E9" s="346" t="s">
        <v>1401</v>
      </c>
      <c r="F9" s="356">
        <f ca="1">INDIRECT("'数据-取费表'!w"&amp;$G$1)</f>
        <v>0</v>
      </c>
      <c r="G9" s="1849"/>
      <c r="H9" s="348"/>
      <c r="I9" s="3192"/>
      <c r="J9" s="350"/>
      <c r="K9" s="351"/>
      <c r="L9" s="357" t="s">
        <v>1401</v>
      </c>
      <c r="M9" s="358">
        <f ca="1">INDIRECT("'数据-取费表'!ab"&amp;$G$1)</f>
        <v>0</v>
      </c>
    </row>
    <row r="10" spans="1:37" ht="18" customHeight="1">
      <c r="A10" s="1289" t="s">
        <v>1034</v>
      </c>
      <c r="B10" s="1821" t="s">
        <v>1402</v>
      </c>
      <c r="C10" s="360">
        <f ca="1">ROUND(IF(F10="押一",C6/12*F11,IF(F10="押二",C6/12*2*F11,IF(F10="押三",C6/12*3*F11,C11*F11))),0)</f>
        <v>0</v>
      </c>
      <c r="D10" s="1822" t="s">
        <v>3000</v>
      </c>
      <c r="E10" s="357" t="s">
        <v>1403</v>
      </c>
      <c r="F10" s="1364"/>
      <c r="G10" s="1849"/>
      <c r="H10" s="1289" t="s">
        <v>1034</v>
      </c>
      <c r="I10" s="1821" t="s">
        <v>1402</v>
      </c>
      <c r="J10" s="345">
        <f ca="1">ROUND(IF(M10="押一",J6/12*M11,IF(M10="押二",J6/12*2*M11,IF(M10="押三",J6/12*3*M11,J11*M11))),0)</f>
        <v>0</v>
      </c>
      <c r="K10" s="1833" t="s">
        <v>3002</v>
      </c>
      <c r="L10" s="357" t="s">
        <v>1403</v>
      </c>
      <c r="M10" s="1364"/>
    </row>
    <row r="11" spans="1:37" ht="18" customHeight="1">
      <c r="A11" s="352"/>
      <c r="B11" s="1823" t="s">
        <v>1595</v>
      </c>
      <c r="C11" s="1176"/>
      <c r="D11" s="351"/>
      <c r="E11" s="357" t="s">
        <v>1405</v>
      </c>
      <c r="F11" s="358">
        <f ca="1">'数据-取费表'!B39</f>
        <v>1.4999999999999999E-2</v>
      </c>
      <c r="G11" s="1849"/>
      <c r="H11" s="1297"/>
      <c r="I11" s="1823" t="s">
        <v>1596</v>
      </c>
      <c r="J11" s="1176"/>
      <c r="K11" s="747"/>
      <c r="L11" s="357" t="s">
        <v>1405</v>
      </c>
      <c r="M11" s="1054">
        <f ca="1">'数据-取费表'!B39</f>
        <v>1.4999999999999999E-2</v>
      </c>
    </row>
    <row r="12" spans="1:37" ht="18" customHeight="1" thickBot="1">
      <c r="A12" s="1331" t="s">
        <v>1070</v>
      </c>
      <c r="B12" s="1825" t="s">
        <v>1406</v>
      </c>
      <c r="C12" s="1332"/>
      <c r="D12" s="1333"/>
      <c r="E12" s="1338"/>
      <c r="F12" s="1334"/>
      <c r="G12" s="1849"/>
      <c r="H12" s="1331" t="s">
        <v>1070</v>
      </c>
      <c r="I12" s="1825"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9"/>
      <c r="H13" s="1327">
        <v>2</v>
      </c>
      <c r="I13" s="1328" t="s">
        <v>1407</v>
      </c>
      <c r="J13" s="1288">
        <f ca="1">ROUND(J14*J15,0)</f>
        <v>0</v>
      </c>
      <c r="K13" s="1335" t="s">
        <v>1408</v>
      </c>
      <c r="L13" s="1850"/>
      <c r="M13" s="1851"/>
    </row>
    <row r="14" spans="1:37" ht="18" customHeight="1">
      <c r="A14" s="1199" t="s">
        <v>1029</v>
      </c>
      <c r="B14" s="346" t="s">
        <v>1410</v>
      </c>
      <c r="C14" s="362">
        <f ca="1">ROUND(INDIRECT("'数据-取费表'!l"&amp;$G$1)*F43+'数据-取费表'!L14*INDIRECT("'数据-取费表'!S"&amp;$G$1),0)</f>
        <v>0</v>
      </c>
      <c r="D14" s="1798" t="s">
        <v>1411</v>
      </c>
      <c r="E14" s="1792"/>
      <c r="F14" s="363"/>
      <c r="G14" s="1849"/>
      <c r="H14" s="1199" t="s">
        <v>1030</v>
      </c>
      <c r="I14" s="346" t="s">
        <v>1412</v>
      </c>
      <c r="J14" s="24">
        <f ca="1">C29</f>
        <v>0</v>
      </c>
      <c r="K14" s="15"/>
      <c r="L14" s="977"/>
      <c r="M14" s="978"/>
    </row>
    <row r="15" spans="1:37" s="1856" customFormat="1" ht="18" customHeight="1" thickBot="1">
      <c r="A15" s="1199" t="s">
        <v>1031</v>
      </c>
      <c r="B15" s="346" t="s">
        <v>1413</v>
      </c>
      <c r="C15" s="24">
        <f ca="1">ROUND(C14*F15,0)</f>
        <v>0</v>
      </c>
      <c r="D15" s="364" t="s">
        <v>1414</v>
      </c>
      <c r="E15" s="364" t="s">
        <v>1415</v>
      </c>
      <c r="F15" s="365">
        <f>'数据-取费表'!B33</f>
        <v>0.03</v>
      </c>
      <c r="G15" s="1852"/>
      <c r="H15" s="1337" t="s">
        <v>1034</v>
      </c>
      <c r="I15" s="1338" t="s">
        <v>1409</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1382</v>
      </c>
      <c r="B16" s="346" t="s">
        <v>1416</v>
      </c>
      <c r="C16" s="24">
        <f ca="1">ROUND(INDIRECT("'数据-取费表'!l"&amp;$G$1)*F43*F16,0)</f>
        <v>0</v>
      </c>
      <c r="D16" s="346" t="s">
        <v>1414</v>
      </c>
      <c r="E16" s="346" t="s">
        <v>1415</v>
      </c>
      <c r="F16" s="366">
        <f ca="1">IF(INDIRECT("'数据-取费表'!c"&amp;$G$1)="住宅",'数据-取费表'!B34,0)</f>
        <v>0.03</v>
      </c>
      <c r="G16" s="1849"/>
      <c r="H16" s="1327" t="s">
        <v>1025</v>
      </c>
      <c r="I16" s="1328" t="s">
        <v>1417</v>
      </c>
      <c r="J16" s="354">
        <f ca="1">ROUND(J17+J22+J23+J24,0)</f>
        <v>0</v>
      </c>
      <c r="K16" s="1335" t="s">
        <v>1418</v>
      </c>
      <c r="L16" s="1336"/>
      <c r="M16" s="1292"/>
    </row>
    <row r="17" spans="1:37" s="1856" customFormat="1" ht="18" customHeight="1">
      <c r="A17" s="1199" t="s">
        <v>1383</v>
      </c>
      <c r="B17" s="346" t="s">
        <v>1419</v>
      </c>
      <c r="C17" s="24">
        <f ca="1">ROUND(F17*(F43+INDIRECT("'数据-取费表'!S"&amp;$G$1)),0)</f>
        <v>0</v>
      </c>
      <c r="D17" s="346" t="s">
        <v>1420</v>
      </c>
      <c r="E17" s="346" t="s">
        <v>1421</v>
      </c>
      <c r="F17" s="26">
        <f>'数据-取费表'!B35</f>
        <v>150</v>
      </c>
      <c r="G17" s="1852"/>
      <c r="H17" s="1199" t="s">
        <v>1030</v>
      </c>
      <c r="I17" s="346" t="s">
        <v>1422</v>
      </c>
      <c r="J17" s="24">
        <f ca="1">ROUND(IF(项目基本情况!B11="自然人",J6*M17/(1+'数据-取费表'!C42),J18+J19+J20),0)</f>
        <v>0</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1384</v>
      </c>
      <c r="B18" s="346" t="s">
        <v>1425</v>
      </c>
      <c r="C18" s="24">
        <f ca="1">ROUND(C14*F18,0)</f>
        <v>0</v>
      </c>
      <c r="D18" s="346" t="s">
        <v>1414</v>
      </c>
      <c r="E18" s="346" t="s">
        <v>1415</v>
      </c>
      <c r="F18" s="366">
        <f>'数据-取费表'!B36</f>
        <v>1.4999999999999999E-2</v>
      </c>
      <c r="G18" s="1852"/>
      <c r="H18" s="1199" t="s">
        <v>1029</v>
      </c>
      <c r="I18" s="346" t="s">
        <v>1426</v>
      </c>
      <c r="J18" s="24">
        <f ca="1">ROUND(J6*M18/(1+'数据-取费表'!C42),0)</f>
        <v>0</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1030</v>
      </c>
      <c r="B19" s="346" t="s">
        <v>1428</v>
      </c>
      <c r="C19" s="24">
        <f ca="1">SUM(C14:C18)</f>
        <v>0</v>
      </c>
      <c r="D19" s="139" t="s">
        <v>1429</v>
      </c>
      <c r="E19" s="1816"/>
      <c r="F19" s="26"/>
      <c r="G19" s="1849"/>
      <c r="H19" s="1199" t="s">
        <v>1031</v>
      </c>
      <c r="I19" s="346" t="s">
        <v>1430</v>
      </c>
      <c r="J19" s="24">
        <f ca="1">IF(K19="按租金收入计税",ROUND(J6*M19/(1+'数据-取费表'!C42),0),ROUND(C29*M19*0.7,0))</f>
        <v>0</v>
      </c>
      <c r="K19" s="1826" t="s">
        <v>1431</v>
      </c>
      <c r="L19" s="346" t="s">
        <v>1415</v>
      </c>
      <c r="M19" s="366">
        <f>IF(K19="按租金收入计税",'数据-取费表'!B51,'数据-取费表'!B50)</f>
        <v>1.2E-2</v>
      </c>
    </row>
    <row r="20" spans="1:37" s="1856" customFormat="1" ht="18" customHeight="1">
      <c r="A20" s="1199" t="s">
        <v>1034</v>
      </c>
      <c r="B20" s="346" t="s">
        <v>1432</v>
      </c>
      <c r="C20" s="24">
        <f ca="1">ROUND(C19*F20,0)</f>
        <v>0</v>
      </c>
      <c r="D20" s="368" t="s">
        <v>1433</v>
      </c>
      <c r="E20" s="346" t="s">
        <v>1415</v>
      </c>
      <c r="F20" s="366">
        <f>'数据-取费表'!B37</f>
        <v>1.4999999999999999E-2</v>
      </c>
      <c r="G20" s="1852"/>
      <c r="H20" s="1199" t="s">
        <v>1382</v>
      </c>
      <c r="I20" s="163" t="s">
        <v>1434</v>
      </c>
      <c r="J20" s="25">
        <f ca="1">ROUND(M20*M21,0)</f>
        <v>0</v>
      </c>
      <c r="K20" s="369" t="s">
        <v>1435</v>
      </c>
      <c r="L20" s="346" t="s">
        <v>1436</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1070</v>
      </c>
      <c r="B21" s="346" t="s">
        <v>1437</v>
      </c>
      <c r="C21" s="24" t="s">
        <v>1</v>
      </c>
      <c r="D21" s="368" t="s">
        <v>1438</v>
      </c>
      <c r="E21" s="346" t="s">
        <v>1439</v>
      </c>
      <c r="F21" s="366">
        <f>'数据-取费表'!B38</f>
        <v>1.4999999999999999E-2</v>
      </c>
      <c r="G21" s="1852"/>
      <c r="H21" s="371"/>
      <c r="I21" s="355"/>
      <c r="J21" s="29"/>
      <c r="K21" s="372"/>
      <c r="L21" s="346" t="s">
        <v>1440</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1385</v>
      </c>
      <c r="B22" s="346" t="s">
        <v>1441</v>
      </c>
      <c r="C22" s="24"/>
      <c r="D22" s="139" t="str">
        <f>IF(F23&lt;=1,"单利计息。","复利计息。")&amp;"建造成本、管理费用、销售费用产生的利息。"</f>
        <v>复利计息。建造成本、管理费用、销售费用产生的利息。</v>
      </c>
      <c r="E22" s="1816"/>
      <c r="F22" s="26"/>
      <c r="G22" s="1849"/>
      <c r="H22" s="1199" t="s">
        <v>1034</v>
      </c>
      <c r="I22" s="346" t="s">
        <v>1442</v>
      </c>
      <c r="J22" s="24">
        <f ca="1">ROUND(J14*M22,0)</f>
        <v>0</v>
      </c>
      <c r="K22" s="1796" t="s">
        <v>1443</v>
      </c>
      <c r="L22" s="346" t="s">
        <v>1415</v>
      </c>
      <c r="M22" s="373">
        <f ca="1">INDIRECT("'数据-取费表'!Ak"&amp;$G$1)</f>
        <v>0</v>
      </c>
    </row>
    <row r="23" spans="1:37" s="1856" customFormat="1" ht="18" customHeight="1">
      <c r="A23" s="1199" t="s">
        <v>1029</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2"/>
      <c r="H23" s="1199" t="s">
        <v>1070</v>
      </c>
      <c r="I23" s="346" t="s">
        <v>1446</v>
      </c>
      <c r="J23" s="24">
        <f ca="1">ROUND(J13*M23,0)</f>
        <v>0</v>
      </c>
      <c r="K23" s="1796" t="s">
        <v>1447</v>
      </c>
      <c r="L23" s="346" t="s">
        <v>1448</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6.9999999999999999E-4</v>
      </c>
      <c r="D24" s="374" t="str">
        <f>IF(F23&lt;=1,"销售费用×利率×(建设周期÷2)","销售费用×((1+利率)^(建设周期÷2)-1)")</f>
        <v>销售费用×((1+利率)^(建设周期÷2)-1)</v>
      </c>
      <c r="E24" s="346" t="s">
        <v>1451</v>
      </c>
      <c r="F24" s="376">
        <f ca="1">'数据-取费表'!B40</f>
        <v>4.7500000000000001E-2</v>
      </c>
      <c r="G24" s="1852"/>
      <c r="H24" s="1337" t="s">
        <v>1386</v>
      </c>
      <c r="I24" s="1338" t="s">
        <v>1432</v>
      </c>
      <c r="J24" s="1339">
        <f ca="1">ROUND(J5*M24,0)</f>
        <v>0</v>
      </c>
      <c r="K24" s="1340" t="s">
        <v>1452</v>
      </c>
      <c r="L24" s="1338" t="s">
        <v>1448</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1453</v>
      </c>
      <c r="B25" s="346" t="s">
        <v>1454</v>
      </c>
      <c r="C25" s="24"/>
      <c r="D25" s="139" t="s">
        <v>1455</v>
      </c>
      <c r="E25" s="1816"/>
      <c r="F25" s="26"/>
      <c r="G25" s="1849"/>
      <c r="H25" s="1327" t="s">
        <v>1026</v>
      </c>
      <c r="I25" s="1342" t="s">
        <v>1456</v>
      </c>
      <c r="J25" s="354">
        <f ca="1">J5-J16</f>
        <v>0</v>
      </c>
      <c r="K25" s="1343" t="s">
        <v>1457</v>
      </c>
      <c r="L25" s="1344"/>
      <c r="M25" s="1345"/>
    </row>
    <row r="26" spans="1:37" ht="18" customHeight="1">
      <c r="A26" s="1199" t="s">
        <v>1029</v>
      </c>
      <c r="B26" s="346" t="s">
        <v>1458</v>
      </c>
      <c r="C26" s="24">
        <f ca="1">ROUND((C19+C20)*F26,0)</f>
        <v>0</v>
      </c>
      <c r="D26" s="368" t="s">
        <v>1459</v>
      </c>
      <c r="E26" s="357" t="s">
        <v>1460</v>
      </c>
      <c r="F26" s="356">
        <f ca="1">INDIRECT("'数据-取费表'!q"&amp;$G$1)</f>
        <v>0.15</v>
      </c>
      <c r="G26" s="1849"/>
      <c r="H26" s="343" t="s">
        <v>1027</v>
      </c>
      <c r="I26" s="344" t="s">
        <v>1461</v>
      </c>
      <c r="J26" s="345">
        <f ca="1">IF(J5&lt;&gt;0,ROUND(J25*(1-((1+M28)/(1+M26))^M27)/(M26-M28),0),0)</f>
        <v>0</v>
      </c>
      <c r="K26" s="369" t="s">
        <v>1462</v>
      </c>
      <c r="L26" s="346" t="s">
        <v>1463</v>
      </c>
      <c r="M26" s="356">
        <f ca="1">INDIRECT("'数据-取费表'!I"&amp;$G$1)</f>
        <v>0.05</v>
      </c>
    </row>
    <row r="27" spans="1:37" ht="18" customHeight="1">
      <c r="A27" s="1199" t="s">
        <v>1031</v>
      </c>
      <c r="B27" s="346" t="s">
        <v>1464</v>
      </c>
      <c r="C27" s="24">
        <f ca="1">ROUND(F21*F26,4)</f>
        <v>2.3E-3</v>
      </c>
      <c r="D27" s="368" t="s">
        <v>1465</v>
      </c>
      <c r="E27" s="364"/>
      <c r="F27" s="365"/>
      <c r="G27" s="1849"/>
      <c r="H27" s="348"/>
      <c r="I27" s="349"/>
      <c r="J27" s="350"/>
      <c r="K27" s="377" t="s">
        <v>1466</v>
      </c>
      <c r="L27" s="346" t="s">
        <v>1467</v>
      </c>
      <c r="M27" s="378">
        <f ca="1">INDIRECT("'数据-取费表'!ag"&amp;$G$1)</f>
        <v>0</v>
      </c>
    </row>
    <row r="28" spans="1:37" s="1856" customFormat="1" ht="18" customHeight="1">
      <c r="A28" s="1199" t="s">
        <v>1032</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1033</v>
      </c>
      <c r="B29" s="1338" t="s">
        <v>1471</v>
      </c>
      <c r="C29" s="1339">
        <f ca="1">ROUND((C19+C20+C23+C26)/(1-F21-C24-C27-C28),0)</f>
        <v>0</v>
      </c>
      <c r="D29" s="1340"/>
      <c r="E29" s="1338"/>
      <c r="F29" s="1341"/>
      <c r="G29" s="1852"/>
      <c r="H29" s="379" t="s">
        <v>1028</v>
      </c>
      <c r="I29" s="380" t="s">
        <v>1472</v>
      </c>
      <c r="J29" s="381">
        <f ca="1">ROUND(J26/(1+F40)^F41,0)</f>
        <v>0</v>
      </c>
      <c r="K29" s="382" t="s">
        <v>1473</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1025</v>
      </c>
      <c r="B30" s="1328" t="s">
        <v>1417</v>
      </c>
      <c r="C30" s="354">
        <f ca="1">ROUND(C31+C36+C37+C38,0)</f>
        <v>0</v>
      </c>
      <c r="D30" s="1335" t="s">
        <v>1418</v>
      </c>
      <c r="E30" s="1336"/>
      <c r="F30" s="1292"/>
      <c r="G30" s="1849"/>
      <c r="H30" s="744"/>
      <c r="I30" s="745"/>
      <c r="J30" s="746"/>
      <c r="K30" s="747"/>
      <c r="L30" s="748"/>
      <c r="M30" s="749"/>
    </row>
    <row r="31" spans="1:37" ht="18" customHeight="1">
      <c r="A31" s="1199" t="s">
        <v>1030</v>
      </c>
      <c r="B31" s="346" t="s">
        <v>1422</v>
      </c>
      <c r="C31" s="24">
        <f ca="1">ROUND(IF(项目基本情况!B11="自然人",C6*F31/(1+'数据-取费表'!C42),C32+C33+C34),0)</f>
        <v>0</v>
      </c>
      <c r="D31" s="1798" t="s">
        <v>1423</v>
      </c>
      <c r="E31" s="1796" t="s">
        <v>1474</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1029</v>
      </c>
      <c r="B32" s="346" t="s">
        <v>1426</v>
      </c>
      <c r="C32" s="24">
        <f ca="1">IF(项目基本情况!B11="自然人","——",ROUND(C6*F32/(1+'数据-取费表'!C42),0))</f>
        <v>0</v>
      </c>
      <c r="D32" s="1796" t="s">
        <v>1427</v>
      </c>
      <c r="E32" s="346" t="s">
        <v>1415</v>
      </c>
      <c r="F32" s="376">
        <f>'数据-取费表'!B41</f>
        <v>5.6000000000000001E-2</v>
      </c>
      <c r="G32" s="1849"/>
      <c r="H32" s="744"/>
      <c r="I32" s="745"/>
      <c r="J32" s="746"/>
      <c r="K32" s="747"/>
      <c r="L32" s="748"/>
      <c r="M32" s="749"/>
    </row>
    <row r="33" spans="1:18" ht="18" customHeight="1">
      <c r="A33" s="1199" t="s">
        <v>1031</v>
      </c>
      <c r="B33" s="346" t="s">
        <v>1430</v>
      </c>
      <c r="C33" s="24">
        <f ca="1">IF(项目基本情况!B11="自然人","——",IF(D33="按租金收入计税",ROUND(C6*F33/(1+'数据-取费表'!C42),0),IF(D33="按房产原值计税",ROUND(C29*F33*0.7,0),INDIRECT("'数据-取费表'!Aj"&amp;$G$1))))</f>
        <v>0</v>
      </c>
      <c r="D33" s="1826" t="s">
        <v>1431</v>
      </c>
      <c r="E33" s="346" t="s">
        <v>1415</v>
      </c>
      <c r="F33" s="366">
        <f>IF(D33="按票据","——",IF(D33="按租金收入计税",'数据-取费表'!B51,'数据-取费表'!B50))</f>
        <v>1.2E-2</v>
      </c>
      <c r="G33" s="1849"/>
      <c r="H33" s="1857"/>
      <c r="I33" s="1858"/>
      <c r="J33" s="1859"/>
      <c r="K33" s="1860"/>
      <c r="L33" s="1857"/>
      <c r="M33" s="1857"/>
    </row>
    <row r="34" spans="1:18" ht="18" customHeight="1">
      <c r="A34" s="1289" t="s">
        <v>1382</v>
      </c>
      <c r="B34" s="163" t="s">
        <v>1434</v>
      </c>
      <c r="C34" s="25">
        <f ca="1">IF(项目基本情况!B11="自然人","——",ROUND(F34*F35,))</f>
        <v>0</v>
      </c>
      <c r="D34" s="369" t="s">
        <v>1435</v>
      </c>
      <c r="E34" s="346" t="s">
        <v>1436</v>
      </c>
      <c r="F34" s="370">
        <f>'数据-取费表'!B52</f>
        <v>4</v>
      </c>
      <c r="G34" s="1849"/>
      <c r="H34" s="744"/>
      <c r="I34" s="1858"/>
      <c r="J34" s="1859"/>
      <c r="K34" s="1861"/>
      <c r="L34" s="1862"/>
      <c r="M34" s="1862"/>
    </row>
    <row r="35" spans="1:18" ht="18" customHeight="1">
      <c r="A35" s="1351"/>
      <c r="B35" s="1349"/>
      <c r="C35" s="29"/>
      <c r="D35" s="372"/>
      <c r="E35" s="346" t="s">
        <v>1440</v>
      </c>
      <c r="F35" s="347">
        <f ca="1">INDIRECT("'数据-取费表'!r"&amp;$G$1)</f>
        <v>0</v>
      </c>
      <c r="G35" s="1849"/>
      <c r="H35" s="744"/>
      <c r="I35" s="1858"/>
      <c r="J35" s="1859"/>
      <c r="K35" s="1860"/>
      <c r="L35" s="1857"/>
      <c r="M35" s="1857"/>
    </row>
    <row r="36" spans="1:18" ht="18" customHeight="1">
      <c r="A36" s="1350" t="s">
        <v>1034</v>
      </c>
      <c r="B36" s="346" t="s">
        <v>1442</v>
      </c>
      <c r="C36" s="24">
        <f ca="1">ROUND(C29*F36,0)</f>
        <v>0</v>
      </c>
      <c r="D36" s="1796" t="s">
        <v>1475</v>
      </c>
      <c r="E36" s="346" t="s">
        <v>1415</v>
      </c>
      <c r="F36" s="373">
        <f ca="1">INDIRECT("'数据-取费表'!Ak"&amp;$G$1)</f>
        <v>0</v>
      </c>
      <c r="G36" s="1849"/>
      <c r="H36" s="1857"/>
      <c r="I36" s="1858"/>
      <c r="J36" s="1859"/>
      <c r="K36" s="750"/>
      <c r="L36" s="1857"/>
      <c r="M36" s="1857"/>
    </row>
    <row r="37" spans="1:18" ht="18" customHeight="1">
      <c r="A37" s="1199" t="s">
        <v>1070</v>
      </c>
      <c r="B37" s="346" t="s">
        <v>1446</v>
      </c>
      <c r="C37" s="24">
        <f ca="1">ROUND(C13*F37,0)</f>
        <v>0</v>
      </c>
      <c r="D37" s="1796" t="s">
        <v>1447</v>
      </c>
      <c r="E37" s="346" t="s">
        <v>1448</v>
      </c>
      <c r="F37" s="375">
        <f ca="1">INDIRECT("'数据-取费表'!Al"&amp;$G$1)</f>
        <v>0</v>
      </c>
      <c r="G37" s="1849"/>
      <c r="H37" s="1857"/>
      <c r="I37" s="1858"/>
      <c r="J37" s="1859"/>
      <c r="K37" s="750"/>
      <c r="L37" s="1857"/>
      <c r="M37" s="1857"/>
    </row>
    <row r="38" spans="1:18" ht="18" customHeight="1" thickBot="1">
      <c r="A38" s="1337" t="s">
        <v>1386</v>
      </c>
      <c r="B38" s="1338" t="s">
        <v>1432</v>
      </c>
      <c r="C38" s="1339">
        <f ca="1">ROUND(C5*F38,1)</f>
        <v>0</v>
      </c>
      <c r="D38" s="1340" t="s">
        <v>1452</v>
      </c>
      <c r="E38" s="1338" t="s">
        <v>1448</v>
      </c>
      <c r="F38" s="1334">
        <f ca="1">INDIRECT("'数据-取费表'!Am"&amp;$G$1)</f>
        <v>0</v>
      </c>
      <c r="G38" s="1849"/>
      <c r="H38" s="1857"/>
      <c r="I38" s="1858"/>
      <c r="J38" s="1859"/>
      <c r="K38" s="1863"/>
      <c r="L38" s="1857"/>
      <c r="M38" s="1857"/>
    </row>
    <row r="39" spans="1:18" ht="24.6" customHeight="1" thickTop="1">
      <c r="A39" s="1327" t="s">
        <v>1026</v>
      </c>
      <c r="B39" s="1342" t="s">
        <v>1476</v>
      </c>
      <c r="C39" s="354">
        <f ca="1">C5-C30</f>
        <v>0</v>
      </c>
      <c r="D39" s="1343" t="s">
        <v>1477</v>
      </c>
      <c r="E39" s="1344"/>
      <c r="F39" s="1345"/>
      <c r="G39" s="1849"/>
      <c r="H39" s="1857"/>
      <c r="I39" s="1858"/>
      <c r="J39" s="1859"/>
      <c r="K39" s="1863"/>
      <c r="L39" s="1857"/>
      <c r="M39" s="1857"/>
    </row>
    <row r="40" spans="1:18" ht="18" customHeight="1">
      <c r="A40" s="343" t="s">
        <v>1027</v>
      </c>
      <c r="B40" s="344" t="s">
        <v>1478</v>
      </c>
      <c r="C40" s="345">
        <f ca="1">ROUND(C39*(1-((1+F42)/(1+F40))^F41)/(F40-F42),0)</f>
        <v>0</v>
      </c>
      <c r="D40" s="369" t="s">
        <v>1462</v>
      </c>
      <c r="E40" s="346" t="s">
        <v>1463</v>
      </c>
      <c r="F40" s="356">
        <f ca="1">INDIRECT("'数据-取费表'!I"&amp;$G$1)</f>
        <v>0.05</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1470</v>
      </c>
      <c r="F42" s="356">
        <f ca="1">INDIRECT("'数据-取费表'!v"&amp;$G$1)</f>
        <v>0</v>
      </c>
      <c r="G42" s="1849"/>
      <c r="H42" s="731"/>
      <c r="I42" s="1858"/>
      <c r="J42" s="1859"/>
      <c r="K42" s="750"/>
      <c r="L42" s="731"/>
      <c r="M42" s="731"/>
    </row>
    <row r="43" spans="1:18" ht="18" customHeight="1" thickBot="1">
      <c r="A43" s="379" t="s">
        <v>1028</v>
      </c>
      <c r="B43" s="380" t="s">
        <v>1480</v>
      </c>
      <c r="C43" s="381" t="e">
        <f ca="1">ROUND(C40/F43,0)</f>
        <v>#DIV/0!</v>
      </c>
      <c r="D43" s="382" t="s">
        <v>1481</v>
      </c>
      <c r="E43" s="383" t="s">
        <v>1482</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0</v>
      </c>
      <c r="D45" s="1937" t="s">
        <v>1597</v>
      </c>
      <c r="E45" s="1864"/>
      <c r="F45" s="1864"/>
      <c r="O45" s="1867" t="s">
        <v>1512</v>
      </c>
      <c r="P45" s="1837"/>
      <c r="Q45" s="1837"/>
      <c r="R45" s="1837"/>
    </row>
    <row r="46" spans="1:18" s="1840" customFormat="1" ht="13.5" thickBot="1">
      <c r="A46" s="1868" t="s">
        <v>1513</v>
      </c>
      <c r="C46" s="1869">
        <f ca="1">ROUND(C45/10000,0)</f>
        <v>0</v>
      </c>
      <c r="D46" s="1870" t="str">
        <f>C2</f>
        <v>万元</v>
      </c>
      <c r="I46" s="1871" t="s">
        <v>1514</v>
      </c>
      <c r="J46" s="1872"/>
      <c r="K46" s="1873"/>
      <c r="L46" s="1874" t="e">
        <f ca="1">IF(M47="住宅",0,IF(L48&gt;J51,L60,J60))</f>
        <v>#DIV/0!</v>
      </c>
      <c r="O46" s="1875" t="s">
        <v>1515</v>
      </c>
      <c r="P46" s="1876" t="s">
        <v>1516</v>
      </c>
      <c r="Q46" s="1877" t="s">
        <v>1517</v>
      </c>
      <c r="R46" s="1877" t="s">
        <v>1518</v>
      </c>
    </row>
    <row r="47" spans="1:18" s="1840" customFormat="1" ht="13.5" thickBot="1">
      <c r="A47" s="1163" t="s">
        <v>1389</v>
      </c>
      <c r="B47" s="1195" t="s">
        <v>1390</v>
      </c>
      <c r="C47" s="1195" t="s">
        <v>1391</v>
      </c>
      <c r="D47" s="1195" t="s">
        <v>1392</v>
      </c>
      <c r="E47" s="1277" t="s">
        <v>1393</v>
      </c>
      <c r="F47" s="1278"/>
      <c r="G47" s="791"/>
      <c r="I47" s="1878" t="s">
        <v>1519</v>
      </c>
      <c r="J47" s="1879"/>
      <c r="K47" s="1880" t="s">
        <v>1520</v>
      </c>
      <c r="L47" s="1881">
        <f ca="1">INDIRECT("'数据-取费表'!d"&amp;$G$1)</f>
        <v>70</v>
      </c>
      <c r="M47" s="1836" t="str">
        <f>IF(ISNUMBER(FIND("住宅",C1)),"住宅","非住宅")</f>
        <v>非住宅</v>
      </c>
      <c r="O47" s="1882" t="s">
        <v>1035</v>
      </c>
      <c r="P47" s="1883" t="s">
        <v>1521</v>
      </c>
      <c r="Q47" s="1884">
        <f ca="1">C40+J29</f>
        <v>0</v>
      </c>
      <c r="R47" s="1884" t="s">
        <v>1522</v>
      </c>
    </row>
    <row r="48" spans="1:18" s="1840" customFormat="1" ht="28.5" thickBot="1">
      <c r="A48" s="1358" t="s">
        <v>1130</v>
      </c>
      <c r="B48" s="344" t="s">
        <v>1394</v>
      </c>
      <c r="C48" s="1815">
        <f ca="1">C49+C53+C55</f>
        <v>0</v>
      </c>
      <c r="D48" s="1360"/>
      <c r="E48" s="1361"/>
      <c r="F48" s="1179"/>
      <c r="G48" s="791"/>
      <c r="H48" s="792"/>
      <c r="I48" s="1885" t="s">
        <v>1523</v>
      </c>
      <c r="J48" s="1886"/>
      <c r="K48" s="1887" t="s">
        <v>1524</v>
      </c>
      <c r="L48" s="1888">
        <f ca="1">INDIRECT("'数据-取费表'!f"&amp;$G$1)</f>
        <v>69.150000000000006</v>
      </c>
      <c r="O48" s="1882" t="s">
        <v>1036</v>
      </c>
      <c r="P48" s="1883" t="s">
        <v>1525</v>
      </c>
      <c r="Q48" s="1884" t="str">
        <f ca="1">J60</f>
        <v>0</v>
      </c>
      <c r="R48" s="1884" t="s">
        <v>1526</v>
      </c>
    </row>
    <row r="49" spans="1:18" s="1840" customFormat="1" ht="13.5" thickBot="1">
      <c r="A49" s="1192" t="s">
        <v>1131</v>
      </c>
      <c r="B49" s="1827" t="s">
        <v>1483</v>
      </c>
      <c r="C49" s="1362">
        <f ca="1">ROUND(F49*F51*F50*(1-F52),0)</f>
        <v>0</v>
      </c>
      <c r="D49" s="1274" t="s">
        <v>1397</v>
      </c>
      <c r="E49" s="1828" t="s">
        <v>1484</v>
      </c>
      <c r="F49" s="1279"/>
      <c r="G49" s="1889"/>
      <c r="H49" s="792"/>
      <c r="I49" s="1885" t="s">
        <v>1527</v>
      </c>
      <c r="J49" s="1890"/>
      <c r="K49" s="1887" t="s">
        <v>1528</v>
      </c>
      <c r="L49" s="1891"/>
      <c r="O49" s="1892" t="s">
        <v>1037</v>
      </c>
      <c r="P49" s="1883" t="s">
        <v>1529</v>
      </c>
      <c r="Q49" s="1884">
        <f ca="1">C29</f>
        <v>0</v>
      </c>
      <c r="R49" s="1884" t="s">
        <v>1522</v>
      </c>
    </row>
    <row r="50" spans="1:18" s="1840" customFormat="1" ht="13.5" thickBot="1">
      <c r="A50" s="1193"/>
      <c r="B50" s="1196"/>
      <c r="C50" s="1197"/>
      <c r="D50" s="1170"/>
      <c r="E50" s="1275" t="s">
        <v>1399</v>
      </c>
      <c r="F50" s="1276">
        <f ca="1">F7</f>
        <v>0</v>
      </c>
      <c r="H50" s="792"/>
      <c r="I50" s="1885" t="s">
        <v>1530</v>
      </c>
      <c r="J50" s="1893">
        <f>SUMPRODUCT((I63:I65=J47)*(J62:L62=J48)*(J63:L65))</f>
        <v>0</v>
      </c>
      <c r="K50" s="1887" t="s">
        <v>1531</v>
      </c>
      <c r="L50" s="1891"/>
      <c r="M50" s="1894"/>
      <c r="O50" s="1892" t="s">
        <v>1038</v>
      </c>
      <c r="P50" s="1883" t="s">
        <v>1532</v>
      </c>
      <c r="Q50" s="1895" t="e">
        <f ca="1">J58</f>
        <v>#VALUE!</v>
      </c>
      <c r="R50" s="1884"/>
    </row>
    <row r="51" spans="1:18" s="1840" customFormat="1" ht="13.5" thickBot="1">
      <c r="A51" s="1194"/>
      <c r="B51" s="1196"/>
      <c r="C51" s="1197"/>
      <c r="D51" s="1170"/>
      <c r="E51" s="1198" t="s">
        <v>1400</v>
      </c>
      <c r="F51" s="347">
        <f ca="1">F8</f>
        <v>0</v>
      </c>
      <c r="I51" s="1896" t="s">
        <v>1533</v>
      </c>
      <c r="J51" s="1897">
        <f>IF(J49="",J50,J49+J50-YEAR('数据-取费表'!B2))</f>
        <v>0</v>
      </c>
      <c r="K51" s="1898" t="s">
        <v>1534</v>
      </c>
      <c r="L51" s="1899">
        <f ca="1">ROUND(-PV(INDIRECT("'数据-取费表'!h"&amp;$G$1),L48,(C39-C13*C76),0),0)</f>
        <v>0</v>
      </c>
      <c r="M51" s="1900"/>
      <c r="O51" s="1892" t="s">
        <v>1039</v>
      </c>
      <c r="P51" s="1883" t="s">
        <v>1535</v>
      </c>
      <c r="Q51" s="1895">
        <f>J52</f>
        <v>0</v>
      </c>
      <c r="R51" s="1884"/>
    </row>
    <row r="52" spans="1:18" s="1840" customFormat="1" ht="13.5" thickBot="1">
      <c r="A52" s="1194"/>
      <c r="B52" s="1196"/>
      <c r="C52" s="1197"/>
      <c r="D52" s="1170"/>
      <c r="E52" s="1198" t="s">
        <v>1401</v>
      </c>
      <c r="F52" s="1273"/>
      <c r="I52" s="1901" t="s">
        <v>1536</v>
      </c>
      <c r="J52" s="1902"/>
      <c r="K52" s="1901" t="s">
        <v>1537</v>
      </c>
      <c r="L52" s="1902"/>
      <c r="O52" s="1892" t="s">
        <v>1040</v>
      </c>
      <c r="P52" s="1883" t="s">
        <v>1538</v>
      </c>
      <c r="Q52" s="1884">
        <f ca="1">J53</f>
        <v>0</v>
      </c>
      <c r="R52" s="1884" t="s">
        <v>1539</v>
      </c>
    </row>
    <row r="53" spans="1:18" s="1840" customFormat="1" ht="30.75" customHeight="1" thickBot="1">
      <c r="A53" s="1359" t="s">
        <v>1132</v>
      </c>
      <c r="B53" s="368" t="s">
        <v>1402</v>
      </c>
      <c r="C53" s="360">
        <f ca="1">ROUND(IF(F53="押一",C49/12*F11,IF(F53="押二",C49/12*2*F11,IF(F53="押三",C49/12*3*F11,C54*F11))),0)</f>
        <v>0</v>
      </c>
      <c r="D53" s="1822" t="s">
        <v>3003</v>
      </c>
      <c r="E53" s="357" t="s">
        <v>1403</v>
      </c>
      <c r="F53" s="1364"/>
      <c r="I53" s="1903" t="s">
        <v>1540</v>
      </c>
      <c r="J53" s="2944">
        <f ca="1">IF(M47="住宅",IF(D1="——",MAX(J51,L48),MAX(J51,L48-'数据-取费表'!B24)),IF(D1="——",MIN(J51,L48),MIN(J51,L48-'数据-取费表'!B24)))</f>
        <v>0</v>
      </c>
      <c r="K53" s="3188" t="s">
        <v>1541</v>
      </c>
      <c r="L53" s="3189"/>
      <c r="O53" s="1882" t="s">
        <v>1041</v>
      </c>
      <c r="P53" s="1883" t="s">
        <v>1542</v>
      </c>
      <c r="Q53" s="1884">
        <f ca="1">Q47+Q48</f>
        <v>0</v>
      </c>
      <c r="R53" s="1884" t="s">
        <v>1042</v>
      </c>
    </row>
    <row r="54" spans="1:18" s="1840" customFormat="1" ht="13.5" thickBot="1">
      <c r="A54" s="1192"/>
      <c r="B54" s="1938" t="s">
        <v>1596</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1543</v>
      </c>
      <c r="P54" s="1837"/>
      <c r="Q54" s="1837"/>
      <c r="R54" s="1837"/>
    </row>
    <row r="55" spans="1:18" s="1840" customFormat="1" ht="13.5" thickBot="1">
      <c r="A55" s="1331" t="s">
        <v>1070</v>
      </c>
      <c r="B55" s="1825" t="s">
        <v>1406</v>
      </c>
      <c r="C55" s="1332"/>
      <c r="D55" s="1822"/>
      <c r="E55" s="1830"/>
      <c r="F55" s="1904"/>
      <c r="I55" s="1907" t="s">
        <v>1544</v>
      </c>
      <c r="J55" s="1908" t="e">
        <f ca="1">ROUND(IF(J47="钢混",J57/J50,1-(1-2%)*(J50-J57)/J50),3)</f>
        <v>#VALUE!</v>
      </c>
      <c r="K55" s="1909" t="s">
        <v>1545</v>
      </c>
      <c r="L55" s="1910"/>
      <c r="O55" s="1875" t="s">
        <v>1515</v>
      </c>
      <c r="P55" s="1876" t="s">
        <v>1516</v>
      </c>
      <c r="Q55" s="1877" t="s">
        <v>1517</v>
      </c>
      <c r="R55" s="1877" t="s">
        <v>1518</v>
      </c>
    </row>
    <row r="56" spans="1:18" s="1840" customFormat="1" ht="36" customHeight="1" thickTop="1" thickBot="1">
      <c r="A56" s="1174">
        <v>2</v>
      </c>
      <c r="B56" s="1175" t="s">
        <v>1407</v>
      </c>
      <c r="C56" s="275">
        <f ca="1">C13</f>
        <v>0</v>
      </c>
      <c r="D56" s="1911"/>
      <c r="E56" s="1912"/>
      <c r="F56" s="1904"/>
      <c r="I56" s="1913" t="s">
        <v>1547</v>
      </c>
      <c r="J56" s="1914"/>
      <c r="K56" s="1885" t="s">
        <v>1548</v>
      </c>
      <c r="L56" s="1888">
        <f ca="1">IF(L48&lt;J51,"——",L48-J51)</f>
        <v>69.150000000000006</v>
      </c>
      <c r="O56" s="1882" t="s">
        <v>1035</v>
      </c>
      <c r="P56" s="1883" t="s">
        <v>1521</v>
      </c>
      <c r="Q56" s="1884">
        <f ca="1">C40+J29</f>
        <v>0</v>
      </c>
      <c r="R56" s="1884" t="s">
        <v>1522</v>
      </c>
    </row>
    <row r="57" spans="1:18" s="1840" customFormat="1" ht="24.75" thickBot="1">
      <c r="A57" s="1915"/>
      <c r="B57" s="1167" t="s">
        <v>1471</v>
      </c>
      <c r="C57" s="281">
        <f ca="1">C29</f>
        <v>0</v>
      </c>
      <c r="D57" s="1916"/>
      <c r="E57" s="1917"/>
      <c r="F57" s="1918"/>
      <c r="I57" s="1919" t="s">
        <v>1549</v>
      </c>
      <c r="J57" s="1920" t="str">
        <f ca="1">IF(OR(M47="住宅",J51&lt;L48,J56="是"),"——",J51-L48)</f>
        <v>——</v>
      </c>
      <c r="K57" s="1885" t="s">
        <v>1598</v>
      </c>
      <c r="L57" s="1888">
        <f ca="1">IF(L48&lt;J51,"——",IF(L55="比较法",L49,IF(L55="基准地价",L50,L51)))</f>
        <v>0</v>
      </c>
      <c r="O57" s="1882" t="s">
        <v>1036</v>
      </c>
      <c r="P57" s="1883" t="s">
        <v>1599</v>
      </c>
      <c r="Q57" s="1884" t="e">
        <f ca="1">L60</f>
        <v>#DIV/0!</v>
      </c>
      <c r="R57" s="1884" t="s">
        <v>1600</v>
      </c>
    </row>
    <row r="58" spans="1:18" s="1840" customFormat="1" ht="24.75" thickBot="1">
      <c r="A58" s="359" t="s">
        <v>1025</v>
      </c>
      <c r="B58" s="1175" t="s">
        <v>1417</v>
      </c>
      <c r="C58" s="360">
        <f ca="1">ROUND(C59+C64+C65+C66,0)</f>
        <v>0</v>
      </c>
      <c r="D58" s="1177" t="s">
        <v>1418</v>
      </c>
      <c r="E58" s="1178"/>
      <c r="F58" s="1179"/>
      <c r="I58" s="1919" t="s">
        <v>1553</v>
      </c>
      <c r="J58" s="1921" t="e">
        <f ca="1">IF(J55&lt;0.4,0.4,J55)</f>
        <v>#VALUE!</v>
      </c>
      <c r="K58" s="1898" t="s">
        <v>1601</v>
      </c>
      <c r="L58" s="1888" t="e">
        <f ca="1">ROUND(POWER(1+L52,L47-L48)*(POWER(1+L52,L48)-1)/(POWER(1+L52,L47)-1),4)</f>
        <v>#DIV/0!</v>
      </c>
      <c r="O58" s="1892" t="s">
        <v>1037</v>
      </c>
      <c r="P58" s="1883" t="s">
        <v>1555</v>
      </c>
      <c r="Q58" s="1884">
        <f>IF(L55="比较法",L49,IF(L55="基准地价",L50,0))</f>
        <v>0</v>
      </c>
      <c r="R58" s="1884" t="s">
        <v>1522</v>
      </c>
    </row>
    <row r="59" spans="1:18" s="1840" customFormat="1" ht="24.75" thickBot="1">
      <c r="A59" s="1199" t="s">
        <v>1030</v>
      </c>
      <c r="B59" s="1167" t="s">
        <v>1422</v>
      </c>
      <c r="C59" s="24">
        <f ca="1">ROUND(IF(项目基本情况!B11="自然人",C48*F59,C60+C61+C62),0)</f>
        <v>0</v>
      </c>
      <c r="D59" s="1180" t="s">
        <v>1423</v>
      </c>
      <c r="E59" s="1181" t="s">
        <v>1424</v>
      </c>
      <c r="F59" s="367" t="str">
        <f ca="1">IF(项目基本情况!B11="企业","",IF(INDIRECT("'数据-取费表'!c"&amp;$G$1)="住宅",5%,IF(F49*F50*F51/12/(1+'数据-取费表'!C42)&gt;20000,12%,7%)))</f>
        <v/>
      </c>
      <c r="I59" s="1919" t="s">
        <v>1556</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1038</v>
      </c>
      <c r="P59" s="1883" t="s">
        <v>1557</v>
      </c>
      <c r="Q59" s="1895">
        <f>L52</f>
        <v>0</v>
      </c>
      <c r="R59" s="1884"/>
    </row>
    <row r="60" spans="1:18" s="1840" customFormat="1" ht="16.5" thickBot="1">
      <c r="A60" s="1199" t="s">
        <v>1029</v>
      </c>
      <c r="B60" s="1167" t="s">
        <v>1426</v>
      </c>
      <c r="C60" s="24">
        <f ca="1">IF(项目基本情况!B11="自然人","——",ROUND(C48*F60/(1+'数据-取费表'!C42),0))</f>
        <v>0</v>
      </c>
      <c r="D60" s="1181" t="s">
        <v>1427</v>
      </c>
      <c r="E60" s="1167" t="s">
        <v>1415</v>
      </c>
      <c r="F60" s="376">
        <f t="shared" ref="F60:F66" si="0">F32</f>
        <v>5.6000000000000001E-2</v>
      </c>
      <c r="I60" s="1922" t="s">
        <v>1558</v>
      </c>
      <c r="J60" s="1923" t="str">
        <f ca="1">IF(OR(M47="住宅",J51&lt;L48,J56="是"),"0",ROUND(J59/(1+J52)^J53,0))</f>
        <v>0</v>
      </c>
      <c r="K60" s="1924" t="s">
        <v>1559</v>
      </c>
      <c r="L60" s="1923" t="e">
        <f ca="1">IF(OR(M47="住宅",L48&lt;J51),0,ROUND(L57*(L58/L59-1),0))</f>
        <v>#DIV/0!</v>
      </c>
      <c r="O60" s="1892" t="s">
        <v>1039</v>
      </c>
      <c r="P60" s="1883" t="s">
        <v>1560</v>
      </c>
      <c r="Q60" s="1884" t="e">
        <f ca="1">L58</f>
        <v>#DIV/0!</v>
      </c>
      <c r="R60" s="1884" t="s">
        <v>1561</v>
      </c>
    </row>
    <row r="61" spans="1:18" s="1840" customFormat="1" ht="13.5" thickBot="1">
      <c r="A61" s="1199" t="s">
        <v>1485</v>
      </c>
      <c r="B61" s="1167" t="s">
        <v>1486</v>
      </c>
      <c r="C61" s="24">
        <f ca="1">IF(项目基本情况!B11="自然人","——",IF(D61="按租金收入计税",ROUND(C48*F61,0),IF(D61="按房产原值计税",ROUND(C57*F61*0.7,0),INDIRECT("'数据-取费表'!Aj"&amp;$G$1))))</f>
        <v>0</v>
      </c>
      <c r="D61" s="1826" t="s">
        <v>1431</v>
      </c>
      <c r="E61" s="1167" t="s">
        <v>1487</v>
      </c>
      <c r="F61" s="366">
        <f t="shared" si="0"/>
        <v>1.2E-2</v>
      </c>
      <c r="I61" s="1925"/>
      <c r="J61" s="1925"/>
      <c r="K61" s="1925"/>
      <c r="L61" s="1925"/>
      <c r="O61" s="1892" t="s">
        <v>1040</v>
      </c>
      <c r="P61" s="1883" t="str">
        <f>K59</f>
        <v>建设期及建筑物耐用年限下的土地年期修正系数Kn</v>
      </c>
      <c r="Q61" s="1884" t="e">
        <f ca="1">L59</f>
        <v>#DIV/0!</v>
      </c>
      <c r="R61" s="1884" t="s">
        <v>1562</v>
      </c>
    </row>
    <row r="62" spans="1:18" s="1840" customFormat="1" ht="13.5" thickBot="1">
      <c r="A62" s="1199" t="s">
        <v>1488</v>
      </c>
      <c r="B62" s="1166" t="s">
        <v>1489</v>
      </c>
      <c r="C62" s="25">
        <f ca="1">IF(项目基本情况!B11="自然人","——",ROUND(F62*F63,0))</f>
        <v>0</v>
      </c>
      <c r="D62" s="1182" t="s">
        <v>1490</v>
      </c>
      <c r="E62" s="1167" t="s">
        <v>1491</v>
      </c>
      <c r="F62" s="370">
        <f t="shared" si="0"/>
        <v>4</v>
      </c>
      <c r="I62" s="1926" t="s">
        <v>1563</v>
      </c>
      <c r="J62" s="1927" t="s">
        <v>1564</v>
      </c>
      <c r="K62" s="1927" t="s">
        <v>1565</v>
      </c>
      <c r="L62" s="1927" t="s">
        <v>1566</v>
      </c>
      <c r="M62" s="1928" t="s">
        <v>1567</v>
      </c>
      <c r="O62" s="1882" t="s">
        <v>1041</v>
      </c>
      <c r="P62" s="1883" t="s">
        <v>1568</v>
      </c>
      <c r="Q62" s="1884" t="e">
        <f ca="1">Q56+Q57</f>
        <v>#DIV/0!</v>
      </c>
      <c r="R62" s="1884" t="s">
        <v>1042</v>
      </c>
    </row>
    <row r="63" spans="1:18" s="1840" customFormat="1" ht="13.5" thickBot="1">
      <c r="A63" s="371"/>
      <c r="B63" s="1173"/>
      <c r="C63" s="29"/>
      <c r="D63" s="1183"/>
      <c r="E63" s="1167" t="s">
        <v>1492</v>
      </c>
      <c r="F63" s="347">
        <f t="shared" ca="1" si="0"/>
        <v>0</v>
      </c>
      <c r="I63" s="1926" t="s">
        <v>1569</v>
      </c>
      <c r="J63" s="1927">
        <v>70</v>
      </c>
      <c r="K63" s="1927">
        <v>50</v>
      </c>
      <c r="L63" s="1927">
        <v>80</v>
      </c>
      <c r="M63" s="1929">
        <v>0.02</v>
      </c>
      <c r="O63" s="1867" t="s">
        <v>1570</v>
      </c>
      <c r="P63" s="1837"/>
      <c r="Q63" s="1837"/>
      <c r="R63" s="1837"/>
    </row>
    <row r="64" spans="1:18" s="1840" customFormat="1" ht="13.5" thickBot="1">
      <c r="A64" s="1199" t="s">
        <v>1493</v>
      </c>
      <c r="B64" s="1167" t="s">
        <v>1494</v>
      </c>
      <c r="C64" s="24">
        <f ca="1">ROUND(C57*F64,0)</f>
        <v>0</v>
      </c>
      <c r="D64" s="1181" t="s">
        <v>1495</v>
      </c>
      <c r="E64" s="1167" t="s">
        <v>1487</v>
      </c>
      <c r="F64" s="373">
        <f t="shared" ca="1" si="0"/>
        <v>0</v>
      </c>
      <c r="I64" s="1926" t="s">
        <v>1571</v>
      </c>
      <c r="J64" s="1927">
        <v>50</v>
      </c>
      <c r="K64" s="1927">
        <v>35</v>
      </c>
      <c r="L64" s="1927">
        <v>60</v>
      </c>
      <c r="M64" s="1928">
        <v>0</v>
      </c>
      <c r="O64" s="1875" t="s">
        <v>1515</v>
      </c>
      <c r="P64" s="1876" t="s">
        <v>1516</v>
      </c>
      <c r="Q64" s="1877" t="s">
        <v>1517</v>
      </c>
      <c r="R64" s="1877" t="s">
        <v>1518</v>
      </c>
    </row>
    <row r="65" spans="1:18" s="1840" customFormat="1" ht="13.5" thickBot="1">
      <c r="A65" s="1199" t="s">
        <v>1496</v>
      </c>
      <c r="B65" s="1167" t="s">
        <v>1446</v>
      </c>
      <c r="C65" s="24">
        <f ca="1">ROUND(C56*F65,0)</f>
        <v>0</v>
      </c>
      <c r="D65" s="1181" t="s">
        <v>1447</v>
      </c>
      <c r="E65" s="1167" t="s">
        <v>1448</v>
      </c>
      <c r="F65" s="375">
        <f t="shared" ca="1" si="0"/>
        <v>0</v>
      </c>
      <c r="I65" s="1926" t="s">
        <v>1572</v>
      </c>
      <c r="J65" s="1927">
        <v>40</v>
      </c>
      <c r="K65" s="1927">
        <v>30</v>
      </c>
      <c r="L65" s="1927">
        <v>50</v>
      </c>
      <c r="M65" s="1929">
        <v>0.02</v>
      </c>
      <c r="O65" s="1882" t="s">
        <v>1035</v>
      </c>
      <c r="P65" s="1883" t="s">
        <v>1573</v>
      </c>
      <c r="Q65" s="1884">
        <f ca="1">C40+J29</f>
        <v>0</v>
      </c>
      <c r="R65" s="1884" t="s">
        <v>1522</v>
      </c>
    </row>
    <row r="66" spans="1:18" s="1840" customFormat="1" ht="16.5" thickBot="1">
      <c r="A66" s="1199" t="s">
        <v>1497</v>
      </c>
      <c r="B66" s="1167" t="s">
        <v>1432</v>
      </c>
      <c r="C66" s="24">
        <f ca="1">ROUND(C48*F66,0)</f>
        <v>0</v>
      </c>
      <c r="D66" s="1181" t="s">
        <v>1498</v>
      </c>
      <c r="E66" s="1167" t="s">
        <v>1415</v>
      </c>
      <c r="F66" s="356">
        <f t="shared" ca="1" si="0"/>
        <v>0</v>
      </c>
      <c r="O66" s="1882" t="s">
        <v>1036</v>
      </c>
      <c r="P66" s="1883" t="s">
        <v>1551</v>
      </c>
      <c r="Q66" s="1884" t="e">
        <f ca="1">L60</f>
        <v>#DIV/0!</v>
      </c>
      <c r="R66" s="1884" t="s">
        <v>1574</v>
      </c>
    </row>
    <row r="67" spans="1:18" s="1840" customFormat="1" ht="16.5" thickBot="1">
      <c r="A67" s="1174" t="s">
        <v>1026</v>
      </c>
      <c r="B67" s="1184" t="s">
        <v>1456</v>
      </c>
      <c r="C67" s="360">
        <f ca="1">C48-C58</f>
        <v>0</v>
      </c>
      <c r="D67" s="1180" t="s">
        <v>1457</v>
      </c>
      <c r="E67" s="1185"/>
      <c r="F67" s="1186"/>
      <c r="O67" s="1892" t="s">
        <v>1037</v>
      </c>
      <c r="P67" s="1883" t="s">
        <v>1555</v>
      </c>
      <c r="Q67" s="1930">
        <f ca="1">L51</f>
        <v>0</v>
      </c>
      <c r="R67" s="1884" t="s">
        <v>1575</v>
      </c>
    </row>
    <row r="68" spans="1:18" s="1840" customFormat="1" ht="16.5" thickBot="1">
      <c r="A68" s="1164" t="s">
        <v>1027</v>
      </c>
      <c r="B68" s="1165" t="s">
        <v>1478</v>
      </c>
      <c r="C68" s="345">
        <f ca="1">ROUND(C67*(1-((1+F70)/(1+F68))^F69)/(F68-F70),0)</f>
        <v>0</v>
      </c>
      <c r="D68" s="1182" t="s">
        <v>1462</v>
      </c>
      <c r="E68" s="1167" t="s">
        <v>1463</v>
      </c>
      <c r="F68" s="356">
        <f ca="1">F40</f>
        <v>0.05</v>
      </c>
      <c r="O68" s="1892" t="s">
        <v>1038</v>
      </c>
      <c r="P68" s="1931" t="s">
        <v>1576</v>
      </c>
      <c r="Q68" s="1884">
        <f ca="1">ROUND(Q69-Q70*Q71,0)</f>
        <v>0</v>
      </c>
      <c r="R68" s="1884" t="s">
        <v>1046</v>
      </c>
    </row>
    <row r="69" spans="1:18" s="1840" customFormat="1" ht="13.5" thickBot="1">
      <c r="A69" s="1168"/>
      <c r="B69" s="1169"/>
      <c r="C69" s="350"/>
      <c r="D69" s="1187" t="s">
        <v>1466</v>
      </c>
      <c r="E69" s="1167" t="s">
        <v>1467</v>
      </c>
      <c r="F69" s="378">
        <f ca="1">F41</f>
        <v>0</v>
      </c>
      <c r="O69" s="1892" t="s">
        <v>1043</v>
      </c>
      <c r="P69" s="1931" t="s">
        <v>1577</v>
      </c>
      <c r="Q69" s="1884">
        <f ca="1">C39</f>
        <v>0</v>
      </c>
      <c r="R69" s="1884" t="s">
        <v>1522</v>
      </c>
    </row>
    <row r="70" spans="1:18" s="1840" customFormat="1" ht="13.5" thickBot="1">
      <c r="A70" s="1171"/>
      <c r="B70" s="1172"/>
      <c r="C70" s="354"/>
      <c r="D70" s="1183"/>
      <c r="E70" s="1167" t="s">
        <v>1470</v>
      </c>
      <c r="F70" s="1273">
        <f ca="1">F42</f>
        <v>0</v>
      </c>
      <c r="O70" s="1892" t="s">
        <v>1044</v>
      </c>
      <c r="P70" s="1931" t="s">
        <v>1578</v>
      </c>
      <c r="Q70" s="1884">
        <f ca="1">C13</f>
        <v>0</v>
      </c>
      <c r="R70" s="1884" t="s">
        <v>1522</v>
      </c>
    </row>
    <row r="71" spans="1:18" s="1840" customFormat="1" ht="13.5" thickBot="1">
      <c r="A71" s="1188" t="s">
        <v>1028</v>
      </c>
      <c r="B71" s="1189" t="s">
        <v>1480</v>
      </c>
      <c r="C71" s="381" t="e">
        <f ca="1">ROUND(C68/F71,0)</f>
        <v>#DIV/0!</v>
      </c>
      <c r="D71" s="1190" t="s">
        <v>1481</v>
      </c>
      <c r="E71" s="1191" t="s">
        <v>1482</v>
      </c>
      <c r="F71" s="384">
        <f ca="1">F43</f>
        <v>0</v>
      </c>
      <c r="O71" s="1892" t="s">
        <v>1045</v>
      </c>
      <c r="P71" s="1931" t="s">
        <v>1579</v>
      </c>
      <c r="Q71" s="1895">
        <f ca="1">C76</f>
        <v>8.5000000000000006E-2</v>
      </c>
      <c r="R71" s="1884"/>
    </row>
    <row r="72" spans="1:18" s="1840" customFormat="1" ht="13.5" thickBot="1">
      <c r="B72" s="795"/>
      <c r="C72" s="795"/>
      <c r="O72" s="1892" t="s">
        <v>1039</v>
      </c>
      <c r="P72" s="1883" t="s">
        <v>1557</v>
      </c>
      <c r="Q72" s="1895">
        <f>L52</f>
        <v>0</v>
      </c>
      <c r="R72" s="1884"/>
    </row>
    <row r="73" spans="1:18" ht="16.5" thickBot="1">
      <c r="A73" s="1840"/>
      <c r="B73" s="795"/>
      <c r="C73" s="795"/>
      <c r="D73" s="1840"/>
      <c r="E73" s="1840"/>
      <c r="F73" s="1840"/>
      <c r="O73" s="1892" t="s">
        <v>1040</v>
      </c>
      <c r="P73" s="1883" t="s">
        <v>1560</v>
      </c>
      <c r="Q73" s="1884" t="e">
        <f ca="1">L58</f>
        <v>#DIV/0!</v>
      </c>
      <c r="R73" s="1884" t="s">
        <v>1561</v>
      </c>
    </row>
    <row r="74" spans="1:18" ht="13.5" thickBot="1">
      <c r="A74" s="1840"/>
      <c r="B74" s="316" t="s">
        <v>1580</v>
      </c>
      <c r="C74" s="1933"/>
      <c r="D74" s="1840"/>
      <c r="E74" s="1840"/>
      <c r="F74" s="1840"/>
      <c r="O74" s="1892" t="s">
        <v>1047</v>
      </c>
      <c r="P74" s="1883" t="str">
        <f>K59</f>
        <v>建设期及建筑物耐用年限下的土地年期修正系数Kn</v>
      </c>
      <c r="Q74" s="1884" t="e">
        <f ca="1">L59</f>
        <v>#DIV/0!</v>
      </c>
      <c r="R74" s="1884" t="s">
        <v>1562</v>
      </c>
    </row>
    <row r="75" spans="1:18" ht="13.5" thickBot="1">
      <c r="A75" s="1840"/>
      <c r="B75" s="385" t="s">
        <v>1499</v>
      </c>
      <c r="C75" s="386">
        <f ca="1">ROUND(C13*C76,0)</f>
        <v>0</v>
      </c>
      <c r="D75" s="1840"/>
      <c r="E75" s="1840"/>
      <c r="F75" s="1840"/>
      <c r="K75" s="1866"/>
      <c r="L75" s="1840"/>
      <c r="O75" s="1882" t="s">
        <v>1041</v>
      </c>
      <c r="P75" s="1883" t="s">
        <v>1542</v>
      </c>
      <c r="Q75" s="1884" t="e">
        <f ca="1">Q65+Q66</f>
        <v>#DIV/0!</v>
      </c>
      <c r="R75" s="1884" t="s">
        <v>1042</v>
      </c>
    </row>
    <row r="76" spans="1:18">
      <c r="B76" s="387" t="s">
        <v>1500</v>
      </c>
      <c r="C76" s="388">
        <f ca="1">INDIRECT("'数据-取费表'!j"&amp;$G$1)</f>
        <v>8.5000000000000006E-2</v>
      </c>
      <c r="I76" s="1840"/>
      <c r="J76" s="1840"/>
      <c r="K76" s="1866"/>
      <c r="L76" s="1840"/>
    </row>
    <row r="77" spans="1:18">
      <c r="B77" s="389" t="s">
        <v>1501</v>
      </c>
      <c r="C77" s="390"/>
      <c r="I77" s="1840"/>
      <c r="J77" s="1840"/>
      <c r="K77" s="1866"/>
      <c r="L77" s="1840"/>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48" activeCellId="1" sqref="B6:C9 G4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2486</v>
      </c>
      <c r="B1" s="2557"/>
      <c r="C1" s="2557"/>
      <c r="D1" s="2557"/>
      <c r="E1" s="2558"/>
    </row>
    <row r="2" spans="1:6" ht="15.75">
      <c r="A2" s="2559" t="s">
        <v>2290</v>
      </c>
      <c r="B2" s="2560">
        <f ca="1">SUMIF(B6:B13,"&lt;&gt;#ref!",B6:B13)</f>
        <v>0</v>
      </c>
      <c r="C2" s="2561" t="s">
        <v>2479</v>
      </c>
      <c r="D2" s="2562" t="s">
        <v>2480</v>
      </c>
      <c r="E2" s="2563">
        <f>SUM(E6:E13)</f>
        <v>0</v>
      </c>
    </row>
    <row r="3" spans="1:6" ht="15.75">
      <c r="A3" s="2559" t="s">
        <v>1388</v>
      </c>
      <c r="B3" s="2560" t="e">
        <f ca="1">ROUND(B2*10000/E2,0)</f>
        <v>#DIV/0!</v>
      </c>
      <c r="C3" s="2561" t="s">
        <v>2487</v>
      </c>
      <c r="D3" s="2564"/>
      <c r="E3" s="2565"/>
    </row>
    <row r="4" spans="1:6" ht="15.75">
      <c r="A4" s="2566"/>
      <c r="B4" s="2564"/>
      <c r="C4" s="2564"/>
      <c r="D4" s="2564"/>
      <c r="E4" s="2565"/>
    </row>
    <row r="5" spans="1:6" ht="15">
      <c r="A5" s="2567" t="s">
        <v>2481</v>
      </c>
      <c r="B5" s="3193" t="s">
        <v>2482</v>
      </c>
      <c r="C5" s="3193"/>
      <c r="D5" s="2568"/>
      <c r="E5" s="2569" t="s">
        <v>2483</v>
      </c>
      <c r="F5" s="2570" t="s">
        <v>2484</v>
      </c>
    </row>
    <row r="6" spans="1:6">
      <c r="A6" s="2571">
        <f>'数据-取费表'!AN6</f>
        <v>0</v>
      </c>
      <c r="B6" s="2570" t="e">
        <f ca="1">IF(F6="是",'数据-取费表'!AO6,0)</f>
        <v>#REF!</v>
      </c>
      <c r="C6" s="2561" t="s">
        <v>2479</v>
      </c>
      <c r="D6" s="2564"/>
      <c r="E6" s="2572">
        <f>IF(OR(A6=0,F6="否"),0,'数据-取费表'!K6+'数据-取费表'!S6)</f>
        <v>0</v>
      </c>
      <c r="F6" s="2573" t="s">
        <v>2485</v>
      </c>
    </row>
    <row r="7" spans="1:6">
      <c r="A7" s="2571">
        <f>'数据-取费表'!AN7</f>
        <v>0</v>
      </c>
      <c r="B7" s="2570" t="e">
        <f ca="1">IF(F7="是",'数据-取费表'!AO7,0)</f>
        <v>#REF!</v>
      </c>
      <c r="C7" s="2561" t="s">
        <v>2479</v>
      </c>
      <c r="D7" s="2564"/>
      <c r="E7" s="2572">
        <f>IF(OR(A7=0,F7="否"),0,'数据-取费表'!K7+'数据-取费表'!S7)</f>
        <v>0</v>
      </c>
      <c r="F7" s="2573" t="s">
        <v>2485</v>
      </c>
    </row>
    <row r="8" spans="1:6">
      <c r="A8" s="2571">
        <f>'数据-取费表'!AN8</f>
        <v>0</v>
      </c>
      <c r="B8" s="2570" t="e">
        <f ca="1">IF(F8="是",'数据-取费表'!AO8,0)</f>
        <v>#REF!</v>
      </c>
      <c r="C8" s="2561" t="s">
        <v>2479</v>
      </c>
      <c r="D8" s="2564"/>
      <c r="E8" s="2572">
        <f>IF(OR(A8=0,F8="否"),0,'数据-取费表'!K8+'数据-取费表'!S8)</f>
        <v>0</v>
      </c>
      <c r="F8" s="2573" t="s">
        <v>2485</v>
      </c>
    </row>
    <row r="9" spans="1:6">
      <c r="A9" s="2571">
        <f>'数据-取费表'!AN9</f>
        <v>0</v>
      </c>
      <c r="B9" s="2570" t="e">
        <f ca="1">IF(F9="是",'数据-取费表'!AO9,0)</f>
        <v>#REF!</v>
      </c>
      <c r="C9" s="2561" t="s">
        <v>2479</v>
      </c>
      <c r="D9" s="2564"/>
      <c r="E9" s="2572">
        <f>IF(OR(A9=0,F9="否"),0,'数据-取费表'!K9+'数据-取费表'!S9)</f>
        <v>0</v>
      </c>
      <c r="F9" s="2573" t="s">
        <v>2485</v>
      </c>
    </row>
    <row r="10" spans="1:6">
      <c r="A10" s="2571">
        <f>'数据-取费表'!AN10</f>
        <v>0</v>
      </c>
      <c r="B10" s="2570" t="e">
        <f ca="1">IF(F10="是",'数据-取费表'!AO10,0)</f>
        <v>#REF!</v>
      </c>
      <c r="C10" s="2561" t="s">
        <v>2479</v>
      </c>
      <c r="D10" s="2564"/>
      <c r="E10" s="2572">
        <f>IF(OR(A10=0,F10="否"),0,'数据-取费表'!K10+'数据-取费表'!S10)</f>
        <v>0</v>
      </c>
      <c r="F10" s="2573" t="s">
        <v>2485</v>
      </c>
    </row>
    <row r="11" spans="1:6">
      <c r="A11" s="2571">
        <f>'数据-取费表'!AN11</f>
        <v>0</v>
      </c>
      <c r="B11" s="2570" t="e">
        <f ca="1">IF(F11="是",'数据-取费表'!AO11,0)</f>
        <v>#REF!</v>
      </c>
      <c r="C11" s="2561" t="s">
        <v>2479</v>
      </c>
      <c r="D11" s="2564"/>
      <c r="E11" s="2572">
        <f>IF(OR(A11=0,F11="否"),0,'数据-取费表'!K11+'数据-取费表'!S11)</f>
        <v>0</v>
      </c>
      <c r="F11" s="2573" t="s">
        <v>2485</v>
      </c>
    </row>
    <row r="12" spans="1:6">
      <c r="A12" s="2571">
        <f>'数据-取费表'!AN12</f>
        <v>0</v>
      </c>
      <c r="B12" s="2570" t="e">
        <f ca="1">IF(F12="是",'数据-取费表'!AO12,0)</f>
        <v>#REF!</v>
      </c>
      <c r="C12" s="2561" t="s">
        <v>2479</v>
      </c>
      <c r="D12" s="2564"/>
      <c r="E12" s="2572">
        <f>IF(OR(A12=0,F12="否"),0,'数据-取费表'!K12+'数据-取费表'!S12)</f>
        <v>0</v>
      </c>
      <c r="F12" s="2573" t="s">
        <v>2485</v>
      </c>
    </row>
    <row r="13" spans="1:6" ht="15" thickBot="1">
      <c r="A13" s="2574">
        <f>'数据-取费表'!AN13</f>
        <v>0</v>
      </c>
      <c r="B13" s="2570" t="e">
        <f ca="1">IF(F13="是",'数据-取费表'!AO13,0)</f>
        <v>#REF!</v>
      </c>
      <c r="C13" s="2575" t="s">
        <v>2479</v>
      </c>
      <c r="D13" s="2576"/>
      <c r="E13" s="2572">
        <f>IF(OR(A13=0,F13="否"),0,'数据-取费表'!K13+'数据-取费表'!S13)</f>
        <v>0</v>
      </c>
      <c r="F13" s="2573" t="s">
        <v>2485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8" activeCellId="1" sqref="B6:C9 G48"/>
    </sheetView>
  </sheetViews>
  <sheetFormatPr defaultRowHeight="13.5"/>
  <cols>
    <col min="1" max="1" width="10.5" customWidth="1"/>
    <col min="2" max="2" width="12.875" customWidth="1"/>
    <col min="3" max="3" width="8.75" customWidth="1"/>
  </cols>
  <sheetData>
    <row r="1" spans="1:9" ht="14.25">
      <c r="A1" s="3194" t="s">
        <v>1071</v>
      </c>
      <c r="B1" s="3195"/>
      <c r="C1" s="3196"/>
      <c r="D1" s="3197">
        <f>SUM(I10,I15,I20,I21,I23)</f>
        <v>0</v>
      </c>
      <c r="E1" s="3197"/>
      <c r="F1" s="3197"/>
      <c r="G1" s="3197"/>
      <c r="H1" s="3197"/>
      <c r="I1" s="3198"/>
    </row>
    <row r="2" spans="1:9">
      <c r="A2" s="3199" t="s">
        <v>1072</v>
      </c>
      <c r="B2" s="3200" t="s">
        <v>1073</v>
      </c>
      <c r="C2" s="3200"/>
      <c r="D2" s="1299" t="s">
        <v>1074</v>
      </c>
      <c r="E2" s="1299" t="s">
        <v>1075</v>
      </c>
      <c r="F2" s="1299" t="s">
        <v>1076</v>
      </c>
      <c r="G2" s="1299" t="s">
        <v>1077</v>
      </c>
      <c r="H2" s="1299" t="s">
        <v>1078</v>
      </c>
      <c r="I2" s="1300" t="s">
        <v>1079</v>
      </c>
    </row>
    <row r="3" spans="1:9">
      <c r="A3" s="3199"/>
      <c r="B3" s="3200" t="s">
        <v>1080</v>
      </c>
      <c r="C3" s="3200"/>
      <c r="D3" s="1301"/>
      <c r="E3" s="1299"/>
      <c r="F3" s="1302"/>
      <c r="G3" s="1302"/>
      <c r="H3" s="1303"/>
      <c r="I3" s="1304">
        <f>ROUND(D3*E3*F3*G3*H3/10000,0)</f>
        <v>0</v>
      </c>
    </row>
    <row r="4" spans="1:9">
      <c r="A4" s="3199"/>
      <c r="B4" s="3200" t="s">
        <v>1081</v>
      </c>
      <c r="C4" s="3200"/>
      <c r="D4" s="1301"/>
      <c r="E4" s="1299"/>
      <c r="F4" s="1302"/>
      <c r="G4" s="1302"/>
      <c r="H4" s="1303"/>
      <c r="I4" s="1304">
        <f t="shared" ref="I4:I9" si="0">ROUND(D4*E4*F4*G4*H4/10000,0)</f>
        <v>0</v>
      </c>
    </row>
    <row r="5" spans="1:9">
      <c r="A5" s="3199"/>
      <c r="B5" s="3200" t="s">
        <v>1082</v>
      </c>
      <c r="C5" s="3200"/>
      <c r="D5" s="1301"/>
      <c r="E5" s="1299"/>
      <c r="F5" s="1302"/>
      <c r="G5" s="1302"/>
      <c r="H5" s="1303"/>
      <c r="I5" s="1304">
        <f t="shared" si="0"/>
        <v>0</v>
      </c>
    </row>
    <row r="6" spans="1:9">
      <c r="A6" s="3199"/>
      <c r="B6" s="3200" t="s">
        <v>1083</v>
      </c>
      <c r="C6" s="3200"/>
      <c r="D6" s="1301"/>
      <c r="E6" s="1299"/>
      <c r="F6" s="1302"/>
      <c r="G6" s="1302"/>
      <c r="H6" s="1303"/>
      <c r="I6" s="1304">
        <f t="shared" si="0"/>
        <v>0</v>
      </c>
    </row>
    <row r="7" spans="1:9">
      <c r="A7" s="3199"/>
      <c r="B7" s="3200" t="s">
        <v>1084</v>
      </c>
      <c r="C7" s="3200"/>
      <c r="D7" s="1301"/>
      <c r="E7" s="1299"/>
      <c r="F7" s="1302"/>
      <c r="G7" s="1302"/>
      <c r="H7" s="1303"/>
      <c r="I7" s="1304">
        <f t="shared" si="0"/>
        <v>0</v>
      </c>
    </row>
    <row r="8" spans="1:9">
      <c r="A8" s="3199"/>
      <c r="B8" s="3200" t="s">
        <v>1085</v>
      </c>
      <c r="C8" s="3200"/>
      <c r="D8" s="1301"/>
      <c r="E8" s="1299"/>
      <c r="F8" s="1302"/>
      <c r="G8" s="1302"/>
      <c r="H8" s="1303"/>
      <c r="I8" s="1304">
        <f t="shared" si="0"/>
        <v>0</v>
      </c>
    </row>
    <row r="9" spans="1:9">
      <c r="A9" s="3199"/>
      <c r="B9" s="3200" t="s">
        <v>1086</v>
      </c>
      <c r="C9" s="3200"/>
      <c r="D9" s="1301"/>
      <c r="E9" s="1299"/>
      <c r="F9" s="1302"/>
      <c r="G9" s="1302"/>
      <c r="H9" s="1303"/>
      <c r="I9" s="1304">
        <f t="shared" si="0"/>
        <v>0</v>
      </c>
    </row>
    <row r="10" spans="1:9">
      <c r="A10" s="3199"/>
      <c r="B10" s="3201" t="s">
        <v>1087</v>
      </c>
      <c r="C10" s="3201"/>
      <c r="D10" s="1305"/>
      <c r="E10" s="1305" t="e">
        <f>ROUND(D1*10000/D10/H9,0)</f>
        <v>#DIV/0!</v>
      </c>
      <c r="F10" s="1306"/>
      <c r="G10" s="1306"/>
      <c r="H10" s="1307"/>
      <c r="I10" s="1308">
        <f>SUM(I3:I9)</f>
        <v>0</v>
      </c>
    </row>
    <row r="11" spans="1:9" ht="14.25">
      <c r="A11" s="3199" t="s">
        <v>1088</v>
      </c>
      <c r="B11" s="3200" t="s">
        <v>1089</v>
      </c>
      <c r="C11" s="3200"/>
      <c r="D11" s="1301" t="s">
        <v>1090</v>
      </c>
      <c r="E11" s="1301" t="s">
        <v>1091</v>
      </c>
      <c r="F11" s="1302" t="s">
        <v>1092</v>
      </c>
      <c r="G11" s="1302" t="s">
        <v>1078</v>
      </c>
      <c r="H11" s="1309" t="s">
        <v>1093</v>
      </c>
      <c r="I11" s="1300" t="s">
        <v>1079</v>
      </c>
    </row>
    <row r="12" spans="1:9">
      <c r="A12" s="3199"/>
      <c r="B12" s="3200" t="s">
        <v>1094</v>
      </c>
      <c r="C12" s="3200"/>
      <c r="D12" s="1301"/>
      <c r="E12" s="1301"/>
      <c r="F12" s="1302"/>
      <c r="G12" s="1303"/>
      <c r="H12" s="1310"/>
      <c r="I12" s="1300">
        <f>ROUND(D12*E12*F12*G12/10000,0)</f>
        <v>0</v>
      </c>
    </row>
    <row r="13" spans="1:9">
      <c r="A13" s="3199"/>
      <c r="B13" s="3200" t="s">
        <v>1095</v>
      </c>
      <c r="C13" s="3200"/>
      <c r="D13" s="1301"/>
      <c r="E13" s="1301"/>
      <c r="F13" s="1302"/>
      <c r="G13" s="1303"/>
      <c r="H13" s="1310"/>
      <c r="I13" s="1300">
        <f>ROUND(D13*E13*F13*G13/10000,0)</f>
        <v>0</v>
      </c>
    </row>
    <row r="14" spans="1:9">
      <c r="A14" s="3199"/>
      <c r="B14" s="3200" t="s">
        <v>1096</v>
      </c>
      <c r="C14" s="3200"/>
      <c r="D14" s="1301"/>
      <c r="E14" s="1301"/>
      <c r="F14" s="1302"/>
      <c r="G14" s="1303"/>
      <c r="H14" s="1310"/>
      <c r="I14" s="1300">
        <f>ROUND(D14*E14*F14*G14/10000,0)</f>
        <v>0</v>
      </c>
    </row>
    <row r="15" spans="1:9">
      <c r="A15" s="3199"/>
      <c r="B15" s="3201" t="s">
        <v>1087</v>
      </c>
      <c r="C15" s="3201"/>
      <c r="D15" s="1305"/>
      <c r="E15" s="1305">
        <f>SUM(E12:E14)</f>
        <v>0</v>
      </c>
      <c r="F15" s="1306"/>
      <c r="G15" s="1303"/>
      <c r="H15" s="1310"/>
      <c r="I15" s="1311">
        <f>SUM(I12:I14)</f>
        <v>0</v>
      </c>
    </row>
    <row r="16" spans="1:9" ht="24">
      <c r="A16" s="3199" t="s">
        <v>1097</v>
      </c>
      <c r="B16" s="3200" t="s">
        <v>1098</v>
      </c>
      <c r="C16" s="3200"/>
      <c r="D16" s="1301" t="s">
        <v>1074</v>
      </c>
      <c r="E16" s="1312" t="s">
        <v>1099</v>
      </c>
      <c r="F16" s="1302" t="s">
        <v>1100</v>
      </c>
      <c r="G16" s="1303" t="s">
        <v>1078</v>
      </c>
      <c r="H16" s="1309" t="s">
        <v>1093</v>
      </c>
      <c r="I16" s="1300" t="s">
        <v>1079</v>
      </c>
    </row>
    <row r="17" spans="1:9" ht="14.25">
      <c r="A17" s="3199"/>
      <c r="B17" s="3200" t="s">
        <v>1101</v>
      </c>
      <c r="C17" s="3200"/>
      <c r="D17" s="1301"/>
      <c r="E17" s="1301"/>
      <c r="F17" s="1302"/>
      <c r="G17" s="1303"/>
      <c r="H17" s="1313"/>
      <c r="I17" s="1314">
        <f>ROUND(D17*E17*F17*G17/10000,0)</f>
        <v>0</v>
      </c>
    </row>
    <row r="18" spans="1:9" ht="14.25">
      <c r="A18" s="3199"/>
      <c r="B18" s="3200" t="s">
        <v>1102</v>
      </c>
      <c r="C18" s="3200"/>
      <c r="D18" s="1301"/>
      <c r="E18" s="1301"/>
      <c r="F18" s="1302"/>
      <c r="G18" s="1303"/>
      <c r="H18" s="1313"/>
      <c r="I18" s="1314">
        <f>ROUND(D18*E18*F18*G18/10000,0)</f>
        <v>0</v>
      </c>
    </row>
    <row r="19" spans="1:9" ht="14.25">
      <c r="A19" s="3199"/>
      <c r="B19" s="3200" t="s">
        <v>1103</v>
      </c>
      <c r="C19" s="3200"/>
      <c r="D19" s="1301"/>
      <c r="E19" s="1301"/>
      <c r="F19" s="1302"/>
      <c r="G19" s="1303"/>
      <c r="H19" s="1313"/>
      <c r="I19" s="1314">
        <f>ROUND(D19*E19*F19*G19/10000,0)</f>
        <v>0</v>
      </c>
    </row>
    <row r="20" spans="1:9">
      <c r="A20" s="3199"/>
      <c r="B20" s="3201" t="s">
        <v>1087</v>
      </c>
      <c r="C20" s="3201"/>
      <c r="D20" s="1305">
        <f>SUM(D17:D19)</f>
        <v>0</v>
      </c>
      <c r="E20" s="1305"/>
      <c r="F20" s="1306"/>
      <c r="G20" s="1303"/>
      <c r="H20" s="1310"/>
      <c r="I20" s="1311">
        <f>SUM(I17:I19)</f>
        <v>0</v>
      </c>
    </row>
    <row r="21" spans="1:9">
      <c r="A21" s="3199" t="s">
        <v>1104</v>
      </c>
      <c r="B21" s="3203"/>
      <c r="C21" s="3203"/>
      <c r="D21" s="3203"/>
      <c r="E21" s="3203"/>
      <c r="F21" s="3203"/>
      <c r="G21" s="3203"/>
      <c r="H21" s="1763">
        <v>0.1</v>
      </c>
      <c r="I21" s="1308">
        <f>ROUND(I10*H21,0)</f>
        <v>0</v>
      </c>
    </row>
    <row r="22" spans="1:9" ht="14.25">
      <c r="A22" s="3204" t="s">
        <v>1105</v>
      </c>
      <c r="B22" s="3205"/>
      <c r="C22" s="3206"/>
      <c r="D22" s="1315" t="s">
        <v>1106</v>
      </c>
      <c r="E22" s="1315" t="s">
        <v>1107</v>
      </c>
      <c r="F22" s="1316" t="s">
        <v>1108</v>
      </c>
      <c r="G22" s="1316" t="s">
        <v>1109</v>
      </c>
      <c r="H22" s="1309" t="s">
        <v>1110</v>
      </c>
      <c r="I22" s="1300" t="s">
        <v>1111</v>
      </c>
    </row>
    <row r="23" spans="1:9" ht="14.25" thickBot="1">
      <c r="A23" s="3207"/>
      <c r="B23" s="3208"/>
      <c r="C23" s="3209"/>
      <c r="D23" s="1317"/>
      <c r="E23" s="1317"/>
      <c r="F23" s="1317"/>
      <c r="G23" s="1318"/>
      <c r="H23" s="1319"/>
      <c r="I23" s="1320">
        <f>ROUND(E23*D23*F23*(1-G23)/10000,0)</f>
        <v>0</v>
      </c>
    </row>
    <row r="26" spans="1:9">
      <c r="A26" s="1321" t="s">
        <v>1112</v>
      </c>
      <c r="B26" s="1321"/>
      <c r="C26" s="1321"/>
      <c r="D26" s="1321"/>
      <c r="E26" s="3210">
        <f>C27-C30-C31-C32</f>
        <v>0</v>
      </c>
      <c r="F26" s="3210"/>
      <c r="G26" s="3210"/>
      <c r="H26" s="1735" t="s">
        <v>1334</v>
      </c>
    </row>
    <row r="27" spans="1:9">
      <c r="A27" s="1322">
        <v>1</v>
      </c>
      <c r="B27" s="1323" t="s">
        <v>1113</v>
      </c>
      <c r="C27" s="1323">
        <f>C28+C29</f>
        <v>0</v>
      </c>
      <c r="D27" s="1323"/>
      <c r="E27" s="3211"/>
      <c r="F27" s="3211"/>
      <c r="G27" s="3211"/>
    </row>
    <row r="28" spans="1:9">
      <c r="A28" s="1324" t="s">
        <v>1114</v>
      </c>
      <c r="B28" s="1323" t="s">
        <v>1115</v>
      </c>
      <c r="C28" s="1323"/>
      <c r="D28" s="1323"/>
      <c r="E28" s="3211"/>
      <c r="F28" s="3211"/>
      <c r="G28" s="3211"/>
    </row>
    <row r="29" spans="1:9">
      <c r="A29" s="1324" t="s">
        <v>1116</v>
      </c>
      <c r="B29" s="1323" t="s">
        <v>1117</v>
      </c>
      <c r="C29" s="1323"/>
      <c r="D29" s="1323"/>
      <c r="E29" s="1323" t="s">
        <v>1118</v>
      </c>
      <c r="F29" s="1323"/>
      <c r="G29" s="1323"/>
    </row>
    <row r="30" spans="1:9">
      <c r="A30" s="1322">
        <v>2</v>
      </c>
      <c r="B30" s="1323" t="s">
        <v>1119</v>
      </c>
      <c r="C30" s="1323">
        <f>C27*D30</f>
        <v>0</v>
      </c>
      <c r="D30" s="1325">
        <v>0.2</v>
      </c>
      <c r="E30" s="1323" t="s">
        <v>1120</v>
      </c>
      <c r="F30" s="1323"/>
      <c r="G30" s="1323"/>
    </row>
    <row r="31" spans="1:9">
      <c r="A31" s="1322">
        <v>3</v>
      </c>
      <c r="B31" s="1323" t="s">
        <v>1121</v>
      </c>
      <c r="C31" s="1323">
        <f>C25*D31</f>
        <v>0</v>
      </c>
      <c r="D31" s="1325">
        <v>0.15</v>
      </c>
      <c r="E31" s="1323" t="s">
        <v>1122</v>
      </c>
      <c r="F31" s="1323"/>
      <c r="G31" s="1323"/>
    </row>
    <row r="32" spans="1:9">
      <c r="A32" s="1322">
        <v>4</v>
      </c>
      <c r="B32" s="1323" t="s">
        <v>1123</v>
      </c>
      <c r="C32" s="1323">
        <f>C27*D32</f>
        <v>0</v>
      </c>
      <c r="D32" s="1325">
        <v>0.05</v>
      </c>
      <c r="E32" s="3202"/>
      <c r="F32" s="3202"/>
      <c r="G32" s="3202"/>
    </row>
    <row r="33" spans="1:7" hidden="1">
      <c r="A33" s="3212" t="s">
        <v>1124</v>
      </c>
      <c r="B33" s="3213"/>
      <c r="C33" s="3213"/>
      <c r="D33" s="3214"/>
      <c r="E33" s="3210"/>
      <c r="F33" s="3210"/>
      <c r="G33" s="3210"/>
    </row>
    <row r="34" spans="1:7" hidden="1">
      <c r="A34" s="1326">
        <v>1</v>
      </c>
      <c r="B34" s="1323" t="s">
        <v>1125</v>
      </c>
      <c r="C34" s="1323"/>
      <c r="D34" s="1323"/>
      <c r="E34" s="3211"/>
      <c r="F34" s="3211"/>
      <c r="G34" s="3211"/>
    </row>
    <row r="35" spans="1:7" hidden="1">
      <c r="A35" s="1326">
        <v>2</v>
      </c>
      <c r="B35" s="1323" t="s">
        <v>1126</v>
      </c>
      <c r="C35" s="1323"/>
      <c r="D35" s="1323"/>
      <c r="E35" s="3211"/>
      <c r="F35" s="3211"/>
      <c r="G35" s="3211"/>
    </row>
    <row r="36" spans="1:7" hidden="1">
      <c r="A36" s="1326">
        <v>3</v>
      </c>
      <c r="B36" s="1323" t="s">
        <v>1127</v>
      </c>
      <c r="C36" s="1323"/>
      <c r="D36" s="1323"/>
      <c r="E36" s="3211"/>
      <c r="F36" s="3211"/>
      <c r="G36" s="3211"/>
    </row>
    <row r="37" spans="1:7" hidden="1">
      <c r="A37" s="1326">
        <v>4</v>
      </c>
      <c r="B37" s="1323" t="s">
        <v>1128</v>
      </c>
      <c r="C37" s="1323"/>
      <c r="D37" s="1323"/>
      <c r="E37" s="3211"/>
      <c r="F37" s="3211"/>
      <c r="G37" s="3211"/>
    </row>
    <row r="38" spans="1:7" hidden="1">
      <c r="A38" s="3212" t="s">
        <v>1129</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N15" sqref="N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2489</v>
      </c>
      <c r="C1" s="1632" t="s">
        <v>2490</v>
      </c>
      <c r="D1" s="1619" t="s">
        <v>3103</v>
      </c>
      <c r="E1" s="2578"/>
      <c r="F1" s="2579" t="s">
        <v>2491</v>
      </c>
      <c r="G1" s="1629" t="s">
        <v>2492</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1387</v>
      </c>
      <c r="B2" s="1416">
        <f>IF(C2="——",ROUND(C49*D3/10000,0),ROUND(C49*D3/10000,0)-D2)</f>
        <v>442</v>
      </c>
      <c r="C2" s="2581" t="s">
        <v>69</v>
      </c>
      <c r="D2" s="1363" t="e">
        <f ca="1">SUMIF(INDIRECT("'"&amp;F2&amp;"'"&amp;"!A:A"),"承租人权益价值",INDIRECT("'"&amp;F2&amp;"'"&amp;"!c:c"))</f>
        <v>#REF!</v>
      </c>
      <c r="E2" s="2582" t="s">
        <v>2291</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1388</v>
      </c>
      <c r="B3" s="398">
        <f>IF(C2="——",C49,ROUND(B2*10000/D3,0))</f>
        <v>19994</v>
      </c>
      <c r="C3" s="399" t="s">
        <v>2494</v>
      </c>
      <c r="D3" s="398">
        <f>IF(D1="",'数据-汇总表'!E3,SUMIF('数据-汇总表'!$C19:$C33,D1,'数据-汇总表'!$E19:$E33))</f>
        <v>221.26</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2495</v>
      </c>
      <c r="B4" s="401"/>
      <c r="C4" s="3243" t="s">
        <v>2496</v>
      </c>
      <c r="D4" s="3244"/>
      <c r="E4" s="3245" t="s">
        <v>2497</v>
      </c>
      <c r="F4" s="3246"/>
      <c r="G4" s="3243" t="s">
        <v>2498</v>
      </c>
      <c r="H4" s="3244"/>
      <c r="I4" s="3243" t="s">
        <v>2499</v>
      </c>
      <c r="J4" s="3244"/>
      <c r="K4" s="2591" t="s">
        <v>2500</v>
      </c>
      <c r="L4" s="1128"/>
      <c r="M4" s="1129"/>
      <c r="N4" s="1129"/>
      <c r="O4" s="1129"/>
      <c r="P4" s="3247" t="s">
        <v>2501</v>
      </c>
      <c r="Q4" s="3248"/>
      <c r="R4" s="3233" t="s">
        <v>2497</v>
      </c>
      <c r="S4" s="3234"/>
      <c r="T4" s="3233" t="s">
        <v>2498</v>
      </c>
      <c r="U4" s="3234"/>
      <c r="V4" s="3232" t="s">
        <v>2499</v>
      </c>
      <c r="W4" s="3232"/>
      <c r="X4" s="2974"/>
      <c r="Y4" s="3233" t="s">
        <v>2501</v>
      </c>
      <c r="Z4" s="3234"/>
      <c r="AA4" s="3239" t="s">
        <v>2497</v>
      </c>
      <c r="AB4" s="3239" t="s">
        <v>2498</v>
      </c>
      <c r="AC4" s="3239" t="s">
        <v>2499</v>
      </c>
    </row>
    <row r="5" spans="1:29" ht="15">
      <c r="A5" s="403"/>
      <c r="B5" s="404"/>
      <c r="C5" s="3253" t="s">
        <v>3264</v>
      </c>
      <c r="D5" s="3254"/>
      <c r="E5" s="3255" t="s">
        <v>3293</v>
      </c>
      <c r="F5" s="3256"/>
      <c r="G5" s="3253" t="s">
        <v>3288</v>
      </c>
      <c r="H5" s="3254"/>
      <c r="I5" s="3253" t="s">
        <v>3289</v>
      </c>
      <c r="J5" s="3254"/>
      <c r="K5" s="2592"/>
      <c r="L5" s="1128"/>
      <c r="M5" s="1129"/>
      <c r="N5" s="1129"/>
      <c r="O5" s="1129"/>
      <c r="P5" s="3249"/>
      <c r="Q5" s="3250"/>
      <c r="R5" s="3235"/>
      <c r="S5" s="3236"/>
      <c r="T5" s="3235"/>
      <c r="U5" s="3236"/>
      <c r="V5" s="3232"/>
      <c r="W5" s="3232"/>
      <c r="X5" s="2974"/>
      <c r="Y5" s="3235"/>
      <c r="Z5" s="3236"/>
      <c r="AA5" s="3240"/>
      <c r="AB5" s="3240"/>
      <c r="AC5" s="3240"/>
    </row>
    <row r="6" spans="1:29" ht="15.75" thickBot="1">
      <c r="A6" s="405"/>
      <c r="B6" s="406"/>
      <c r="C6" s="3257" t="s">
        <v>2506</v>
      </c>
      <c r="D6" s="3258"/>
      <c r="E6" s="3259" t="s">
        <v>2506</v>
      </c>
      <c r="F6" s="3260"/>
      <c r="G6" s="3257" t="s">
        <v>2506</v>
      </c>
      <c r="H6" s="3258"/>
      <c r="I6" s="3257" t="s">
        <v>2506</v>
      </c>
      <c r="J6" s="3258"/>
      <c r="K6" s="2592" t="s">
        <v>2507</v>
      </c>
      <c r="L6" s="1128"/>
      <c r="M6" s="1129"/>
      <c r="N6" s="1129"/>
      <c r="O6" s="1129"/>
      <c r="P6" s="3251"/>
      <c r="Q6" s="3252"/>
      <c r="R6" s="3235"/>
      <c r="S6" s="3236"/>
      <c r="T6" s="3237"/>
      <c r="U6" s="3238"/>
      <c r="V6" s="3232"/>
      <c r="W6" s="3232"/>
      <c r="X6" s="2974"/>
      <c r="Y6" s="3237"/>
      <c r="Z6" s="3238"/>
      <c r="AA6" s="3241"/>
      <c r="AB6" s="3241"/>
      <c r="AC6" s="3241"/>
    </row>
    <row r="7" spans="1:29" s="116" customFormat="1" ht="15.75" thickBot="1">
      <c r="A7" s="407" t="s">
        <v>2508</v>
      </c>
      <c r="B7" s="408"/>
      <c r="C7" s="409">
        <f>'数据-取费表'!B2</f>
        <v>43906</v>
      </c>
      <c r="D7" s="410">
        <v>100</v>
      </c>
      <c r="E7" s="411">
        <v>43891</v>
      </c>
      <c r="F7" s="412">
        <f>SUMIF(58:58,YEAR(E7)&amp;"-"&amp;MONTH(E7),59:59)</f>
        <v>100</v>
      </c>
      <c r="G7" s="411">
        <v>43891</v>
      </c>
      <c r="H7" s="410">
        <f>SUMIF(58:58,YEAR(G7)&amp;"-"&amp;MONTH(G7),59:59)</f>
        <v>100</v>
      </c>
      <c r="I7" s="411">
        <v>43891</v>
      </c>
      <c r="J7" s="410">
        <f>SUMIF(58:58,YEAR(I7)&amp;"-"&amp;MONTH(I7),59:59)</f>
        <v>100</v>
      </c>
      <c r="K7" s="2593"/>
      <c r="L7" s="1130"/>
      <c r="M7" s="1131"/>
      <c r="N7" s="1131"/>
      <c r="O7" s="1131"/>
      <c r="P7" s="3229" t="s">
        <v>2509</v>
      </c>
      <c r="Q7" s="3242"/>
      <c r="R7" s="769" t="s">
        <v>22</v>
      </c>
      <c r="S7" s="770">
        <f t="shared" ref="S7:S15" si="0">F7</f>
        <v>100</v>
      </c>
      <c r="T7" s="769" t="s">
        <v>22</v>
      </c>
      <c r="U7" s="770">
        <f t="shared" ref="U7:U15" si="1">H7</f>
        <v>100</v>
      </c>
      <c r="V7" s="769" t="s">
        <v>22</v>
      </c>
      <c r="W7" s="770">
        <f t="shared" ref="W7:W15" si="2">J7</f>
        <v>100</v>
      </c>
      <c r="X7" s="771"/>
      <c r="Y7" s="3229" t="s">
        <v>2509</v>
      </c>
      <c r="Z7" s="3230"/>
      <c r="AA7" s="772">
        <f>D7/F7</f>
        <v>1</v>
      </c>
      <c r="AB7" s="772">
        <f>D7/H7</f>
        <v>1</v>
      </c>
      <c r="AC7" s="772">
        <f>D7/J7</f>
        <v>1</v>
      </c>
    </row>
    <row r="8" spans="1:29" s="116" customFormat="1" ht="15.75" thickBot="1">
      <c r="A8" s="407" t="s">
        <v>2510</v>
      </c>
      <c r="B8" s="408"/>
      <c r="C8" s="413" t="s">
        <v>3107</v>
      </c>
      <c r="D8" s="410">
        <v>100</v>
      </c>
      <c r="E8" s="2594" t="s">
        <v>3107</v>
      </c>
      <c r="F8" s="412">
        <f>SUMIF(61:61,E8,62:62)-SUMIF(61:61,C8,62:62)+100</f>
        <v>100</v>
      </c>
      <c r="G8" s="413" t="s">
        <v>3107</v>
      </c>
      <c r="H8" s="410">
        <f>SUMIF(61:61,G8,62:62)-SUMIF(61:61,C8,62:62)+100</f>
        <v>100</v>
      </c>
      <c r="I8" s="2594" t="s">
        <v>3107</v>
      </c>
      <c r="J8" s="410">
        <f>SUMIF(61:61,I8,62:62)-SUMIF(61:61,C8,62:62)+100</f>
        <v>100</v>
      </c>
      <c r="K8" s="2593"/>
      <c r="L8" s="1130"/>
      <c r="M8" s="1131"/>
      <c r="N8" s="1131"/>
      <c r="O8" s="1131"/>
      <c r="P8" s="3229" t="s">
        <v>2512</v>
      </c>
      <c r="Q8" s="3230"/>
      <c r="R8" s="769" t="s">
        <v>22</v>
      </c>
      <c r="S8" s="770">
        <f t="shared" si="0"/>
        <v>100</v>
      </c>
      <c r="T8" s="769" t="s">
        <v>22</v>
      </c>
      <c r="U8" s="770">
        <f t="shared" si="1"/>
        <v>100</v>
      </c>
      <c r="V8" s="769" t="s">
        <v>22</v>
      </c>
      <c r="W8" s="770">
        <f t="shared" si="2"/>
        <v>100</v>
      </c>
      <c r="X8" s="771"/>
      <c r="Y8" s="3229" t="s">
        <v>2512</v>
      </c>
      <c r="Z8" s="3230"/>
      <c r="AA8" s="772">
        <f t="shared" ref="AA8:AA19" si="3">D8/F8</f>
        <v>1</v>
      </c>
      <c r="AB8" s="772">
        <f t="shared" ref="AB8:AB19" si="4">D8/H8</f>
        <v>1</v>
      </c>
      <c r="AC8" s="772">
        <f t="shared" ref="AC8:AC19" si="5">D8/J8</f>
        <v>1</v>
      </c>
    </row>
    <row r="9" spans="1:29" s="116" customFormat="1">
      <c r="A9" s="414" t="s">
        <v>2513</v>
      </c>
      <c r="B9" s="71" t="s">
        <v>2514</v>
      </c>
      <c r="C9" s="2989" t="s">
        <v>3265</v>
      </c>
      <c r="D9" s="134">
        <v>100</v>
      </c>
      <c r="E9" s="416" t="s">
        <v>3018</v>
      </c>
      <c r="F9" s="417">
        <f>SUMIF(63:63,E9,64:64)-SUMIF(63:63,C9,64:64)+100</f>
        <v>100</v>
      </c>
      <c r="G9" s="418" t="s">
        <v>3018</v>
      </c>
      <c r="H9" s="134">
        <f>SUMIF(63:63,G9,64:64)-SUMIF(63:63,C9,64:64)+100</f>
        <v>100</v>
      </c>
      <c r="I9" s="418" t="s">
        <v>3018</v>
      </c>
      <c r="J9" s="134">
        <f>SUMIF(63:63,I9,64:64)-SUMIF(63:63,C9,64:64)+100</f>
        <v>100</v>
      </c>
      <c r="K9" s="2593"/>
      <c r="L9" s="1130"/>
      <c r="M9" s="1131"/>
      <c r="N9" s="1131"/>
      <c r="O9" s="1131"/>
      <c r="P9" s="3231" t="s">
        <v>2515</v>
      </c>
      <c r="Q9" s="2971" t="str">
        <f t="shared" ref="Q9:Q15" si="6">B9</f>
        <v>用途</v>
      </c>
      <c r="R9" s="769" t="s">
        <v>17</v>
      </c>
      <c r="S9" s="770">
        <f t="shared" si="0"/>
        <v>100</v>
      </c>
      <c r="T9" s="769" t="s">
        <v>17</v>
      </c>
      <c r="U9" s="770">
        <f t="shared" si="1"/>
        <v>100</v>
      </c>
      <c r="V9" s="769" t="s">
        <v>17</v>
      </c>
      <c r="W9" s="770">
        <f t="shared" si="2"/>
        <v>100</v>
      </c>
      <c r="X9" s="771"/>
      <c r="Y9" s="3063" t="s">
        <v>2516</v>
      </c>
      <c r="Z9" s="2972" t="str">
        <f t="shared" ref="Z9:Z15" si="7">Q9</f>
        <v>用途</v>
      </c>
      <c r="AA9" s="772">
        <f t="shared" si="3"/>
        <v>1</v>
      </c>
      <c r="AB9" s="772">
        <f t="shared" si="4"/>
        <v>1</v>
      </c>
      <c r="AC9" s="772">
        <f t="shared" si="5"/>
        <v>1</v>
      </c>
    </row>
    <row r="10" spans="1:29" s="426" customFormat="1" ht="27">
      <c r="A10" s="420"/>
      <c r="B10" s="2973" t="s">
        <v>2517</v>
      </c>
      <c r="C10" s="422" t="s">
        <v>3266</v>
      </c>
      <c r="D10" s="135">
        <v>100</v>
      </c>
      <c r="E10" s="423" t="s">
        <v>3266</v>
      </c>
      <c r="F10" s="424">
        <f>SUMIF(65:65,E10,66:66)-SUMIF(65:65,C10,66:66)+100</f>
        <v>100</v>
      </c>
      <c r="G10" s="422" t="s">
        <v>3266</v>
      </c>
      <c r="H10" s="135">
        <f>SUMIF(65:65,G10,66:66)-SUMIF(65:65,C10,66:66)+100</f>
        <v>100</v>
      </c>
      <c r="I10" s="422" t="s">
        <v>3266</v>
      </c>
      <c r="J10" s="135">
        <f>SUMIF(65:65,I10,66:66)-SUMIF(65:65,C10,66:66)+100</f>
        <v>100</v>
      </c>
      <c r="K10" s="425">
        <v>2</v>
      </c>
      <c r="L10" s="1133"/>
      <c r="M10" s="1134"/>
      <c r="N10" s="1134"/>
      <c r="O10" s="1134"/>
      <c r="P10" s="3231"/>
      <c r="Q10" s="2971" t="str">
        <f t="shared" si="6"/>
        <v>土地使用年限（年）</v>
      </c>
      <c r="R10" s="769" t="s">
        <v>17</v>
      </c>
      <c r="S10" s="770">
        <f t="shared" si="0"/>
        <v>100</v>
      </c>
      <c r="T10" s="769" t="s">
        <v>17</v>
      </c>
      <c r="U10" s="770">
        <f t="shared" si="1"/>
        <v>100</v>
      </c>
      <c r="V10" s="769" t="s">
        <v>17</v>
      </c>
      <c r="W10" s="770">
        <f t="shared" si="2"/>
        <v>100</v>
      </c>
      <c r="X10" s="771"/>
      <c r="Y10" s="3063"/>
      <c r="Z10" s="2972" t="str">
        <f t="shared" si="7"/>
        <v>土地使用年限（年）</v>
      </c>
      <c r="AA10" s="772">
        <f t="shared" si="3"/>
        <v>1</v>
      </c>
      <c r="AB10" s="772">
        <f t="shared" si="4"/>
        <v>1</v>
      </c>
      <c r="AC10" s="772">
        <f t="shared" si="5"/>
        <v>1</v>
      </c>
    </row>
    <row r="11" spans="1:29" ht="15.75" thickBot="1">
      <c r="A11" s="427"/>
      <c r="B11" s="2973" t="s">
        <v>2518</v>
      </c>
      <c r="C11" s="429">
        <f>'数据-汇总表'!I7</f>
        <v>2.2200000000000002</v>
      </c>
      <c r="D11" s="135">
        <v>100</v>
      </c>
      <c r="E11" s="429">
        <v>2.2999999999999998</v>
      </c>
      <c r="F11" s="424">
        <f>LOOKUP(E11,68:68,69:69)-LOOKUP(C11,68:68,69:69)+100</f>
        <v>100</v>
      </c>
      <c r="G11" s="428">
        <v>2</v>
      </c>
      <c r="H11" s="135">
        <f>LOOKUP(G11,68:68,69:69)-LOOKUP(C11,68:68,69:69)+100</f>
        <v>100</v>
      </c>
      <c r="I11" s="428">
        <v>2.5</v>
      </c>
      <c r="J11" s="135">
        <f>LOOKUP(I11,68:68,69:69)-LOOKUP(C11,68:68,69:69)+100</f>
        <v>100</v>
      </c>
      <c r="K11" s="425">
        <v>1</v>
      </c>
      <c r="L11" s="1136"/>
      <c r="M11" s="1129"/>
      <c r="N11" s="1129"/>
      <c r="O11" s="1129"/>
      <c r="P11" s="3231"/>
      <c r="Q11" s="2971" t="str">
        <f t="shared" si="6"/>
        <v>容积率</v>
      </c>
      <c r="R11" s="769" t="s">
        <v>21</v>
      </c>
      <c r="S11" s="770">
        <f t="shared" si="0"/>
        <v>100</v>
      </c>
      <c r="T11" s="769" t="s">
        <v>21</v>
      </c>
      <c r="U11" s="770">
        <f t="shared" si="1"/>
        <v>100</v>
      </c>
      <c r="V11" s="769" t="s">
        <v>21</v>
      </c>
      <c r="W11" s="770">
        <f t="shared" si="2"/>
        <v>100</v>
      </c>
      <c r="X11" s="771"/>
      <c r="Y11" s="3063"/>
      <c r="Z11" s="2972" t="str">
        <f t="shared" si="7"/>
        <v>容积率</v>
      </c>
      <c r="AA11" s="772">
        <f t="shared" si="3"/>
        <v>1</v>
      </c>
      <c r="AB11" s="772">
        <f t="shared" si="4"/>
        <v>1</v>
      </c>
      <c r="AC11" s="772">
        <f t="shared" si="5"/>
        <v>1</v>
      </c>
    </row>
    <row r="12" spans="1:29" s="116" customFormat="1" ht="15.75" hidden="1" thickBot="1">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231"/>
      <c r="Q12" s="2971">
        <f t="shared" si="6"/>
        <v>111</v>
      </c>
      <c r="R12" s="769" t="s">
        <v>21</v>
      </c>
      <c r="S12" s="770">
        <f t="shared" si="0"/>
        <v>100</v>
      </c>
      <c r="T12" s="769" t="s">
        <v>21</v>
      </c>
      <c r="U12" s="770">
        <f t="shared" si="1"/>
        <v>100</v>
      </c>
      <c r="V12" s="769" t="s">
        <v>21</v>
      </c>
      <c r="W12" s="770">
        <f t="shared" si="2"/>
        <v>100</v>
      </c>
      <c r="X12" s="771"/>
      <c r="Y12" s="3063"/>
      <c r="Z12" s="2972">
        <f t="shared" si="7"/>
        <v>111</v>
      </c>
      <c r="AA12" s="772">
        <f>D12/F12</f>
        <v>1</v>
      </c>
      <c r="AB12" s="772">
        <f>D12/H12</f>
        <v>1</v>
      </c>
      <c r="AC12" s="772">
        <f>D12/J12</f>
        <v>1</v>
      </c>
    </row>
    <row r="13" spans="1:29" ht="15.75" hidden="1" thickBot="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31"/>
      <c r="Q13" s="2971">
        <f t="shared" si="6"/>
        <v>111</v>
      </c>
      <c r="R13" s="769" t="s">
        <v>21</v>
      </c>
      <c r="S13" s="770">
        <f t="shared" si="0"/>
        <v>100</v>
      </c>
      <c r="T13" s="769" t="s">
        <v>21</v>
      </c>
      <c r="U13" s="770">
        <f t="shared" si="1"/>
        <v>100</v>
      </c>
      <c r="V13" s="769" t="s">
        <v>21</v>
      </c>
      <c r="W13" s="770">
        <f t="shared" si="2"/>
        <v>100</v>
      </c>
      <c r="X13" s="771"/>
      <c r="Y13" s="3063"/>
      <c r="Z13" s="2972">
        <f t="shared" si="7"/>
        <v>111</v>
      </c>
      <c r="AA13" s="772">
        <f t="shared" si="3"/>
        <v>1</v>
      </c>
      <c r="AB13" s="772">
        <f t="shared" si="4"/>
        <v>1</v>
      </c>
      <c r="AC13" s="772">
        <f t="shared" si="5"/>
        <v>1</v>
      </c>
    </row>
    <row r="14" spans="1:29" ht="15.75" hidden="1"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31"/>
      <c r="Q14" s="2971">
        <f t="shared" si="6"/>
        <v>111</v>
      </c>
      <c r="R14" s="769" t="s">
        <v>21</v>
      </c>
      <c r="S14" s="770">
        <f t="shared" si="0"/>
        <v>100</v>
      </c>
      <c r="T14" s="769" t="s">
        <v>21</v>
      </c>
      <c r="U14" s="770">
        <f t="shared" si="1"/>
        <v>100</v>
      </c>
      <c r="V14" s="769" t="s">
        <v>21</v>
      </c>
      <c r="W14" s="770">
        <f t="shared" si="2"/>
        <v>100</v>
      </c>
      <c r="X14" s="771"/>
      <c r="Y14" s="3063"/>
      <c r="Z14" s="2972">
        <f t="shared" si="7"/>
        <v>111</v>
      </c>
      <c r="AA14" s="772">
        <f t="shared" si="3"/>
        <v>1</v>
      </c>
      <c r="AB14" s="772">
        <f t="shared" si="4"/>
        <v>1</v>
      </c>
      <c r="AC14" s="772">
        <f t="shared" si="5"/>
        <v>1</v>
      </c>
    </row>
    <row r="15" spans="1:29" ht="99.75">
      <c r="A15" s="439" t="s">
        <v>2519</v>
      </c>
      <c r="B15" s="69" t="s">
        <v>2046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20" t="s">
        <v>2520</v>
      </c>
      <c r="Q15" s="2976" t="str">
        <f t="shared" si="6"/>
        <v>居住社区成熟度</v>
      </c>
      <c r="R15" s="773" t="s">
        <v>21</v>
      </c>
      <c r="S15" s="774">
        <f t="shared" si="0"/>
        <v>100</v>
      </c>
      <c r="T15" s="773" t="s">
        <v>21</v>
      </c>
      <c r="U15" s="774">
        <f t="shared" si="1"/>
        <v>100</v>
      </c>
      <c r="V15" s="773" t="s">
        <v>21</v>
      </c>
      <c r="W15" s="774">
        <f t="shared" si="2"/>
        <v>100</v>
      </c>
      <c r="X15" s="2974"/>
      <c r="Y15" s="3222" t="s">
        <v>2520</v>
      </c>
      <c r="Z15" s="2975" t="str">
        <f t="shared" si="7"/>
        <v>居住社区成熟度</v>
      </c>
      <c r="AA15" s="2977">
        <f t="shared" si="3"/>
        <v>1</v>
      </c>
      <c r="AB15" s="2977">
        <f t="shared" si="4"/>
        <v>1</v>
      </c>
      <c r="AC15" s="2977">
        <f t="shared" si="5"/>
        <v>1</v>
      </c>
    </row>
    <row r="16" spans="1:29" ht="15">
      <c r="A16" s="427"/>
      <c r="B16" s="445"/>
      <c r="C16" s="446" t="s">
        <v>3229</v>
      </c>
      <c r="D16" s="447"/>
      <c r="E16" s="2599" t="s">
        <v>3229</v>
      </c>
      <c r="F16" s="447"/>
      <c r="G16" s="2600" t="s">
        <v>3229</v>
      </c>
      <c r="H16" s="449"/>
      <c r="I16" s="2600" t="s">
        <v>3229</v>
      </c>
      <c r="J16" s="447"/>
      <c r="K16" s="2601"/>
      <c r="L16" s="1138"/>
      <c r="M16" s="1129"/>
      <c r="N16" s="1129"/>
      <c r="O16" s="1129"/>
      <c r="P16" s="3221"/>
      <c r="Q16" s="2976"/>
      <c r="R16" s="773"/>
      <c r="S16" s="774"/>
      <c r="T16" s="773"/>
      <c r="U16" s="774"/>
      <c r="V16" s="773"/>
      <c r="W16" s="774"/>
      <c r="X16" s="2974"/>
      <c r="Y16" s="3223"/>
      <c r="Z16" s="2975"/>
      <c r="AA16" s="2977">
        <v>1</v>
      </c>
      <c r="AB16" s="2977">
        <v>1</v>
      </c>
      <c r="AC16" s="2977">
        <v>1</v>
      </c>
    </row>
    <row r="17" spans="1:29" ht="85.5">
      <c r="A17" s="427"/>
      <c r="B17" s="450" t="s">
        <v>2058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21"/>
      <c r="Q17" s="2976" t="str">
        <f>B17</f>
        <v>交通便捷度</v>
      </c>
      <c r="R17" s="773" t="s">
        <v>21</v>
      </c>
      <c r="S17" s="774">
        <f>F17</f>
        <v>100</v>
      </c>
      <c r="T17" s="773" t="s">
        <v>21</v>
      </c>
      <c r="U17" s="774">
        <f>H17</f>
        <v>100</v>
      </c>
      <c r="V17" s="773" t="s">
        <v>21</v>
      </c>
      <c r="W17" s="774">
        <f>J17</f>
        <v>100</v>
      </c>
      <c r="X17" s="2974"/>
      <c r="Y17" s="3223"/>
      <c r="Z17" s="2975" t="str">
        <f>Q17</f>
        <v>交通便捷度</v>
      </c>
      <c r="AA17" s="2977">
        <f t="shared" si="3"/>
        <v>1</v>
      </c>
      <c r="AB17" s="2977">
        <f t="shared" si="4"/>
        <v>1</v>
      </c>
      <c r="AC17" s="2977">
        <f t="shared" si="5"/>
        <v>1</v>
      </c>
    </row>
    <row r="18" spans="1:29" ht="15">
      <c r="A18" s="427"/>
      <c r="B18" s="455"/>
      <c r="C18" s="2603" t="s">
        <v>3229</v>
      </c>
      <c r="D18" s="449"/>
      <c r="E18" s="2604" t="s">
        <v>3229</v>
      </c>
      <c r="F18" s="449"/>
      <c r="G18" s="2605" t="s">
        <v>3229</v>
      </c>
      <c r="H18" s="447"/>
      <c r="I18" s="2605" t="s">
        <v>3229</v>
      </c>
      <c r="J18" s="447"/>
      <c r="K18" s="2601"/>
      <c r="L18" s="1138"/>
      <c r="M18" s="1129"/>
      <c r="N18" s="1129"/>
      <c r="O18" s="1129"/>
      <c r="P18" s="3221"/>
      <c r="Q18" s="2976"/>
      <c r="R18" s="773"/>
      <c r="S18" s="774"/>
      <c r="T18" s="773"/>
      <c r="U18" s="774"/>
      <c r="V18" s="773"/>
      <c r="W18" s="774"/>
      <c r="X18" s="2974"/>
      <c r="Y18" s="3223"/>
      <c r="Z18" s="2975"/>
      <c r="AA18" s="2977">
        <v>1</v>
      </c>
      <c r="AB18" s="2977">
        <v>1</v>
      </c>
      <c r="AC18" s="2977">
        <v>1</v>
      </c>
    </row>
    <row r="19" spans="1:29" ht="42.75">
      <c r="A19" s="427"/>
      <c r="B19" s="450" t="s">
        <v>2056</v>
      </c>
      <c r="C19" s="2602" t="str">
        <f>估价对象房地状况!C7</f>
        <v>估价对象所在区域公共配套设施齐备情况</v>
      </c>
      <c r="D19" s="454">
        <v>100</v>
      </c>
      <c r="E19" s="458"/>
      <c r="F19" s="454">
        <f>SUMIF(80:80,E20,81:81)-SUMIF(80:80,C20,81:81)+100</f>
        <v>99</v>
      </c>
      <c r="G19" s="456"/>
      <c r="H19" s="449">
        <f>SUMIF(80:80,G20,81:81)-SUMIF(80:80,C20,81:81)+100</f>
        <v>99</v>
      </c>
      <c r="I19" s="456"/>
      <c r="J19" s="449">
        <f>SUMIF(80:80,I20,81:81)-SUMIF(80:80,C20,81:81)+100</f>
        <v>100</v>
      </c>
      <c r="K19" s="444">
        <v>1</v>
      </c>
      <c r="L19" s="1138"/>
      <c r="M19" s="1129"/>
      <c r="N19" s="1129"/>
      <c r="O19" s="1129"/>
      <c r="P19" s="3221"/>
      <c r="Q19" s="2976" t="str">
        <f>B19</f>
        <v>公共配套设施</v>
      </c>
      <c r="R19" s="773" t="s">
        <v>21</v>
      </c>
      <c r="S19" s="774">
        <f>F19</f>
        <v>99</v>
      </c>
      <c r="T19" s="773" t="s">
        <v>21</v>
      </c>
      <c r="U19" s="774">
        <f>H19</f>
        <v>99</v>
      </c>
      <c r="V19" s="773" t="s">
        <v>21</v>
      </c>
      <c r="W19" s="774">
        <f>J19</f>
        <v>100</v>
      </c>
      <c r="X19" s="2974"/>
      <c r="Y19" s="3223"/>
      <c r="Z19" s="2975" t="str">
        <f>Q19</f>
        <v>公共配套设施</v>
      </c>
      <c r="AA19" s="2977">
        <f t="shared" si="3"/>
        <v>1.0101010101010102</v>
      </c>
      <c r="AB19" s="2977">
        <f t="shared" si="4"/>
        <v>1.0101010101010102</v>
      </c>
      <c r="AC19" s="2977">
        <f t="shared" si="5"/>
        <v>1</v>
      </c>
    </row>
    <row r="20" spans="1:29" ht="15">
      <c r="A20" s="427"/>
      <c r="B20" s="455"/>
      <c r="C20" s="446" t="s">
        <v>3229</v>
      </c>
      <c r="D20" s="447"/>
      <c r="E20" s="2599" t="s">
        <v>3230</v>
      </c>
      <c r="F20" s="447"/>
      <c r="G20" s="2600" t="s">
        <v>3230</v>
      </c>
      <c r="H20" s="447"/>
      <c r="I20" s="2600" t="s">
        <v>3229</v>
      </c>
      <c r="J20" s="447"/>
      <c r="K20" s="2601"/>
      <c r="L20" s="1138"/>
      <c r="M20" s="1129"/>
      <c r="N20" s="1129"/>
      <c r="O20" s="1129"/>
      <c r="P20" s="3221"/>
      <c r="Q20" s="2976"/>
      <c r="R20" s="773"/>
      <c r="S20" s="774"/>
      <c r="T20" s="773"/>
      <c r="U20" s="774"/>
      <c r="V20" s="773"/>
      <c r="W20" s="774"/>
      <c r="X20" s="2974"/>
      <c r="Y20" s="3223"/>
      <c r="Z20" s="2975"/>
      <c r="AA20" s="2977">
        <v>1</v>
      </c>
      <c r="AB20" s="2977">
        <v>1</v>
      </c>
      <c r="AC20" s="2977">
        <v>1</v>
      </c>
    </row>
    <row r="21" spans="1:29" ht="28.5">
      <c r="A21" s="427"/>
      <c r="B21" s="1382" t="s">
        <v>2059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21"/>
      <c r="Q21" s="2976" t="str">
        <f>B21</f>
        <v>基础设施水平</v>
      </c>
      <c r="R21" s="773" t="s">
        <v>17</v>
      </c>
      <c r="S21" s="774">
        <f>F21</f>
        <v>100</v>
      </c>
      <c r="T21" s="773" t="s">
        <v>17</v>
      </c>
      <c r="U21" s="774">
        <f>H21</f>
        <v>100</v>
      </c>
      <c r="V21" s="773" t="s">
        <v>17</v>
      </c>
      <c r="W21" s="774">
        <f>J21</f>
        <v>100</v>
      </c>
      <c r="X21" s="2974"/>
      <c r="Y21" s="3223"/>
      <c r="Z21" s="2975" t="str">
        <f>Q21</f>
        <v>基础设施水平</v>
      </c>
      <c r="AA21" s="2977">
        <f t="shared" ref="AA21" si="8">D21/F21</f>
        <v>1</v>
      </c>
      <c r="AB21" s="2977">
        <f t="shared" ref="AB21" si="9">D21/H21</f>
        <v>1</v>
      </c>
      <c r="AC21" s="2977">
        <f t="shared" ref="AC21" si="10">D21/J21</f>
        <v>1</v>
      </c>
    </row>
    <row r="22" spans="1:29" ht="15">
      <c r="A22" s="427"/>
      <c r="B22" s="1382"/>
      <c r="C22" s="2603" t="s">
        <v>3231</v>
      </c>
      <c r="D22" s="447"/>
      <c r="E22" s="446" t="s">
        <v>3231</v>
      </c>
      <c r="F22" s="447"/>
      <c r="G22" s="2606" t="s">
        <v>3231</v>
      </c>
      <c r="H22" s="447"/>
      <c r="I22" s="446" t="s">
        <v>3231</v>
      </c>
      <c r="J22" s="447"/>
      <c r="K22" s="2607"/>
      <c r="L22" s="1138"/>
      <c r="M22" s="1129"/>
      <c r="N22" s="1129"/>
      <c r="O22" s="1129"/>
      <c r="P22" s="3221"/>
      <c r="Q22" s="2976"/>
      <c r="R22" s="773"/>
      <c r="S22" s="774"/>
      <c r="T22" s="773"/>
      <c r="U22" s="774"/>
      <c r="V22" s="773"/>
      <c r="W22" s="774"/>
      <c r="X22" s="2974"/>
      <c r="Y22" s="3223"/>
      <c r="Z22" s="2975"/>
      <c r="AA22" s="2977">
        <v>1</v>
      </c>
      <c r="AB22" s="2977">
        <v>1</v>
      </c>
      <c r="AC22" s="2977">
        <v>1</v>
      </c>
    </row>
    <row r="23" spans="1:29" ht="57">
      <c r="A23" s="427"/>
      <c r="B23" s="450" t="s">
        <v>2063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21"/>
      <c r="Q23" s="2976" t="str">
        <f>B23</f>
        <v>自然及人文环境</v>
      </c>
      <c r="R23" s="773" t="s">
        <v>21</v>
      </c>
      <c r="S23" s="774">
        <f>F23</f>
        <v>100</v>
      </c>
      <c r="T23" s="773" t="s">
        <v>21</v>
      </c>
      <c r="U23" s="774">
        <f>H23</f>
        <v>100</v>
      </c>
      <c r="V23" s="773" t="s">
        <v>21</v>
      </c>
      <c r="W23" s="774">
        <f>J23</f>
        <v>100</v>
      </c>
      <c r="X23" s="2974"/>
      <c r="Y23" s="3223"/>
      <c r="Z23" s="2975" t="str">
        <f>Q23</f>
        <v>自然及人文环境</v>
      </c>
      <c r="AA23" s="2977">
        <f>D23/F23</f>
        <v>1</v>
      </c>
      <c r="AB23" s="2977">
        <f>D23/H23</f>
        <v>1</v>
      </c>
      <c r="AC23" s="2977">
        <f>D23/J23</f>
        <v>1</v>
      </c>
    </row>
    <row r="24" spans="1:29" ht="15.75" thickBot="1">
      <c r="A24" s="427"/>
      <c r="B24" s="455"/>
      <c r="C24" s="446" t="s">
        <v>3229</v>
      </c>
      <c r="D24" s="447"/>
      <c r="E24" s="2599" t="s">
        <v>3229</v>
      </c>
      <c r="F24" s="447"/>
      <c r="G24" s="2600" t="s">
        <v>3229</v>
      </c>
      <c r="H24" s="447"/>
      <c r="I24" s="2600" t="s">
        <v>3229</v>
      </c>
      <c r="J24" s="447"/>
      <c r="K24" s="2601"/>
      <c r="L24" s="1138"/>
      <c r="M24" s="1129"/>
      <c r="N24" s="1129"/>
      <c r="O24" s="1129"/>
      <c r="P24" s="3221"/>
      <c r="Q24" s="2976"/>
      <c r="R24" s="773"/>
      <c r="S24" s="774"/>
      <c r="T24" s="773"/>
      <c r="U24" s="774"/>
      <c r="V24" s="773"/>
      <c r="W24" s="774"/>
      <c r="X24" s="2974"/>
      <c r="Y24" s="3223"/>
      <c r="Z24" s="2975"/>
      <c r="AA24" s="2977">
        <v>1</v>
      </c>
      <c r="AB24" s="2977">
        <v>1</v>
      </c>
      <c r="AC24" s="2977">
        <v>1</v>
      </c>
    </row>
    <row r="25" spans="1:29" ht="15.75" hidden="1" thickBot="1">
      <c r="A25" s="427"/>
      <c r="B25" s="2973" t="s">
        <v>2521</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21"/>
      <c r="Q25" s="2976" t="str">
        <f t="shared" ref="Q25:Q46" si="11">B25</f>
        <v>楼层-1</v>
      </c>
      <c r="R25" s="773" t="s">
        <v>21</v>
      </c>
      <c r="S25" s="774">
        <f t="shared" ref="S25:S46" si="12">F25</f>
        <v>100</v>
      </c>
      <c r="T25" s="773" t="s">
        <v>21</v>
      </c>
      <c r="U25" s="774">
        <f t="shared" ref="U25:U46" si="13">H25</f>
        <v>100</v>
      </c>
      <c r="V25" s="773" t="s">
        <v>21</v>
      </c>
      <c r="W25" s="774">
        <f t="shared" ref="W25:W46" si="14">J25</f>
        <v>100</v>
      </c>
      <c r="X25" s="2974"/>
      <c r="Y25" s="3223"/>
      <c r="Z25" s="2975" t="str">
        <f>Q25</f>
        <v>楼层-1</v>
      </c>
      <c r="AA25" s="2977">
        <f t="shared" ref="AA25:AA46" si="15">D25/F25</f>
        <v>1</v>
      </c>
      <c r="AB25" s="2977">
        <f t="shared" ref="AB25:AB46" si="16">D25/H25</f>
        <v>1</v>
      </c>
      <c r="AC25" s="2977">
        <f t="shared" ref="AC25:AC46" si="17">D25/J25</f>
        <v>1</v>
      </c>
    </row>
    <row r="26" spans="1:29" ht="15.75" hidden="1" thickBot="1">
      <c r="A26" s="427"/>
      <c r="B26" s="2973" t="s">
        <v>2522</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21"/>
      <c r="Q26" s="2976" t="str">
        <f t="shared" si="11"/>
        <v>朝向</v>
      </c>
      <c r="R26" s="773" t="s">
        <v>21</v>
      </c>
      <c r="S26" s="774">
        <f t="shared" si="12"/>
        <v>100</v>
      </c>
      <c r="T26" s="773" t="s">
        <v>21</v>
      </c>
      <c r="U26" s="774">
        <f t="shared" si="13"/>
        <v>100</v>
      </c>
      <c r="V26" s="773" t="s">
        <v>21</v>
      </c>
      <c r="W26" s="774">
        <f t="shared" si="14"/>
        <v>100</v>
      </c>
      <c r="X26" s="2974"/>
      <c r="Y26" s="3223"/>
      <c r="Z26" s="2975" t="str">
        <f>Q26</f>
        <v>朝向</v>
      </c>
      <c r="AA26" s="2977">
        <f t="shared" si="15"/>
        <v>1</v>
      </c>
      <c r="AB26" s="2977">
        <f t="shared" si="16"/>
        <v>1</v>
      </c>
      <c r="AC26" s="2977">
        <f t="shared" si="17"/>
        <v>1</v>
      </c>
    </row>
    <row r="27" spans="1:29" s="116" customFormat="1" ht="15.75" hidden="1" thickBot="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21"/>
      <c r="Q27" s="2971">
        <f t="shared" si="11"/>
        <v>111</v>
      </c>
      <c r="R27" s="769" t="s">
        <v>21</v>
      </c>
      <c r="S27" s="770">
        <f t="shared" si="12"/>
        <v>100</v>
      </c>
      <c r="T27" s="769" t="s">
        <v>21</v>
      </c>
      <c r="U27" s="770">
        <f t="shared" si="13"/>
        <v>100</v>
      </c>
      <c r="V27" s="769" t="s">
        <v>21</v>
      </c>
      <c r="W27" s="770">
        <f t="shared" si="14"/>
        <v>100</v>
      </c>
      <c r="X27" s="771"/>
      <c r="Y27" s="3223"/>
      <c r="Z27" s="2972">
        <f>Q27</f>
        <v>111</v>
      </c>
      <c r="AA27" s="2977">
        <f t="shared" si="15"/>
        <v>1</v>
      </c>
      <c r="AB27" s="2977">
        <f t="shared" si="16"/>
        <v>1</v>
      </c>
      <c r="AC27" s="2977">
        <f t="shared" si="17"/>
        <v>1</v>
      </c>
    </row>
    <row r="28" spans="1:29" ht="15.75" hidden="1" thickBot="1">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21"/>
      <c r="Q28" s="2976">
        <f t="shared" si="11"/>
        <v>111</v>
      </c>
      <c r="R28" s="773" t="s">
        <v>21</v>
      </c>
      <c r="S28" s="774">
        <f t="shared" si="12"/>
        <v>100</v>
      </c>
      <c r="T28" s="773" t="s">
        <v>21</v>
      </c>
      <c r="U28" s="774">
        <f t="shared" si="13"/>
        <v>100</v>
      </c>
      <c r="V28" s="773" t="s">
        <v>21</v>
      </c>
      <c r="W28" s="774">
        <f t="shared" si="14"/>
        <v>100</v>
      </c>
      <c r="X28" s="2974"/>
      <c r="Y28" s="3223"/>
      <c r="Z28" s="2975">
        <f t="shared" ref="Z28:Z46" si="18">Q28</f>
        <v>111</v>
      </c>
      <c r="AA28" s="2977">
        <f t="shared" si="15"/>
        <v>1</v>
      </c>
      <c r="AB28" s="2977">
        <f t="shared" si="16"/>
        <v>1</v>
      </c>
      <c r="AC28" s="2977">
        <f t="shared" si="17"/>
        <v>1</v>
      </c>
    </row>
    <row r="29" spans="1:29" ht="15.75" hidden="1" thickBot="1">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21"/>
      <c r="Q29" s="2976">
        <f t="shared" si="11"/>
        <v>111</v>
      </c>
      <c r="R29" s="773" t="s">
        <v>21</v>
      </c>
      <c r="S29" s="774">
        <f t="shared" si="12"/>
        <v>100</v>
      </c>
      <c r="T29" s="773" t="s">
        <v>21</v>
      </c>
      <c r="U29" s="774">
        <f t="shared" si="13"/>
        <v>100</v>
      </c>
      <c r="V29" s="773" t="s">
        <v>21</v>
      </c>
      <c r="W29" s="774">
        <f t="shared" si="14"/>
        <v>100</v>
      </c>
      <c r="X29" s="2974"/>
      <c r="Y29" s="3223"/>
      <c r="Z29" s="2975">
        <f t="shared" si="18"/>
        <v>111</v>
      </c>
      <c r="AA29" s="2977">
        <f t="shared" si="15"/>
        <v>1</v>
      </c>
      <c r="AB29" s="2977">
        <f t="shared" si="16"/>
        <v>1</v>
      </c>
      <c r="AC29" s="2977">
        <f t="shared" si="17"/>
        <v>1</v>
      </c>
    </row>
    <row r="30" spans="1:29" ht="15.75" hidden="1" thickBot="1">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21"/>
      <c r="Q30" s="2976">
        <f t="shared" si="11"/>
        <v>111</v>
      </c>
      <c r="R30" s="773" t="s">
        <v>21</v>
      </c>
      <c r="S30" s="774">
        <f t="shared" si="12"/>
        <v>100</v>
      </c>
      <c r="T30" s="773" t="s">
        <v>21</v>
      </c>
      <c r="U30" s="774">
        <f t="shared" si="13"/>
        <v>100</v>
      </c>
      <c r="V30" s="773" t="s">
        <v>21</v>
      </c>
      <c r="W30" s="774">
        <f t="shared" si="14"/>
        <v>100</v>
      </c>
      <c r="X30" s="2974"/>
      <c r="Y30" s="3223"/>
      <c r="Z30" s="2975">
        <f t="shared" si="18"/>
        <v>111</v>
      </c>
      <c r="AA30" s="2977">
        <f t="shared" si="15"/>
        <v>1</v>
      </c>
      <c r="AB30" s="2977">
        <f t="shared" si="16"/>
        <v>1</v>
      </c>
      <c r="AC30" s="2977">
        <f t="shared" si="17"/>
        <v>1</v>
      </c>
    </row>
    <row r="31" spans="1:29" ht="15.75" hidden="1"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21"/>
      <c r="Q31" s="2976">
        <f t="shared" si="11"/>
        <v>111</v>
      </c>
      <c r="R31" s="773" t="s">
        <v>21</v>
      </c>
      <c r="S31" s="774">
        <f t="shared" si="12"/>
        <v>100</v>
      </c>
      <c r="T31" s="773" t="s">
        <v>21</v>
      </c>
      <c r="U31" s="774">
        <f t="shared" si="13"/>
        <v>100</v>
      </c>
      <c r="V31" s="773" t="s">
        <v>21</v>
      </c>
      <c r="W31" s="774">
        <f t="shared" si="14"/>
        <v>100</v>
      </c>
      <c r="X31" s="2974"/>
      <c r="Y31" s="3223"/>
      <c r="Z31" s="2975">
        <f t="shared" si="18"/>
        <v>111</v>
      </c>
      <c r="AA31" s="2977">
        <f t="shared" si="15"/>
        <v>1</v>
      </c>
      <c r="AB31" s="2977">
        <f t="shared" si="16"/>
        <v>1</v>
      </c>
      <c r="AC31" s="2977">
        <f t="shared" si="17"/>
        <v>1</v>
      </c>
    </row>
    <row r="32" spans="1:29" ht="15">
      <c r="A32" s="439" t="s">
        <v>2523</v>
      </c>
      <c r="B32" s="71" t="s">
        <v>2524</v>
      </c>
      <c r="C32" s="2612" t="s">
        <v>3103</v>
      </c>
      <c r="D32" s="466">
        <v>100</v>
      </c>
      <c r="E32" s="2613" t="s">
        <v>3103</v>
      </c>
      <c r="F32" s="460">
        <f>SUMIF(100:100,E32,101:101)-SUMIF(100:100,C32,101:101)+100</f>
        <v>100</v>
      </c>
      <c r="G32" s="2612" t="s">
        <v>3103</v>
      </c>
      <c r="H32" s="466">
        <f>SUMIF(100:100,G32,101:101)-SUMIF(100:100,C32,101:101)+100</f>
        <v>100</v>
      </c>
      <c r="I32" s="2613" t="s">
        <v>3103</v>
      </c>
      <c r="J32" s="434">
        <f>SUMIF(100:100,I32,101:101)-SUMIF(100:100,C32,101:101)+100</f>
        <v>100</v>
      </c>
      <c r="K32" s="425">
        <v>6</v>
      </c>
      <c r="L32" s="1138"/>
      <c r="M32" s="1129"/>
      <c r="N32" s="1129"/>
      <c r="O32" s="1129"/>
      <c r="P32" s="3224" t="s">
        <v>2525</v>
      </c>
      <c r="Q32" s="2976" t="str">
        <f t="shared" si="11"/>
        <v>建筑类型</v>
      </c>
      <c r="R32" s="773" t="s">
        <v>21</v>
      </c>
      <c r="S32" s="774">
        <f t="shared" si="12"/>
        <v>100</v>
      </c>
      <c r="T32" s="773" t="s">
        <v>21</v>
      </c>
      <c r="U32" s="774">
        <f t="shared" si="13"/>
        <v>100</v>
      </c>
      <c r="V32" s="773" t="s">
        <v>21</v>
      </c>
      <c r="W32" s="774">
        <f t="shared" si="14"/>
        <v>100</v>
      </c>
      <c r="X32" s="2974"/>
      <c r="Y32" s="3227" t="s">
        <v>2525</v>
      </c>
      <c r="Z32" s="2975" t="str">
        <f t="shared" si="18"/>
        <v>建筑类型</v>
      </c>
      <c r="AA32" s="2977">
        <f t="shared" si="15"/>
        <v>1</v>
      </c>
      <c r="AB32" s="2977">
        <f t="shared" si="16"/>
        <v>1</v>
      </c>
      <c r="AC32" s="2977">
        <f t="shared" si="17"/>
        <v>1</v>
      </c>
    </row>
    <row r="33" spans="1:29" s="470" customFormat="1" ht="15">
      <c r="A33" s="467"/>
      <c r="B33" s="2973" t="s">
        <v>2526</v>
      </c>
      <c r="C33" s="468">
        <v>135000</v>
      </c>
      <c r="D33" s="135">
        <v>100</v>
      </c>
      <c r="E33" s="429">
        <v>87000</v>
      </c>
      <c r="F33" s="424">
        <f>LOOKUP(E33,103:103,104:104)-LOOKUP(C33,103:103,104:104)+100</f>
        <v>100</v>
      </c>
      <c r="G33" s="428">
        <v>98212</v>
      </c>
      <c r="H33" s="135">
        <f>LOOKUP(G33,103:103,104:104)-LOOKUP(C33,103:103,104:104)+100</f>
        <v>100</v>
      </c>
      <c r="I33" s="429">
        <v>280133</v>
      </c>
      <c r="J33" s="135">
        <f>LOOKUP(I33,103:103,104:104)-LOOKUP(C33,103:103,104:104)+100</f>
        <v>102</v>
      </c>
      <c r="K33" s="2596"/>
      <c r="L33" s="1136"/>
      <c r="M33" s="1139"/>
      <c r="N33" s="1139"/>
      <c r="O33" s="1139"/>
      <c r="P33" s="3225"/>
      <c r="Q33" s="775" t="str">
        <f t="shared" si="11"/>
        <v>项目建筑规模</v>
      </c>
      <c r="R33" s="776" t="s">
        <v>21</v>
      </c>
      <c r="S33" s="777">
        <f t="shared" si="12"/>
        <v>100</v>
      </c>
      <c r="T33" s="776" t="s">
        <v>21</v>
      </c>
      <c r="U33" s="777">
        <f t="shared" si="13"/>
        <v>100</v>
      </c>
      <c r="V33" s="776" t="s">
        <v>21</v>
      </c>
      <c r="W33" s="777">
        <f t="shared" si="14"/>
        <v>102</v>
      </c>
      <c r="X33" s="778"/>
      <c r="Y33" s="3227"/>
      <c r="Z33" s="779" t="str">
        <f t="shared" si="18"/>
        <v>项目建筑规模</v>
      </c>
      <c r="AA33" s="2977">
        <f t="shared" si="15"/>
        <v>1</v>
      </c>
      <c r="AB33" s="2977">
        <f t="shared" si="16"/>
        <v>1</v>
      </c>
      <c r="AC33" s="2977">
        <f t="shared" si="17"/>
        <v>0.98039215686274506</v>
      </c>
    </row>
    <row r="34" spans="1:29" ht="15">
      <c r="A34" s="471"/>
      <c r="B34" s="2973" t="s">
        <v>2527</v>
      </c>
      <c r="C34" s="2614" t="s">
        <v>3267</v>
      </c>
      <c r="D34" s="434">
        <v>100</v>
      </c>
      <c r="E34" s="2614" t="s">
        <v>3267</v>
      </c>
      <c r="F34" s="460">
        <f>SUMIF(105:105,E34,106:106)-SUMIF(105:105,C34,106:106)+100</f>
        <v>100</v>
      </c>
      <c r="G34" s="2614" t="s">
        <v>3267</v>
      </c>
      <c r="H34" s="434">
        <f>SUMIF(105:105,G34,106:106)-SUMIF(105:105,C34,106:106)+100</f>
        <v>100</v>
      </c>
      <c r="I34" s="2614" t="s">
        <v>3267</v>
      </c>
      <c r="J34" s="434">
        <f>SUMIF(105:105,I34,106:106)-SUMIF(105:105,C34,106:106)+100</f>
        <v>100</v>
      </c>
      <c r="K34" s="425">
        <v>2</v>
      </c>
      <c r="L34" s="1138"/>
      <c r="M34" s="1129"/>
      <c r="N34" s="1129"/>
      <c r="O34" s="1129"/>
      <c r="P34" s="3225"/>
      <c r="Q34" s="2976" t="str">
        <f t="shared" si="11"/>
        <v>建筑结构</v>
      </c>
      <c r="R34" s="773" t="s">
        <v>21</v>
      </c>
      <c r="S34" s="774">
        <f t="shared" si="12"/>
        <v>100</v>
      </c>
      <c r="T34" s="773" t="s">
        <v>21</v>
      </c>
      <c r="U34" s="774">
        <f t="shared" si="13"/>
        <v>100</v>
      </c>
      <c r="V34" s="773" t="s">
        <v>21</v>
      </c>
      <c r="W34" s="774">
        <f t="shared" si="14"/>
        <v>100</v>
      </c>
      <c r="X34" s="2974"/>
      <c r="Y34" s="3227"/>
      <c r="Z34" s="2975" t="str">
        <f t="shared" si="18"/>
        <v>建筑结构</v>
      </c>
      <c r="AA34" s="2977">
        <f t="shared" si="15"/>
        <v>1</v>
      </c>
      <c r="AB34" s="2977">
        <f t="shared" si="16"/>
        <v>1</v>
      </c>
      <c r="AC34" s="2977">
        <f t="shared" si="17"/>
        <v>1</v>
      </c>
    </row>
    <row r="35" spans="1:29" ht="15">
      <c r="A35" s="471"/>
      <c r="B35" s="2973" t="s">
        <v>2528</v>
      </c>
      <c r="C35" s="2608" t="s">
        <v>3269</v>
      </c>
      <c r="D35" s="434">
        <v>100</v>
      </c>
      <c r="E35" s="2608" t="s">
        <v>3269</v>
      </c>
      <c r="F35" s="460">
        <f>SUMIF(107:107,E35,108:108)-SUMIF(107:107,C35,108:108)+100</f>
        <v>100</v>
      </c>
      <c r="G35" s="2608" t="s">
        <v>3269</v>
      </c>
      <c r="H35" s="434">
        <f>SUMIF(107:107,G35,108:108)-SUMIF(107:107,C35,108:108)+100</f>
        <v>100</v>
      </c>
      <c r="I35" s="2608" t="s">
        <v>3269</v>
      </c>
      <c r="J35" s="434">
        <f>SUMIF(107:107,I35,108:108)-SUMIF(107:107,C35,108:108)+100</f>
        <v>100</v>
      </c>
      <c r="K35" s="425">
        <v>2</v>
      </c>
      <c r="L35" s="1138"/>
      <c r="M35" s="1129"/>
      <c r="N35" s="1129"/>
      <c r="O35" s="1129"/>
      <c r="P35" s="3225"/>
      <c r="Q35" s="2976" t="str">
        <f t="shared" si="11"/>
        <v>建筑品质</v>
      </c>
      <c r="R35" s="773" t="s">
        <v>21</v>
      </c>
      <c r="S35" s="774">
        <f t="shared" si="12"/>
        <v>100</v>
      </c>
      <c r="T35" s="773" t="s">
        <v>21</v>
      </c>
      <c r="U35" s="774">
        <f t="shared" si="13"/>
        <v>100</v>
      </c>
      <c r="V35" s="773" t="s">
        <v>21</v>
      </c>
      <c r="W35" s="774">
        <f t="shared" si="14"/>
        <v>100</v>
      </c>
      <c r="X35" s="2974"/>
      <c r="Y35" s="3227"/>
      <c r="Z35" s="2975" t="str">
        <f t="shared" si="18"/>
        <v>建筑品质</v>
      </c>
      <c r="AA35" s="2977">
        <f t="shared" si="15"/>
        <v>1</v>
      </c>
      <c r="AB35" s="2977">
        <f t="shared" si="16"/>
        <v>1</v>
      </c>
      <c r="AC35" s="2977">
        <f t="shared" si="17"/>
        <v>1</v>
      </c>
    </row>
    <row r="36" spans="1:29" ht="15">
      <c r="A36" s="471"/>
      <c r="B36" s="2973" t="s">
        <v>2529</v>
      </c>
      <c r="C36" s="2608" t="s">
        <v>3272</v>
      </c>
      <c r="D36" s="434">
        <v>100</v>
      </c>
      <c r="E36" s="2608" t="s">
        <v>3272</v>
      </c>
      <c r="F36" s="460">
        <f>SUMIF(109:109,E36,110:110)-SUMIF(109:109,C36,110:110)+100</f>
        <v>100</v>
      </c>
      <c r="G36" s="2608" t="s">
        <v>3272</v>
      </c>
      <c r="H36" s="434">
        <f>SUMIF(109:109,G36,110:110)-SUMIF(109:109,C36,110:110)+100</f>
        <v>100</v>
      </c>
      <c r="I36" s="2608" t="s">
        <v>3272</v>
      </c>
      <c r="J36" s="434">
        <f>SUMIF(109:109,I36,110:110)-SUMIF(109:109,C36,110:110)+100</f>
        <v>100</v>
      </c>
      <c r="K36" s="425">
        <v>3</v>
      </c>
      <c r="L36" s="1138"/>
      <c r="M36" s="1129"/>
      <c r="N36" s="1129"/>
      <c r="O36" s="1129"/>
      <c r="P36" s="3225"/>
      <c r="Q36" s="2976" t="str">
        <f t="shared" si="11"/>
        <v>公共部分装修</v>
      </c>
      <c r="R36" s="773" t="s">
        <v>21</v>
      </c>
      <c r="S36" s="774">
        <f t="shared" si="12"/>
        <v>100</v>
      </c>
      <c r="T36" s="773" t="s">
        <v>21</v>
      </c>
      <c r="U36" s="774">
        <f t="shared" si="13"/>
        <v>100</v>
      </c>
      <c r="V36" s="773" t="s">
        <v>21</v>
      </c>
      <c r="W36" s="774">
        <f t="shared" si="14"/>
        <v>100</v>
      </c>
      <c r="X36" s="2974"/>
      <c r="Y36" s="3227"/>
      <c r="Z36" s="2975" t="str">
        <f t="shared" si="18"/>
        <v>公共部分装修</v>
      </c>
      <c r="AA36" s="2977">
        <f t="shared" si="15"/>
        <v>1</v>
      </c>
      <c r="AB36" s="2977">
        <f t="shared" si="16"/>
        <v>1</v>
      </c>
      <c r="AC36" s="2977">
        <f t="shared" si="17"/>
        <v>1</v>
      </c>
    </row>
    <row r="37" spans="1:29" s="116" customFormat="1" ht="15">
      <c r="A37" s="472"/>
      <c r="B37" s="2973" t="s">
        <v>2530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25"/>
      <c r="Q37" s="2971" t="str">
        <f t="shared" si="11"/>
        <v>成新度</v>
      </c>
      <c r="R37" s="769" t="s">
        <v>21</v>
      </c>
      <c r="S37" s="770">
        <f t="shared" si="12"/>
        <v>100</v>
      </c>
      <c r="T37" s="769" t="s">
        <v>21</v>
      </c>
      <c r="U37" s="770">
        <f t="shared" si="13"/>
        <v>100</v>
      </c>
      <c r="V37" s="769" t="s">
        <v>21</v>
      </c>
      <c r="W37" s="770">
        <f t="shared" si="14"/>
        <v>100</v>
      </c>
      <c r="X37" s="771"/>
      <c r="Y37" s="3227"/>
      <c r="Z37" s="2972" t="str">
        <f t="shared" si="18"/>
        <v>成新度</v>
      </c>
      <c r="AA37" s="772">
        <f t="shared" si="15"/>
        <v>1</v>
      </c>
      <c r="AB37" s="772">
        <f t="shared" si="16"/>
        <v>1</v>
      </c>
      <c r="AC37" s="772">
        <f t="shared" si="17"/>
        <v>1</v>
      </c>
    </row>
    <row r="38" spans="1:29" ht="15">
      <c r="A38" s="471"/>
      <c r="B38" s="2973" t="s">
        <v>2531</v>
      </c>
      <c r="C38" s="2608" t="s">
        <v>3277</v>
      </c>
      <c r="D38" s="434">
        <v>100</v>
      </c>
      <c r="E38" s="2608" t="s">
        <v>3277</v>
      </c>
      <c r="F38" s="460">
        <f>SUMIF(114:114,E38,115:115)-SUMIF(114:114,C38,115:115)+100</f>
        <v>100</v>
      </c>
      <c r="G38" s="2608" t="s">
        <v>3277</v>
      </c>
      <c r="H38" s="434">
        <f>SUMIF(114:114,G38,115:115)-SUMIF(114:114,C38,115:115)+100</f>
        <v>100</v>
      </c>
      <c r="I38" s="2608" t="s">
        <v>3277</v>
      </c>
      <c r="J38" s="434">
        <f>SUMIF(114:114,I38,115:115)-SUMIF(114:114,C38,115:115)+100</f>
        <v>100</v>
      </c>
      <c r="K38" s="425">
        <v>2</v>
      </c>
      <c r="L38" s="1138"/>
      <c r="M38" s="1129"/>
      <c r="N38" s="1129"/>
      <c r="O38" s="1129"/>
      <c r="P38" s="3225" t="s">
        <v>2525</v>
      </c>
      <c r="Q38" s="2976" t="str">
        <f t="shared" si="11"/>
        <v>物业管理</v>
      </c>
      <c r="R38" s="773" t="s">
        <v>21</v>
      </c>
      <c r="S38" s="774">
        <f t="shared" si="12"/>
        <v>100</v>
      </c>
      <c r="T38" s="773" t="s">
        <v>21</v>
      </c>
      <c r="U38" s="774">
        <f t="shared" si="13"/>
        <v>100</v>
      </c>
      <c r="V38" s="773" t="s">
        <v>21</v>
      </c>
      <c r="W38" s="774">
        <f t="shared" si="14"/>
        <v>100</v>
      </c>
      <c r="X38" s="2974"/>
      <c r="Y38" s="3227" t="s">
        <v>2525</v>
      </c>
      <c r="Z38" s="2975" t="str">
        <f t="shared" si="18"/>
        <v>物业管理</v>
      </c>
      <c r="AA38" s="2977">
        <f t="shared" si="15"/>
        <v>1</v>
      </c>
      <c r="AB38" s="2977">
        <f t="shared" si="16"/>
        <v>1</v>
      </c>
      <c r="AC38" s="2977">
        <f t="shared" si="17"/>
        <v>1</v>
      </c>
    </row>
    <row r="39" spans="1:29" ht="15">
      <c r="A39" s="471"/>
      <c r="B39" s="2973" t="s">
        <v>2532</v>
      </c>
      <c r="C39" s="2608" t="s">
        <v>3231</v>
      </c>
      <c r="D39" s="434">
        <v>100</v>
      </c>
      <c r="E39" s="2608" t="s">
        <v>3231</v>
      </c>
      <c r="F39" s="460">
        <f>SUMIF(116:116,E39,117:117)-SUMIF(116:116,C39,117:117)+100</f>
        <v>100</v>
      </c>
      <c r="G39" s="2608" t="s">
        <v>3231</v>
      </c>
      <c r="H39" s="434">
        <f>SUMIF(116:116,G39,117:117)-SUMIF(116:116,C39,117:117)+100</f>
        <v>100</v>
      </c>
      <c r="I39" s="2608" t="s">
        <v>3231</v>
      </c>
      <c r="J39" s="434">
        <f>SUMIF(116:116,I39,117:117)-SUMIF(116:116,C39,117:117)+100</f>
        <v>100</v>
      </c>
      <c r="K39" s="425">
        <v>2</v>
      </c>
      <c r="L39" s="1138"/>
      <c r="M39" s="1129"/>
      <c r="N39" s="1129"/>
      <c r="O39" s="1129"/>
      <c r="P39" s="3225"/>
      <c r="Q39" s="2976" t="str">
        <f t="shared" si="11"/>
        <v>市政基础设施</v>
      </c>
      <c r="R39" s="773" t="s">
        <v>21</v>
      </c>
      <c r="S39" s="774">
        <f t="shared" si="12"/>
        <v>100</v>
      </c>
      <c r="T39" s="773" t="s">
        <v>21</v>
      </c>
      <c r="U39" s="774">
        <f t="shared" si="13"/>
        <v>100</v>
      </c>
      <c r="V39" s="773" t="s">
        <v>21</v>
      </c>
      <c r="W39" s="774">
        <f t="shared" si="14"/>
        <v>100</v>
      </c>
      <c r="X39" s="2974"/>
      <c r="Y39" s="3227"/>
      <c r="Z39" s="2975" t="str">
        <f t="shared" si="18"/>
        <v>市政基础设施</v>
      </c>
      <c r="AA39" s="2977">
        <f t="shared" si="15"/>
        <v>1</v>
      </c>
      <c r="AB39" s="2977">
        <f t="shared" si="16"/>
        <v>1</v>
      </c>
      <c r="AC39" s="2977">
        <f t="shared" si="17"/>
        <v>1</v>
      </c>
    </row>
    <row r="40" spans="1:29" ht="15" hidden="1">
      <c r="A40" s="471"/>
      <c r="B40" s="2973" t="s">
        <v>2533</v>
      </c>
      <c r="C40" s="2608"/>
      <c r="D40" s="434">
        <v>100</v>
      </c>
      <c r="E40" s="2608"/>
      <c r="F40" s="460">
        <f>SUMIF(118:118,E40,119:119)-SUMIF(118:118,C40,119:119)+100</f>
        <v>100</v>
      </c>
      <c r="G40" s="2608"/>
      <c r="H40" s="434">
        <f>SUMIF(118:118,G40,119:119)-SUMIF(118:118,C40,119:119)+100</f>
        <v>100</v>
      </c>
      <c r="I40" s="2608"/>
      <c r="J40" s="434">
        <f>SUMIF(118:118,I40,119:119)-SUMIF(118:118,C40,119:119)+100</f>
        <v>100</v>
      </c>
      <c r="K40" s="425"/>
      <c r="L40" s="1138"/>
      <c r="M40" s="1129"/>
      <c r="N40" s="1129"/>
      <c r="O40" s="1129"/>
      <c r="P40" s="3225"/>
      <c r="Q40" s="2976" t="str">
        <f t="shared" si="11"/>
        <v>房型</v>
      </c>
      <c r="R40" s="773" t="s">
        <v>21</v>
      </c>
      <c r="S40" s="774">
        <f t="shared" si="12"/>
        <v>100</v>
      </c>
      <c r="T40" s="773" t="s">
        <v>21</v>
      </c>
      <c r="U40" s="774">
        <f t="shared" si="13"/>
        <v>100</v>
      </c>
      <c r="V40" s="773" t="s">
        <v>21</v>
      </c>
      <c r="W40" s="774">
        <f t="shared" si="14"/>
        <v>100</v>
      </c>
      <c r="X40" s="2974"/>
      <c r="Y40" s="3227"/>
      <c r="Z40" s="2975" t="str">
        <f t="shared" si="18"/>
        <v>房型</v>
      </c>
      <c r="AA40" s="2977">
        <f t="shared" si="15"/>
        <v>1</v>
      </c>
      <c r="AB40" s="2977">
        <f t="shared" si="16"/>
        <v>1</v>
      </c>
      <c r="AC40" s="2977">
        <f t="shared" si="17"/>
        <v>1</v>
      </c>
    </row>
    <row r="41" spans="1:29" s="470" customFormat="1" ht="28.5" hidden="1">
      <c r="A41" s="467"/>
      <c r="B41" s="2973" t="s">
        <v>2534</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6"/>
      <c r="L41" s="1136"/>
      <c r="M41" s="1139"/>
      <c r="N41" s="1139"/>
      <c r="O41" s="1139"/>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2977">
        <f t="shared" si="15"/>
        <v>1</v>
      </c>
      <c r="AB41" s="2977">
        <f t="shared" si="16"/>
        <v>1</v>
      </c>
      <c r="AC41" s="2977">
        <f t="shared" si="17"/>
        <v>1</v>
      </c>
    </row>
    <row r="42" spans="1:29" ht="15">
      <c r="A42" s="471"/>
      <c r="B42" s="2973" t="s">
        <v>2535</v>
      </c>
      <c r="C42" s="2608" t="s">
        <v>3272</v>
      </c>
      <c r="D42" s="434">
        <v>100</v>
      </c>
      <c r="E42" s="2608" t="s">
        <v>3272</v>
      </c>
      <c r="F42" s="460">
        <f>SUMIF(122:122,E42,123:123)-SUMIF(122:122,C42,123:123)+100</f>
        <v>100</v>
      </c>
      <c r="G42" s="2608" t="s">
        <v>3272</v>
      </c>
      <c r="H42" s="434">
        <f>SUMIF(122:122,G42,123:123)-SUMIF(122:122,C42,123:123)+100</f>
        <v>100</v>
      </c>
      <c r="I42" s="2608" t="s">
        <v>3272</v>
      </c>
      <c r="J42" s="434">
        <f>SUMIF(122:122,I42,123:123)-SUMIF(122:122,C42,123:123)+100</f>
        <v>100</v>
      </c>
      <c r="K42" s="425">
        <v>2</v>
      </c>
      <c r="L42" s="1138"/>
      <c r="M42" s="1129"/>
      <c r="N42" s="1129"/>
      <c r="O42" s="1129"/>
      <c r="P42" s="3225"/>
      <c r="Q42" s="2976" t="str">
        <f t="shared" si="11"/>
        <v>内部装修</v>
      </c>
      <c r="R42" s="773" t="s">
        <v>21</v>
      </c>
      <c r="S42" s="774">
        <f t="shared" si="12"/>
        <v>100</v>
      </c>
      <c r="T42" s="773" t="s">
        <v>21</v>
      </c>
      <c r="U42" s="774">
        <f t="shared" si="13"/>
        <v>100</v>
      </c>
      <c r="V42" s="773" t="s">
        <v>21</v>
      </c>
      <c r="W42" s="774">
        <f t="shared" si="14"/>
        <v>100</v>
      </c>
      <c r="X42" s="2974"/>
      <c r="Y42" s="3227"/>
      <c r="Z42" s="2975" t="str">
        <f t="shared" si="18"/>
        <v>内部装修</v>
      </c>
      <c r="AA42" s="2977">
        <f t="shared" si="15"/>
        <v>1</v>
      </c>
      <c r="AB42" s="2977">
        <f t="shared" si="16"/>
        <v>1</v>
      </c>
      <c r="AC42" s="2977">
        <f t="shared" si="17"/>
        <v>1</v>
      </c>
    </row>
    <row r="43" spans="1:29" ht="15.75" thickBot="1">
      <c r="A43" s="471"/>
      <c r="B43" s="2973" t="s">
        <v>2536</v>
      </c>
      <c r="C43" s="2608" t="s">
        <v>3229</v>
      </c>
      <c r="D43" s="434">
        <v>100</v>
      </c>
      <c r="E43" s="2608" t="s">
        <v>3229</v>
      </c>
      <c r="F43" s="460">
        <f>SUMIF(124:124,E43,125:125)-SUMIF(124:124,C43,125:125)+100</f>
        <v>100</v>
      </c>
      <c r="G43" s="2608" t="s">
        <v>3229</v>
      </c>
      <c r="H43" s="434">
        <f>SUMIF(124:124,G43,125:125)-SUMIF(124:124,C43,125:125)+100</f>
        <v>100</v>
      </c>
      <c r="I43" s="2608" t="s">
        <v>3229</v>
      </c>
      <c r="J43" s="434">
        <f>SUMIF(124:124,I43,125:125)-SUMIF(124:124,C43,125:125)+100</f>
        <v>100</v>
      </c>
      <c r="K43" s="425">
        <v>2</v>
      </c>
      <c r="L43" s="1138"/>
      <c r="M43" s="1129"/>
      <c r="N43" s="1129"/>
      <c r="O43" s="1129"/>
      <c r="P43" s="3225"/>
      <c r="Q43" s="2976" t="str">
        <f t="shared" si="11"/>
        <v>内部装修维护情况</v>
      </c>
      <c r="R43" s="773" t="s">
        <v>21</v>
      </c>
      <c r="S43" s="774">
        <f t="shared" si="12"/>
        <v>100</v>
      </c>
      <c r="T43" s="773" t="s">
        <v>21</v>
      </c>
      <c r="U43" s="774">
        <f t="shared" si="13"/>
        <v>100</v>
      </c>
      <c r="V43" s="773" t="s">
        <v>21</v>
      </c>
      <c r="W43" s="774">
        <f t="shared" si="14"/>
        <v>100</v>
      </c>
      <c r="X43" s="2974"/>
      <c r="Y43" s="3227"/>
      <c r="Z43" s="2975" t="str">
        <f t="shared" si="18"/>
        <v>内部装修维护情况</v>
      </c>
      <c r="AA43" s="2977">
        <f t="shared" si="15"/>
        <v>1</v>
      </c>
      <c r="AB43" s="2977">
        <f t="shared" si="16"/>
        <v>1</v>
      </c>
      <c r="AC43" s="2977">
        <f t="shared" si="17"/>
        <v>1</v>
      </c>
    </row>
    <row r="44" spans="1:29" s="116" customFormat="1" ht="15.75" hidden="1" thickBot="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25"/>
      <c r="Q44" s="2971">
        <f t="shared" si="11"/>
        <v>111</v>
      </c>
      <c r="R44" s="769" t="s">
        <v>21</v>
      </c>
      <c r="S44" s="770">
        <f t="shared" si="12"/>
        <v>100</v>
      </c>
      <c r="T44" s="769" t="s">
        <v>21</v>
      </c>
      <c r="U44" s="770">
        <f t="shared" si="13"/>
        <v>100</v>
      </c>
      <c r="V44" s="769" t="s">
        <v>21</v>
      </c>
      <c r="W44" s="770">
        <f t="shared" si="14"/>
        <v>100</v>
      </c>
      <c r="X44" s="771"/>
      <c r="Y44" s="3227"/>
      <c r="Z44" s="2972">
        <f t="shared" si="18"/>
        <v>111</v>
      </c>
      <c r="AA44" s="772">
        <f t="shared" si="15"/>
        <v>1</v>
      </c>
      <c r="AB44" s="772">
        <f t="shared" si="16"/>
        <v>1</v>
      </c>
      <c r="AC44" s="772">
        <f t="shared" si="17"/>
        <v>1</v>
      </c>
    </row>
    <row r="45" spans="1:29" ht="15.75" hidden="1" thickBot="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25"/>
      <c r="Q45" s="2976">
        <f t="shared" si="11"/>
        <v>111</v>
      </c>
      <c r="R45" s="773" t="s">
        <v>21</v>
      </c>
      <c r="S45" s="774">
        <f t="shared" si="12"/>
        <v>100</v>
      </c>
      <c r="T45" s="773" t="s">
        <v>21</v>
      </c>
      <c r="U45" s="774">
        <f t="shared" si="13"/>
        <v>100</v>
      </c>
      <c r="V45" s="773" t="s">
        <v>21</v>
      </c>
      <c r="W45" s="774">
        <f t="shared" si="14"/>
        <v>100</v>
      </c>
      <c r="X45" s="2974"/>
      <c r="Y45" s="3227"/>
      <c r="Z45" s="2975">
        <f t="shared" si="18"/>
        <v>111</v>
      </c>
      <c r="AA45" s="2977">
        <f t="shared" si="15"/>
        <v>1</v>
      </c>
      <c r="AB45" s="2977">
        <f t="shared" si="16"/>
        <v>1</v>
      </c>
      <c r="AC45" s="2977">
        <f t="shared" si="17"/>
        <v>1</v>
      </c>
    </row>
    <row r="46" spans="1:29" ht="15.75" hidden="1"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26"/>
      <c r="Q46" s="2976">
        <f t="shared" si="11"/>
        <v>111</v>
      </c>
      <c r="R46" s="773" t="s">
        <v>20</v>
      </c>
      <c r="S46" s="774">
        <f t="shared" si="12"/>
        <v>100</v>
      </c>
      <c r="T46" s="773" t="s">
        <v>20</v>
      </c>
      <c r="U46" s="774">
        <f t="shared" si="13"/>
        <v>100</v>
      </c>
      <c r="V46" s="773" t="s">
        <v>20</v>
      </c>
      <c r="W46" s="774">
        <f t="shared" si="14"/>
        <v>100</v>
      </c>
      <c r="X46" s="2974"/>
      <c r="Y46" s="3228"/>
      <c r="Z46" s="2975">
        <f t="shared" si="18"/>
        <v>111</v>
      </c>
      <c r="AA46" s="2977">
        <f t="shared" si="15"/>
        <v>1</v>
      </c>
      <c r="AB46" s="2977">
        <f t="shared" si="16"/>
        <v>1</v>
      </c>
      <c r="AC46" s="2977">
        <f t="shared" si="17"/>
        <v>1</v>
      </c>
    </row>
    <row r="47" spans="1:29" ht="15">
      <c r="A47" s="478" t="s">
        <v>2537</v>
      </c>
      <c r="B47" s="479"/>
      <c r="C47" s="1405" t="s">
        <v>19</v>
      </c>
      <c r="D47" s="1406"/>
      <c r="E47" s="1407">
        <v>19000</v>
      </c>
      <c r="F47" s="1408"/>
      <c r="G47" s="1409">
        <v>20000</v>
      </c>
      <c r="H47" s="1410"/>
      <c r="I47" s="1407">
        <v>21000</v>
      </c>
      <c r="J47" s="1410"/>
      <c r="K47" s="2615"/>
      <c r="L47" s="1141"/>
      <c r="M47" s="1142"/>
      <c r="N47" s="1129"/>
      <c r="O47" s="1142"/>
      <c r="P47" s="3215" t="str">
        <f>A47</f>
        <v>成交单价（元/平方米）</v>
      </c>
      <c r="Q47" s="3215"/>
      <c r="R47" s="3216">
        <f>E47</f>
        <v>19000</v>
      </c>
      <c r="S47" s="3216"/>
      <c r="T47" s="3216">
        <f>G47</f>
        <v>20000</v>
      </c>
      <c r="U47" s="3216"/>
      <c r="V47" s="3216">
        <f>I47</f>
        <v>21000</v>
      </c>
      <c r="W47" s="3216"/>
      <c r="X47" s="758"/>
      <c r="Y47" s="780"/>
      <c r="Z47" s="758"/>
      <c r="AA47" s="758"/>
      <c r="AB47" s="758"/>
      <c r="AC47" s="758"/>
    </row>
    <row r="48" spans="1:29" ht="15.75" thickBot="1">
      <c r="A48" s="485" t="s">
        <v>2538</v>
      </c>
      <c r="B48" s="486"/>
      <c r="C48" s="1411">
        <f>R49</f>
        <v>19994</v>
      </c>
      <c r="D48" s="1412"/>
      <c r="E48" s="1413">
        <f>R48</f>
        <v>19192</v>
      </c>
      <c r="F48" s="1413"/>
      <c r="G48" s="1411">
        <f>T48</f>
        <v>20202</v>
      </c>
      <c r="H48" s="1412"/>
      <c r="I48" s="1413">
        <f>V48</f>
        <v>20588</v>
      </c>
      <c r="J48" s="1412"/>
      <c r="K48" s="2616"/>
      <c r="L48" s="1141"/>
      <c r="M48" s="1142"/>
      <c r="N48" s="1142"/>
      <c r="O48" s="1142"/>
      <c r="P48" s="3215" t="str">
        <f>A48</f>
        <v>比较价值（元/平方米）</v>
      </c>
      <c r="Q48" s="3215"/>
      <c r="R48" s="3216">
        <f>IF(F1="售价",ROUND(PRODUCT(R47,AA7:AA46),0),ROUND(PRODUCT(R47,AA7:AA46),1))</f>
        <v>19192</v>
      </c>
      <c r="S48" s="3216"/>
      <c r="T48" s="3216">
        <f>IF(F1="售价",ROUND(PRODUCT(T47,AB7:AB46),0),ROUND(PRODUCT(T47,AB7:AB46),1))</f>
        <v>20202</v>
      </c>
      <c r="U48" s="3216"/>
      <c r="V48" s="3216">
        <f>IF(F1="售价",ROUND(PRODUCT(V47,AC7:AC46),0),ROUND(PRODUCT(V47,AC7:AC46),1))</f>
        <v>20588</v>
      </c>
      <c r="W48" s="3216"/>
      <c r="X48" s="758"/>
      <c r="Y48" s="758"/>
      <c r="Z48" s="758"/>
      <c r="AA48" s="758"/>
      <c r="AB48" s="758"/>
      <c r="AC48" s="758"/>
    </row>
    <row r="49" spans="1:29" ht="15.75" thickBot="1">
      <c r="A49" s="491" t="s">
        <v>2539</v>
      </c>
      <c r="B49" s="492"/>
      <c r="C49" s="1414">
        <f>R49</f>
        <v>19994</v>
      </c>
      <c r="D49" s="1415"/>
      <c r="E49" s="1415"/>
      <c r="F49" s="1415"/>
      <c r="G49" s="1415"/>
      <c r="H49" s="1415"/>
      <c r="I49" s="1415"/>
      <c r="J49" s="1415"/>
      <c r="K49" s="2617"/>
      <c r="L49" s="1141"/>
      <c r="M49" s="1142"/>
      <c r="N49" s="1142"/>
      <c r="O49" s="1142"/>
      <c r="P49" s="3217" t="str">
        <f>A49</f>
        <v>估价对象XX用房的比较价值（楼面单价，元/平方米）</v>
      </c>
      <c r="Q49" s="3218"/>
      <c r="R49" s="3219">
        <f>IF(F1="售价",ROUND(AVERAGE(R48:V48),0),ROUND(AVERAGE(R48:V48),1))</f>
        <v>19994</v>
      </c>
      <c r="S49" s="3219"/>
      <c r="T49" s="3219"/>
      <c r="U49" s="3219"/>
      <c r="V49" s="3219"/>
      <c r="W49" s="321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2540</v>
      </c>
      <c r="D52" s="497"/>
      <c r="E52" s="498">
        <f>IF(E47&lt;E48,E48/E47-1,E47/E48-1)</f>
        <v>1.0105263157894839E-2</v>
      </c>
      <c r="F52" s="499" t="str">
        <f>IF(OR(E52&gt;=0.3,E52&lt;=-0.3),"超过30%","")</f>
        <v/>
      </c>
      <c r="G52" s="498">
        <f>IF(G47&lt;G48,G48/G47-1,G47/G48-1)</f>
        <v>1.0099999999999998E-2</v>
      </c>
      <c r="H52" s="499" t="str">
        <f>IF(OR(G52&gt;=0.3,G52&lt;=-0.3),"超过30%","")</f>
        <v/>
      </c>
      <c r="I52" s="498">
        <f>IF(I47&lt;I48,I48/I47-1,I47/I48-1)</f>
        <v>2.0011657276083117E-2</v>
      </c>
      <c r="J52" s="499" t="str">
        <f>IF(OR(I52&gt;=0.3,I52&lt;=-0.3),"超过30%","")</f>
        <v/>
      </c>
      <c r="K52" s="1103"/>
      <c r="L52" s="1104"/>
      <c r="M52" s="1142"/>
      <c r="N52" s="1142"/>
      <c r="O52" s="1142"/>
    </row>
    <row r="53" spans="1:29" ht="13.5" customHeight="1">
      <c r="A53" s="1142"/>
      <c r="B53" s="1142"/>
      <c r="C53" s="496" t="s">
        <v>2541</v>
      </c>
      <c r="D53" s="500"/>
      <c r="E53" s="498">
        <f>IF(E48&lt;G48,G48/E48-1,E48/G48-1)</f>
        <v>5.2626094205919127E-2</v>
      </c>
      <c r="F53" s="499" t="str">
        <f>IF(OR(E53&gt;=0.2,E53&lt;=-0.2),"超过20%","")</f>
        <v/>
      </c>
      <c r="G53" s="498">
        <f>IF(G48&lt;I48,I48/G48-1,G48/I48-1)</f>
        <v>1.9107019107019063E-2</v>
      </c>
      <c r="H53" s="499" t="str">
        <f>IF(OR(G53&gt;=0.2,G53&lt;=-0.2),"超过20%","")</f>
        <v/>
      </c>
      <c r="I53" s="498">
        <f>IF(I48&lt;E48,E48/I48-1,I48/E48-1)</f>
        <v>7.2738641100458468E-2</v>
      </c>
      <c r="J53" s="499" t="str">
        <f>IF(OR(I53&gt;=0.2,I53&lt;=-0.2),"超过20%","")</f>
        <v/>
      </c>
      <c r="K53" s="1103"/>
      <c r="L53" s="1104"/>
      <c r="M53" s="1142"/>
      <c r="N53" s="1142"/>
      <c r="O53" s="1142"/>
    </row>
    <row r="54" spans="1:29" s="501" customFormat="1" ht="13.5" customHeight="1">
      <c r="A54" s="1143"/>
      <c r="B54" s="1143"/>
      <c r="C54" s="496" t="s">
        <v>2542</v>
      </c>
      <c r="D54" s="500"/>
      <c r="E54" s="498">
        <f>IF(E47&lt;G47,G47/E47-1,E47/G47-1)</f>
        <v>5.2631578947368363E-2</v>
      </c>
      <c r="F54" s="499" t="str">
        <f>IF(OR(E54&gt;=0.3,E54&lt;=-0.3),"超过30%","")</f>
        <v/>
      </c>
      <c r="G54" s="498">
        <f>IF(G47&lt;I47,I47/G47-1,G47/I47-1)</f>
        <v>5.0000000000000044E-2</v>
      </c>
      <c r="H54" s="499" t="str">
        <f>IF(OR(G54&gt;=0.3,G54&lt;=-0.3),"超过30%","")</f>
        <v/>
      </c>
      <c r="I54" s="498">
        <f>IF(I47&lt;E47,E47/I47-1,I47/E47-1)</f>
        <v>0.10526315789473695</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2543</v>
      </c>
      <c r="B57" s="758"/>
      <c r="C57" s="763"/>
      <c r="D57" s="763"/>
      <c r="E57" s="763"/>
      <c r="F57" s="764"/>
      <c r="G57" s="764"/>
      <c r="H57" s="763"/>
      <c r="I57" s="763"/>
      <c r="J57" s="763"/>
      <c r="K57" s="1158"/>
      <c r="L57" s="1159"/>
      <c r="M57" s="1157"/>
      <c r="N57" s="1157"/>
      <c r="O57" s="1157"/>
      <c r="P57" s="2620"/>
      <c r="Q57" s="503"/>
    </row>
    <row r="58" spans="1:29" s="507" customFormat="1" ht="15">
      <c r="A58" s="504" t="s">
        <v>2508</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6" customFormat="1" ht="15">
      <c r="A59" s="508"/>
      <c r="B59" s="2621"/>
      <c r="C59" s="1571">
        <v>100</v>
      </c>
      <c r="D59" s="510">
        <f>C59</f>
        <v>100</v>
      </c>
      <c r="E59" s="511">
        <f>C59</f>
        <v>100</v>
      </c>
      <c r="F59" s="511">
        <f>E59-0.5</f>
        <v>99.5</v>
      </c>
      <c r="G59" s="511">
        <f t="shared" ref="G59:H59" si="20">F59-0.5</f>
        <v>99</v>
      </c>
      <c r="H59" s="511">
        <f t="shared" si="20"/>
        <v>98.5</v>
      </c>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2510</v>
      </c>
      <c r="B61" s="509"/>
      <c r="C61" s="521" t="s">
        <v>2547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1"/>
      <c r="O66" s="1151"/>
      <c r="P66" s="2624"/>
      <c r="Q66" s="503"/>
    </row>
    <row r="67" spans="1:17" ht="15.75" thickTop="1">
      <c r="A67" s="533"/>
      <c r="B67" s="545" t="s">
        <v>2518</v>
      </c>
      <c r="C67" s="546" t="str">
        <f>C68&amp;"（含）"&amp;"-"&amp;D68</f>
        <v>0（含）-1</v>
      </c>
      <c r="D67" s="546" t="str">
        <f t="shared" ref="D67:L67" si="22">D68&amp;"（含）"&amp;"-"&amp;E68</f>
        <v>1（含）-2</v>
      </c>
      <c r="E67" s="546" t="str">
        <f t="shared" si="22"/>
        <v>2（含）-3</v>
      </c>
      <c r="F67" s="546" t="str">
        <f t="shared" si="22"/>
        <v>3（含）-</v>
      </c>
      <c r="G67" s="546" t="str">
        <f t="shared" si="22"/>
        <v>（含）-</v>
      </c>
      <c r="H67" s="546" t="str">
        <f t="shared" si="22"/>
        <v>（含）-</v>
      </c>
      <c r="I67" s="546" t="str">
        <f t="shared" si="22"/>
        <v>（含）-</v>
      </c>
      <c r="J67" s="546" t="str">
        <f t="shared" si="22"/>
        <v>（含）-</v>
      </c>
      <c r="K67" s="546" t="str">
        <f>K68&amp;"（含）"&amp;"-"&amp;L68</f>
        <v>（含）-</v>
      </c>
      <c r="L67" s="546" t="str">
        <f t="shared" si="22"/>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23">C69-$K11</f>
        <v>99</v>
      </c>
      <c r="E69" s="543">
        <f t="shared" si="23"/>
        <v>98</v>
      </c>
      <c r="F69" s="543">
        <f t="shared" si="23"/>
        <v>97</v>
      </c>
      <c r="G69" s="543">
        <f t="shared" si="23"/>
        <v>96</v>
      </c>
      <c r="H69" s="543">
        <f t="shared" si="23"/>
        <v>95</v>
      </c>
      <c r="I69" s="543">
        <f t="shared" si="23"/>
        <v>94</v>
      </c>
      <c r="J69" s="543">
        <f t="shared" si="23"/>
        <v>93</v>
      </c>
      <c r="K69" s="543">
        <f t="shared" si="23"/>
        <v>92</v>
      </c>
      <c r="L69" s="543">
        <f t="shared" si="23"/>
        <v>91</v>
      </c>
      <c r="M69" s="544">
        <f t="shared" si="23"/>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4"/>
      <c r="Q81" s="503"/>
    </row>
    <row r="82" spans="1:17" ht="15.75" thickTop="1">
      <c r="A82" s="533"/>
      <c r="B82" s="545" t="s">
        <v>2059</v>
      </c>
      <c r="C82" s="538" t="s">
        <v>2564</v>
      </c>
      <c r="D82" s="538" t="s">
        <v>2565</v>
      </c>
      <c r="E82" s="538" t="s">
        <v>2566</v>
      </c>
      <c r="F82" s="538" t="s">
        <v>2567</v>
      </c>
      <c r="G82" s="538" t="s">
        <v>2568</v>
      </c>
      <c r="H82" s="538"/>
      <c r="I82" s="538"/>
      <c r="J82" s="538"/>
      <c r="K82" s="538"/>
      <c r="L82" s="538"/>
      <c r="M82" s="1380"/>
      <c r="N82" s="1151"/>
      <c r="O82" s="1151"/>
      <c r="P82" s="2624"/>
      <c r="Q82" s="503"/>
    </row>
    <row r="83" spans="1:17" ht="15.75" thickBot="1">
      <c r="A83" s="533"/>
      <c r="B83" s="545"/>
      <c r="C83" s="659">
        <v>100</v>
      </c>
      <c r="D83" s="659">
        <f>C83-$K21</f>
        <v>99</v>
      </c>
      <c r="E83" s="659">
        <f t="shared" ref="E83:G83" si="24">D83-$K21</f>
        <v>98</v>
      </c>
      <c r="F83" s="659">
        <f t="shared" si="24"/>
        <v>97</v>
      </c>
      <c r="G83" s="659">
        <f t="shared" si="24"/>
        <v>96</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2570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1"/>
      <c r="O87" s="1151"/>
      <c r="P87" s="2624"/>
      <c r="Q87" s="503"/>
    </row>
    <row r="88" spans="1:17" s="116" customFormat="1" ht="15.75" thickTop="1">
      <c r="A88" s="578"/>
      <c r="B88" s="537" t="s">
        <v>2571</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2523</v>
      </c>
      <c r="B100" s="527" t="s">
        <v>2572</v>
      </c>
      <c r="C100" s="2986" t="s">
        <v>3287</v>
      </c>
      <c r="D100" s="2986" t="s">
        <v>3284</v>
      </c>
      <c r="E100" s="2986" t="s">
        <v>3285</v>
      </c>
      <c r="F100" s="2986" t="s">
        <v>3286</v>
      </c>
      <c r="G100" s="529"/>
      <c r="H100" s="529"/>
      <c r="I100" s="529"/>
      <c r="J100" s="529"/>
      <c r="K100" s="530"/>
      <c r="L100" s="531"/>
      <c r="M100" s="532"/>
      <c r="N100" s="1150"/>
      <c r="O100" s="1150"/>
      <c r="P100" s="2624"/>
      <c r="Q100" s="503"/>
    </row>
    <row r="101" spans="1:17" ht="15.75" thickBot="1">
      <c r="A101" s="533"/>
      <c r="B101" s="542"/>
      <c r="C101" s="543">
        <v>100</v>
      </c>
      <c r="D101" s="543">
        <f t="shared" ref="D101:M101" si="27">C101-$K32</f>
        <v>94</v>
      </c>
      <c r="E101" s="543">
        <f t="shared" si="27"/>
        <v>88</v>
      </c>
      <c r="F101" s="543">
        <f t="shared" si="27"/>
        <v>82</v>
      </c>
      <c r="G101" s="543">
        <f t="shared" si="27"/>
        <v>76</v>
      </c>
      <c r="H101" s="543">
        <f t="shared" si="27"/>
        <v>70</v>
      </c>
      <c r="I101" s="543">
        <f t="shared" si="27"/>
        <v>64</v>
      </c>
      <c r="J101" s="543">
        <f t="shared" si="27"/>
        <v>58</v>
      </c>
      <c r="K101" s="543">
        <f t="shared" si="27"/>
        <v>52</v>
      </c>
      <c r="L101" s="543">
        <f t="shared" si="27"/>
        <v>46</v>
      </c>
      <c r="M101" s="543">
        <f t="shared" si="27"/>
        <v>40</v>
      </c>
      <c r="N101" s="1151"/>
      <c r="O101" s="1151"/>
      <c r="P101" s="2624"/>
      <c r="Q101" s="503"/>
    </row>
    <row r="102" spans="1:17" ht="29.25" thickTop="1">
      <c r="A102" s="533"/>
      <c r="B102" s="537" t="s">
        <v>2573</v>
      </c>
      <c r="C102" s="577" t="str">
        <f>C103&amp;"(含)"&amp;"-"&amp;D103</f>
        <v>0(含)-80000</v>
      </c>
      <c r="D102" s="577" t="str">
        <f t="shared" ref="D102:L102" si="28">D103&amp;"(含)"&amp;"-"&amp;E103</f>
        <v>80000(含)-160000</v>
      </c>
      <c r="E102" s="577" t="str">
        <f t="shared" si="28"/>
        <v>160000(含)-240000</v>
      </c>
      <c r="F102" s="577" t="str">
        <f t="shared" si="28"/>
        <v>240000(含)-320000</v>
      </c>
      <c r="G102" s="577" t="str">
        <f t="shared" si="28"/>
        <v>320000(含)-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49"/>
      <c r="O102" s="1149"/>
      <c r="P102" s="2624"/>
      <c r="Q102" s="503"/>
    </row>
    <row r="103" spans="1:17" s="470" customFormat="1">
      <c r="A103" s="592"/>
      <c r="B103" s="593"/>
      <c r="C103" s="594">
        <v>0</v>
      </c>
      <c r="D103" s="594">
        <f>C103+80000</f>
        <v>80000</v>
      </c>
      <c r="E103" s="594">
        <f t="shared" ref="E103:G103" si="29">D103+80000</f>
        <v>160000</v>
      </c>
      <c r="F103" s="594">
        <f t="shared" si="29"/>
        <v>240000</v>
      </c>
      <c r="G103" s="594">
        <f t="shared" si="29"/>
        <v>320000</v>
      </c>
      <c r="H103" s="594"/>
      <c r="I103" s="594"/>
      <c r="J103" s="595"/>
      <c r="K103" s="595"/>
      <c r="L103" s="596"/>
      <c r="M103" s="597"/>
      <c r="N103" s="1152"/>
      <c r="O103" s="1152"/>
      <c r="P103" s="2625"/>
      <c r="Q103" s="558"/>
    </row>
    <row r="104" spans="1:17" s="470" customFormat="1" ht="15.75" thickBot="1">
      <c r="A104" s="552"/>
      <c r="B104" s="542"/>
      <c r="C104" s="559">
        <v>100</v>
      </c>
      <c r="D104" s="535">
        <f>C104+1</f>
        <v>101</v>
      </c>
      <c r="E104" s="535">
        <f t="shared" ref="E104:G104" si="30">D104+1</f>
        <v>102</v>
      </c>
      <c r="F104" s="535">
        <f t="shared" si="30"/>
        <v>103</v>
      </c>
      <c r="G104" s="535">
        <f t="shared" si="30"/>
        <v>104</v>
      </c>
      <c r="H104" s="535"/>
      <c r="I104" s="535"/>
      <c r="J104" s="535"/>
      <c r="K104" s="535"/>
      <c r="L104" s="535"/>
      <c r="M104" s="535"/>
      <c r="N104" s="1151"/>
      <c r="O104" s="1151"/>
      <c r="P104" s="2625"/>
      <c r="Q104" s="558"/>
    </row>
    <row r="105" spans="1:17" ht="15" thickTop="1">
      <c r="A105" s="598"/>
      <c r="B105" s="537" t="s">
        <v>2574</v>
      </c>
      <c r="C105" s="2988" t="s">
        <v>3268</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1"/>
      <c r="O106" s="1151"/>
      <c r="P106" s="2624"/>
      <c r="Q106" s="503"/>
    </row>
    <row r="107" spans="1:17" ht="15" thickTop="1">
      <c r="A107" s="598"/>
      <c r="B107" s="537" t="s">
        <v>2575</v>
      </c>
      <c r="C107" s="2987" t="s">
        <v>3270</v>
      </c>
      <c r="D107" s="2987" t="s">
        <v>3271</v>
      </c>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32">C108-$K35</f>
        <v>98</v>
      </c>
      <c r="E108" s="543">
        <f t="shared" si="32"/>
        <v>96</v>
      </c>
      <c r="F108" s="543">
        <f t="shared" si="32"/>
        <v>94</v>
      </c>
      <c r="G108" s="543">
        <f t="shared" si="32"/>
        <v>92</v>
      </c>
      <c r="H108" s="543">
        <f t="shared" si="32"/>
        <v>90</v>
      </c>
      <c r="I108" s="543">
        <f t="shared" si="32"/>
        <v>88</v>
      </c>
      <c r="J108" s="543">
        <f t="shared" si="32"/>
        <v>86</v>
      </c>
      <c r="K108" s="543">
        <f t="shared" si="32"/>
        <v>84</v>
      </c>
      <c r="L108" s="543">
        <f t="shared" si="32"/>
        <v>82</v>
      </c>
      <c r="M108" s="543">
        <f t="shared" si="32"/>
        <v>80</v>
      </c>
      <c r="N108" s="1151"/>
      <c r="O108" s="1151"/>
      <c r="P108" s="2624"/>
      <c r="Q108" s="503"/>
    </row>
    <row r="109" spans="1:17" ht="15" thickTop="1">
      <c r="A109" s="598"/>
      <c r="B109" s="537" t="s">
        <v>2576</v>
      </c>
      <c r="C109" s="2988" t="s">
        <v>3273</v>
      </c>
      <c r="D109" s="2988" t="s">
        <v>3274</v>
      </c>
      <c r="E109" s="2988" t="s">
        <v>3275</v>
      </c>
      <c r="F109" s="2987" t="s">
        <v>3276</v>
      </c>
      <c r="G109" s="582"/>
      <c r="H109" s="582"/>
      <c r="I109" s="582"/>
      <c r="J109" s="582"/>
      <c r="K109" s="583"/>
      <c r="L109" s="584"/>
      <c r="M109" s="585"/>
      <c r="N109" s="1150"/>
      <c r="O109" s="1150"/>
      <c r="P109" s="2624"/>
      <c r="Q109" s="503"/>
    </row>
    <row r="110" spans="1:17" ht="15.75" thickBot="1">
      <c r="A110" s="533"/>
      <c r="B110" s="542"/>
      <c r="C110" s="543">
        <v>100</v>
      </c>
      <c r="D110" s="543">
        <f t="shared" ref="D110:M110" si="33">C110-$K36</f>
        <v>97</v>
      </c>
      <c r="E110" s="543">
        <f t="shared" si="33"/>
        <v>94</v>
      </c>
      <c r="F110" s="543">
        <f t="shared" si="33"/>
        <v>91</v>
      </c>
      <c r="G110" s="543">
        <f t="shared" si="33"/>
        <v>88</v>
      </c>
      <c r="H110" s="543">
        <f t="shared" si="33"/>
        <v>85</v>
      </c>
      <c r="I110" s="543">
        <f t="shared" si="33"/>
        <v>82</v>
      </c>
      <c r="J110" s="543">
        <f t="shared" si="33"/>
        <v>79</v>
      </c>
      <c r="K110" s="543">
        <f t="shared" si="33"/>
        <v>76</v>
      </c>
      <c r="L110" s="543">
        <f t="shared" si="33"/>
        <v>73</v>
      </c>
      <c r="M110" s="543">
        <f t="shared" si="33"/>
        <v>70</v>
      </c>
      <c r="N110" s="1151"/>
      <c r="O110" s="1151"/>
      <c r="P110" s="2624"/>
      <c r="Q110" s="503"/>
    </row>
    <row r="111" spans="1:17" s="470" customFormat="1" ht="15" thickTop="1">
      <c r="A111" s="592"/>
      <c r="B111" s="537" t="s">
        <v>1966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2577</v>
      </c>
      <c r="C114" s="2988" t="s">
        <v>3278</v>
      </c>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4">C115-$K38</f>
        <v>98</v>
      </c>
      <c r="E115" s="543">
        <f t="shared" si="34"/>
        <v>96</v>
      </c>
      <c r="F115" s="543">
        <f t="shared" si="34"/>
        <v>94</v>
      </c>
      <c r="G115" s="543">
        <f t="shared" si="34"/>
        <v>92</v>
      </c>
      <c r="H115" s="543">
        <f t="shared" si="34"/>
        <v>90</v>
      </c>
      <c r="I115" s="543">
        <f t="shared" si="34"/>
        <v>88</v>
      </c>
      <c r="J115" s="543">
        <f t="shared" si="34"/>
        <v>86</v>
      </c>
      <c r="K115" s="543">
        <f t="shared" si="34"/>
        <v>84</v>
      </c>
      <c r="L115" s="543">
        <f t="shared" si="34"/>
        <v>82</v>
      </c>
      <c r="M115" s="543">
        <f t="shared" si="34"/>
        <v>80</v>
      </c>
      <c r="N115" s="1151"/>
      <c r="O115" s="1151"/>
      <c r="P115" s="2624"/>
      <c r="Q115" s="503"/>
    </row>
    <row r="116" spans="1:17" ht="15" thickTop="1">
      <c r="A116" s="598"/>
      <c r="B116" s="537" t="s">
        <v>2578</v>
      </c>
      <c r="C116" s="2988" t="s">
        <v>3279</v>
      </c>
      <c r="D116" s="2988" t="s">
        <v>3280</v>
      </c>
      <c r="E116" s="2988" t="s">
        <v>3281</v>
      </c>
      <c r="F116" s="2988" t="s">
        <v>3282</v>
      </c>
      <c r="G116" s="2988" t="s">
        <v>3283</v>
      </c>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2579</v>
      </c>
      <c r="C118" s="2987"/>
      <c r="D118" s="2987"/>
      <c r="E118" s="2987"/>
      <c r="F118" s="2987"/>
      <c r="G118" s="582"/>
      <c r="H118" s="582"/>
      <c r="I118" s="582"/>
      <c r="J118" s="582"/>
      <c r="K118" s="583"/>
      <c r="L118" s="584"/>
      <c r="M118" s="585"/>
      <c r="N118" s="1150"/>
      <c r="O118" s="1150"/>
      <c r="P118" s="2624"/>
      <c r="Q118" s="503"/>
    </row>
    <row r="119" spans="1:17" ht="15.75" thickBot="1">
      <c r="A119" s="533"/>
      <c r="B119" s="542"/>
      <c r="C119" s="543">
        <v>100</v>
      </c>
      <c r="D119" s="543">
        <f t="shared" ref="D119:M119" si="35">C119-$K40</f>
        <v>100</v>
      </c>
      <c r="E119" s="543">
        <f t="shared" si="35"/>
        <v>100</v>
      </c>
      <c r="F119" s="543">
        <f t="shared" si="35"/>
        <v>100</v>
      </c>
      <c r="G119" s="543">
        <f t="shared" si="35"/>
        <v>100</v>
      </c>
      <c r="H119" s="543">
        <f t="shared" si="35"/>
        <v>100</v>
      </c>
      <c r="I119" s="543">
        <f t="shared" si="35"/>
        <v>100</v>
      </c>
      <c r="J119" s="543">
        <f t="shared" si="35"/>
        <v>100</v>
      </c>
      <c r="K119" s="543">
        <f t="shared" si="35"/>
        <v>100</v>
      </c>
      <c r="L119" s="543">
        <f t="shared" si="35"/>
        <v>100</v>
      </c>
      <c r="M119" s="543">
        <f t="shared" si="35"/>
        <v>100</v>
      </c>
      <c r="N119" s="1151"/>
      <c r="O119" s="1151"/>
      <c r="P119" s="2624"/>
      <c r="Q119" s="503"/>
    </row>
    <row r="120" spans="1:17" s="470" customFormat="1" ht="28.5" thickTop="1">
      <c r="A120" s="592"/>
      <c r="B120" s="537" t="s">
        <v>2534</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2580</v>
      </c>
      <c r="C122" s="2988" t="s">
        <v>3273</v>
      </c>
      <c r="D122" s="2988" t="s">
        <v>3274</v>
      </c>
      <c r="E122" s="2988" t="s">
        <v>3275</v>
      </c>
      <c r="F122" s="2987" t="s">
        <v>3276</v>
      </c>
      <c r="G122" s="582"/>
      <c r="H122" s="582"/>
      <c r="I122" s="582"/>
      <c r="J122" s="582"/>
      <c r="K122" s="583"/>
      <c r="L122" s="584"/>
      <c r="M122" s="585"/>
      <c r="N122" s="1150"/>
      <c r="O122" s="1150"/>
      <c r="P122" s="2624"/>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2582</v>
      </c>
    </row>
    <row r="137" spans="1:17" ht="15">
      <c r="B137" s="2632" t="s">
        <v>2583</v>
      </c>
      <c r="C137" s="2633"/>
      <c r="D137" s="2633"/>
      <c r="E137" s="2633"/>
      <c r="F137" s="2633"/>
      <c r="G137" s="2634"/>
      <c r="H137" s="2635"/>
      <c r="I137" s="2636" t="s">
        <v>2584</v>
      </c>
      <c r="J137" s="2633"/>
      <c r="K137" s="2637"/>
    </row>
    <row r="138" spans="1:17" ht="15">
      <c r="B138" s="2638"/>
      <c r="C138" s="145" t="s">
        <v>2585</v>
      </c>
      <c r="D138" s="145" t="s">
        <v>2586</v>
      </c>
      <c r="E138" s="2639" t="s">
        <v>2587</v>
      </c>
      <c r="F138" s="2640" t="s">
        <v>2588</v>
      </c>
      <c r="G138" s="145" t="s">
        <v>2586</v>
      </c>
      <c r="H138" s="146" t="s">
        <v>2587</v>
      </c>
      <c r="I138" s="2641"/>
      <c r="J138" s="145" t="s">
        <v>2589</v>
      </c>
      <c r="K138" s="146" t="s">
        <v>2590</v>
      </c>
    </row>
    <row r="139" spans="1:17" ht="15">
      <c r="B139" s="1082">
        <v>6</v>
      </c>
      <c r="C139" s="1083">
        <v>96</v>
      </c>
      <c r="D139" s="2642" t="s">
        <v>2591</v>
      </c>
      <c r="E139" s="1084">
        <v>100</v>
      </c>
      <c r="F139" s="1085">
        <v>102.5</v>
      </c>
      <c r="G139" s="2642" t="s">
        <v>2591</v>
      </c>
      <c r="H139" s="1086">
        <v>105</v>
      </c>
      <c r="I139" s="2643" t="s">
        <v>2592</v>
      </c>
      <c r="J139" s="1083">
        <v>20</v>
      </c>
      <c r="K139" s="1087">
        <f>C145/(J139-2)</f>
        <v>4.0555555555555553E-3</v>
      </c>
    </row>
    <row r="140" spans="1:17" ht="15">
      <c r="B140" s="1088">
        <v>5</v>
      </c>
      <c r="C140" s="1089">
        <v>100</v>
      </c>
      <c r="D140" s="1089"/>
      <c r="E140" s="1090"/>
      <c r="F140" s="1091">
        <v>102</v>
      </c>
      <c r="G140" s="1089"/>
      <c r="H140" s="1092"/>
      <c r="I140" s="2644" t="s">
        <v>2593</v>
      </c>
      <c r="J140" s="314">
        <f>ROUNDUP((J139-1)/2,0)</f>
        <v>10</v>
      </c>
      <c r="K140" s="1093">
        <v>100</v>
      </c>
    </row>
    <row r="141" spans="1:17" ht="15">
      <c r="B141" s="1088">
        <v>4</v>
      </c>
      <c r="C141" s="1089">
        <v>102</v>
      </c>
      <c r="D141" s="1089"/>
      <c r="E141" s="1090"/>
      <c r="F141" s="1091">
        <v>101.5</v>
      </c>
      <c r="G141" s="1089"/>
      <c r="H141" s="1092"/>
      <c r="I141" s="2644" t="s">
        <v>2594</v>
      </c>
      <c r="J141" s="314">
        <v>1</v>
      </c>
      <c r="K141" s="1094">
        <f>ROUND(100+(J141-J140)*K139*100,1)</f>
        <v>96.4</v>
      </c>
    </row>
    <row r="142" spans="1:17" ht="15">
      <c r="B142" s="1088">
        <v>3</v>
      </c>
      <c r="C142" s="1089">
        <v>103</v>
      </c>
      <c r="D142" s="1089"/>
      <c r="E142" s="1090"/>
      <c r="F142" s="1091">
        <v>101</v>
      </c>
      <c r="G142" s="1089"/>
      <c r="H142" s="1092"/>
      <c r="I142" s="2644" t="s">
        <v>2595</v>
      </c>
      <c r="J142" s="314">
        <f>J139</f>
        <v>20</v>
      </c>
      <c r="K142" s="1095">
        <v>95</v>
      </c>
    </row>
    <row r="143" spans="1:17" ht="15">
      <c r="B143" s="1088">
        <v>2</v>
      </c>
      <c r="C143" s="1089">
        <v>100</v>
      </c>
      <c r="D143" s="1089"/>
      <c r="E143" s="1090"/>
      <c r="F143" s="1091">
        <v>100.5</v>
      </c>
      <c r="G143" s="1089"/>
      <c r="H143" s="1092"/>
      <c r="I143" s="2644" t="s">
        <v>2596</v>
      </c>
      <c r="J143" s="1089">
        <v>15</v>
      </c>
      <c r="K143" s="1094">
        <f>ROUND(100+(J143-J140)*K139*100,1)</f>
        <v>102</v>
      </c>
    </row>
    <row r="144" spans="1:17" ht="15">
      <c r="B144" s="1088">
        <v>1</v>
      </c>
      <c r="C144" s="1089">
        <v>98</v>
      </c>
      <c r="D144" s="2645" t="s">
        <v>2597</v>
      </c>
      <c r="E144" s="1090">
        <v>102</v>
      </c>
      <c r="F144" s="1096">
        <v>100</v>
      </c>
      <c r="G144" s="2645" t="s">
        <v>2597</v>
      </c>
      <c r="H144" s="1092">
        <v>105</v>
      </c>
      <c r="I144" s="2644" t="s">
        <v>2596</v>
      </c>
      <c r="J144" s="1089">
        <v>18</v>
      </c>
      <c r="K144" s="1094">
        <f>ROUND(100+(J144-J140)*K139*100,1)</f>
        <v>103.2</v>
      </c>
    </row>
    <row r="145" spans="2:11" ht="15.75" thickBot="1">
      <c r="B145" s="2646" t="s">
        <v>2598</v>
      </c>
      <c r="C145" s="1097">
        <f>ROUND(MAX(C139:C144)/MIN(C139:C144)-1,3)</f>
        <v>7.2999999999999995E-2</v>
      </c>
      <c r="D145" s="1098"/>
      <c r="E145" s="1098"/>
      <c r="F145" s="2647" t="s">
        <v>2599</v>
      </c>
      <c r="G145" s="2648"/>
      <c r="H145" s="2649"/>
      <c r="I145" s="2650" t="s">
        <v>2596</v>
      </c>
      <c r="J145" s="1099">
        <v>8</v>
      </c>
      <c r="K145" s="1100">
        <f>ROUND(100+(J145-J140)*K139*100,1)</f>
        <v>99.2</v>
      </c>
    </row>
    <row r="147" spans="2:11">
      <c r="B147" s="2631" t="s">
        <v>2600</v>
      </c>
    </row>
    <row r="148" spans="2:11">
      <c r="B148" s="2631"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M23" sqref="A18:M2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2489</v>
      </c>
      <c r="C1" s="1632" t="s">
        <v>2490</v>
      </c>
      <c r="D1" s="1619" t="s">
        <v>3196</v>
      </c>
      <c r="E1" s="2578"/>
      <c r="F1" s="2579" t="s">
        <v>2491</v>
      </c>
      <c r="G1" s="1629" t="s">
        <v>2492</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1387</v>
      </c>
      <c r="B2" s="1416">
        <f>IF(C2="——",ROUND(C49*D3/10000,0),ROUND(C49*D3/10000,0)-D2)</f>
        <v>0</v>
      </c>
      <c r="C2" s="2581" t="s">
        <v>69</v>
      </c>
      <c r="D2" s="1363" t="e">
        <f ca="1">SUMIF(INDIRECT("'"&amp;F2&amp;"'"&amp;"!A:A"),"承租人权益价值",INDIRECT("'"&amp;F2&amp;"'"&amp;"!c:c"))</f>
        <v>#REF!</v>
      </c>
      <c r="E2" s="2582" t="s">
        <v>2493</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1388</v>
      </c>
      <c r="B3" s="398">
        <f>IF(C2="——",C49,ROUND(B2*10000/D3,0))</f>
        <v>21344</v>
      </c>
      <c r="C3" s="399" t="s">
        <v>2494</v>
      </c>
      <c r="D3" s="398">
        <f>IF(D1="",'数据-汇总表'!E3,SUMIF('数据-汇总表'!$C19:$C33,D1,'数据-汇总表'!$E19:$E33))</f>
        <v>0</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2495</v>
      </c>
      <c r="B4" s="401"/>
      <c r="C4" s="3243" t="s">
        <v>2496</v>
      </c>
      <c r="D4" s="3244"/>
      <c r="E4" s="3245" t="s">
        <v>2497</v>
      </c>
      <c r="F4" s="3246"/>
      <c r="G4" s="3243" t="s">
        <v>2498</v>
      </c>
      <c r="H4" s="3244"/>
      <c r="I4" s="3243" t="s">
        <v>2499</v>
      </c>
      <c r="J4" s="3244"/>
      <c r="K4" s="2591" t="s">
        <v>2500</v>
      </c>
      <c r="L4" s="1128"/>
      <c r="M4" s="1129"/>
      <c r="N4" s="1129"/>
      <c r="O4" s="1129"/>
      <c r="P4" s="3247" t="s">
        <v>2501</v>
      </c>
      <c r="Q4" s="3248"/>
      <c r="R4" s="3233" t="s">
        <v>2497</v>
      </c>
      <c r="S4" s="3234"/>
      <c r="T4" s="3233" t="s">
        <v>2498</v>
      </c>
      <c r="U4" s="3234"/>
      <c r="V4" s="3232" t="s">
        <v>2499</v>
      </c>
      <c r="W4" s="3232"/>
      <c r="X4" s="1811"/>
      <c r="Y4" s="3233" t="s">
        <v>2501</v>
      </c>
      <c r="Z4" s="3234"/>
      <c r="AA4" s="3239" t="s">
        <v>2497</v>
      </c>
      <c r="AB4" s="3239" t="s">
        <v>2498</v>
      </c>
      <c r="AC4" s="3239" t="s">
        <v>2499</v>
      </c>
    </row>
    <row r="5" spans="1:29" ht="15">
      <c r="A5" s="403"/>
      <c r="B5" s="404"/>
      <c r="C5" s="3253" t="s">
        <v>3264</v>
      </c>
      <c r="D5" s="3254"/>
      <c r="E5" s="3255" t="s">
        <v>3296</v>
      </c>
      <c r="F5" s="3256"/>
      <c r="G5" s="3253" t="s">
        <v>3288</v>
      </c>
      <c r="H5" s="3254"/>
      <c r="I5" s="3253" t="s">
        <v>3289</v>
      </c>
      <c r="J5" s="3254"/>
      <c r="K5" s="2592"/>
      <c r="L5" s="1128"/>
      <c r="M5" s="1129"/>
      <c r="N5" s="1129"/>
      <c r="O5" s="1129"/>
      <c r="P5" s="3249"/>
      <c r="Q5" s="3250"/>
      <c r="R5" s="3235"/>
      <c r="S5" s="3236"/>
      <c r="T5" s="3235"/>
      <c r="U5" s="3236"/>
      <c r="V5" s="3232"/>
      <c r="W5" s="3232"/>
      <c r="X5" s="1811"/>
      <c r="Y5" s="3235"/>
      <c r="Z5" s="3236"/>
      <c r="AA5" s="3240"/>
      <c r="AB5" s="3240"/>
      <c r="AC5" s="3240"/>
    </row>
    <row r="6" spans="1:29" ht="15.75" thickBot="1">
      <c r="A6" s="405"/>
      <c r="B6" s="406"/>
      <c r="C6" s="3257" t="s">
        <v>2506</v>
      </c>
      <c r="D6" s="3258"/>
      <c r="E6" s="3259" t="s">
        <v>2506</v>
      </c>
      <c r="F6" s="3260"/>
      <c r="G6" s="3257" t="s">
        <v>2506</v>
      </c>
      <c r="H6" s="3258"/>
      <c r="I6" s="3257" t="s">
        <v>2506</v>
      </c>
      <c r="J6" s="3258"/>
      <c r="K6" s="2592" t="s">
        <v>2507</v>
      </c>
      <c r="L6" s="1128"/>
      <c r="M6" s="1129"/>
      <c r="N6" s="1129"/>
      <c r="O6" s="1129"/>
      <c r="P6" s="3251"/>
      <c r="Q6" s="3252"/>
      <c r="R6" s="3235"/>
      <c r="S6" s="3236"/>
      <c r="T6" s="3237"/>
      <c r="U6" s="3238"/>
      <c r="V6" s="3232"/>
      <c r="W6" s="3232"/>
      <c r="X6" s="1811"/>
      <c r="Y6" s="3237"/>
      <c r="Z6" s="3238"/>
      <c r="AA6" s="3241"/>
      <c r="AB6" s="3241"/>
      <c r="AC6" s="3241"/>
    </row>
    <row r="7" spans="1:29" s="116" customFormat="1" ht="15.75" thickBot="1">
      <c r="A7" s="407" t="s">
        <v>2508</v>
      </c>
      <c r="B7" s="408"/>
      <c r="C7" s="409">
        <f>'数据-取费表'!B2</f>
        <v>43906</v>
      </c>
      <c r="D7" s="410">
        <v>100</v>
      </c>
      <c r="E7" s="411">
        <v>43891</v>
      </c>
      <c r="F7" s="412">
        <f>SUMIF(58:58,YEAR(E7)&amp;"-"&amp;MONTH(E7),59:59)</f>
        <v>100</v>
      </c>
      <c r="G7" s="411">
        <v>43891</v>
      </c>
      <c r="H7" s="410">
        <f>SUMIF(58:58,YEAR(G7)&amp;"-"&amp;MONTH(G7),59:59)</f>
        <v>100</v>
      </c>
      <c r="I7" s="411">
        <v>43891</v>
      </c>
      <c r="J7" s="410">
        <f>SUMIF(58:58,YEAR(I7)&amp;"-"&amp;MONTH(I7),59:59)</f>
        <v>100</v>
      </c>
      <c r="K7" s="2593"/>
      <c r="L7" s="1130"/>
      <c r="M7" s="1131"/>
      <c r="N7" s="1131"/>
      <c r="O7" s="1131"/>
      <c r="P7" s="3229" t="s">
        <v>2509</v>
      </c>
      <c r="Q7" s="3242"/>
      <c r="R7" s="769" t="s">
        <v>22</v>
      </c>
      <c r="S7" s="770">
        <f t="shared" ref="S7:S15" si="0">F7</f>
        <v>100</v>
      </c>
      <c r="T7" s="769" t="s">
        <v>22</v>
      </c>
      <c r="U7" s="770">
        <f t="shared" ref="U7:U15" si="1">H7</f>
        <v>100</v>
      </c>
      <c r="V7" s="769" t="s">
        <v>22</v>
      </c>
      <c r="W7" s="770">
        <f t="shared" ref="W7:W15" si="2">J7</f>
        <v>100</v>
      </c>
      <c r="X7" s="771"/>
      <c r="Y7" s="3229" t="s">
        <v>2509</v>
      </c>
      <c r="Z7" s="3230"/>
      <c r="AA7" s="772">
        <f>D7/F7</f>
        <v>1</v>
      </c>
      <c r="AB7" s="772">
        <f>D7/H7</f>
        <v>1</v>
      </c>
      <c r="AC7" s="772">
        <f>D7/J7</f>
        <v>1</v>
      </c>
    </row>
    <row r="8" spans="1:29" s="116" customFormat="1" ht="15.75" thickBot="1">
      <c r="A8" s="407" t="s">
        <v>2510</v>
      </c>
      <c r="B8" s="408"/>
      <c r="C8" s="413" t="s">
        <v>3107</v>
      </c>
      <c r="D8" s="410">
        <v>100</v>
      </c>
      <c r="E8" s="2594" t="s">
        <v>3107</v>
      </c>
      <c r="F8" s="412">
        <f>SUMIF(61:61,E8,62:62)-SUMIF(61:61,C8,62:62)+100</f>
        <v>100</v>
      </c>
      <c r="G8" s="413" t="s">
        <v>3107</v>
      </c>
      <c r="H8" s="410">
        <f>SUMIF(61:61,G8,62:62)-SUMIF(61:61,C8,62:62)+100</f>
        <v>100</v>
      </c>
      <c r="I8" s="2594" t="s">
        <v>3107</v>
      </c>
      <c r="J8" s="410">
        <f>SUMIF(61:61,I8,62:62)-SUMIF(61:61,C8,62:62)+100</f>
        <v>100</v>
      </c>
      <c r="K8" s="2593"/>
      <c r="L8" s="1130"/>
      <c r="M8" s="1131"/>
      <c r="N8" s="1131"/>
      <c r="O8" s="1131"/>
      <c r="P8" s="3229" t="s">
        <v>2512</v>
      </c>
      <c r="Q8" s="3230"/>
      <c r="R8" s="769" t="s">
        <v>22</v>
      </c>
      <c r="S8" s="770">
        <f t="shared" si="0"/>
        <v>100</v>
      </c>
      <c r="T8" s="769" t="s">
        <v>22</v>
      </c>
      <c r="U8" s="770">
        <f t="shared" si="1"/>
        <v>100</v>
      </c>
      <c r="V8" s="769" t="s">
        <v>22</v>
      </c>
      <c r="W8" s="770">
        <f t="shared" si="2"/>
        <v>100</v>
      </c>
      <c r="X8" s="771"/>
      <c r="Y8" s="3229" t="s">
        <v>2512</v>
      </c>
      <c r="Z8" s="3230"/>
      <c r="AA8" s="772">
        <f t="shared" ref="AA8:AA19" si="3">D8/F8</f>
        <v>1</v>
      </c>
      <c r="AB8" s="772">
        <f t="shared" ref="AB8:AB19" si="4">D8/H8</f>
        <v>1</v>
      </c>
      <c r="AC8" s="772">
        <f t="shared" ref="AC8:AC19" si="5">D8/J8</f>
        <v>1</v>
      </c>
    </row>
    <row r="9" spans="1:29" s="116" customFormat="1">
      <c r="A9" s="414" t="s">
        <v>2513</v>
      </c>
      <c r="B9" s="71" t="s">
        <v>2514</v>
      </c>
      <c r="C9" s="2989" t="s">
        <v>3265</v>
      </c>
      <c r="D9" s="134">
        <v>100</v>
      </c>
      <c r="E9" s="416" t="s">
        <v>3018</v>
      </c>
      <c r="F9" s="417">
        <f>SUMIF(63:63,E9,64:64)-SUMIF(63:63,C9,64:64)+100</f>
        <v>100</v>
      </c>
      <c r="G9" s="418" t="s">
        <v>3018</v>
      </c>
      <c r="H9" s="134">
        <f>SUMIF(63:63,G9,64:64)-SUMIF(63:63,C9,64:64)+100</f>
        <v>100</v>
      </c>
      <c r="I9" s="418" t="s">
        <v>3018</v>
      </c>
      <c r="J9" s="134">
        <f>SUMIF(63:63,I9,64:64)-SUMIF(63:63,C9,64:64)+100</f>
        <v>100</v>
      </c>
      <c r="K9" s="2593"/>
      <c r="L9" s="1130"/>
      <c r="M9" s="1131"/>
      <c r="N9" s="1131"/>
      <c r="O9" s="1131"/>
      <c r="P9" s="3231" t="s">
        <v>2515</v>
      </c>
      <c r="Q9" s="1793" t="str">
        <f t="shared" ref="Q9:Q15" si="6">B9</f>
        <v>用途</v>
      </c>
      <c r="R9" s="769" t="s">
        <v>17</v>
      </c>
      <c r="S9" s="770">
        <f t="shared" si="0"/>
        <v>100</v>
      </c>
      <c r="T9" s="769" t="s">
        <v>17</v>
      </c>
      <c r="U9" s="770">
        <f t="shared" si="1"/>
        <v>100</v>
      </c>
      <c r="V9" s="769" t="s">
        <v>17</v>
      </c>
      <c r="W9" s="770">
        <f t="shared" si="2"/>
        <v>100</v>
      </c>
      <c r="X9" s="771"/>
      <c r="Y9" s="3063" t="s">
        <v>2516</v>
      </c>
      <c r="Z9" s="55" t="str">
        <f t="shared" ref="Z9:Z15" si="7">Q9</f>
        <v>用途</v>
      </c>
      <c r="AA9" s="772">
        <f t="shared" si="3"/>
        <v>1</v>
      </c>
      <c r="AB9" s="772">
        <f t="shared" si="4"/>
        <v>1</v>
      </c>
      <c r="AC9" s="772">
        <f t="shared" si="5"/>
        <v>1</v>
      </c>
    </row>
    <row r="10" spans="1:29" s="426" customFormat="1" ht="27">
      <c r="A10" s="420"/>
      <c r="B10" s="421" t="s">
        <v>2517</v>
      </c>
      <c r="C10" s="422" t="s">
        <v>3266</v>
      </c>
      <c r="D10" s="135">
        <v>100</v>
      </c>
      <c r="E10" s="423" t="s">
        <v>3266</v>
      </c>
      <c r="F10" s="424">
        <f>SUMIF(65:65,E10,66:66)-SUMIF(65:65,C10,66:66)+100</f>
        <v>100</v>
      </c>
      <c r="G10" s="422" t="s">
        <v>3266</v>
      </c>
      <c r="H10" s="135">
        <f>SUMIF(65:65,G10,66:66)-SUMIF(65:65,C10,66:66)+100</f>
        <v>100</v>
      </c>
      <c r="I10" s="422" t="s">
        <v>3266</v>
      </c>
      <c r="J10" s="135">
        <f>SUMIF(65:65,I10,66:66)-SUMIF(65:65,C10,66:66)+100</f>
        <v>100</v>
      </c>
      <c r="K10" s="425">
        <v>2</v>
      </c>
      <c r="L10" s="1133"/>
      <c r="M10" s="1134"/>
      <c r="N10" s="1134"/>
      <c r="O10" s="1134"/>
      <c r="P10" s="3231"/>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75" thickBot="1">
      <c r="A11" s="427"/>
      <c r="B11" s="421" t="s">
        <v>2518</v>
      </c>
      <c r="C11" s="428">
        <f>'数据-汇总表'!I7</f>
        <v>2.2200000000000002</v>
      </c>
      <c r="D11" s="135">
        <v>100</v>
      </c>
      <c r="E11" s="429">
        <v>2.2999999999999998</v>
      </c>
      <c r="F11" s="424">
        <f>LOOKUP(E11,68:68,69:69)-LOOKUP(C11,68:68,69:69)+100</f>
        <v>100</v>
      </c>
      <c r="G11" s="428">
        <v>2</v>
      </c>
      <c r="H11" s="135">
        <f>LOOKUP(G11,68:68,69:69)-LOOKUP(C11,68:68,69:69)+100</f>
        <v>100</v>
      </c>
      <c r="I11" s="428">
        <v>2.5</v>
      </c>
      <c r="J11" s="135">
        <f>LOOKUP(I11,68:68,69:69)-LOOKUP(C11,68:68,69:69)+100</f>
        <v>99</v>
      </c>
      <c r="K11" s="425">
        <v>1</v>
      </c>
      <c r="L11" s="1136"/>
      <c r="M11" s="1129"/>
      <c r="N11" s="1129"/>
      <c r="O11" s="1129"/>
      <c r="P11" s="3231"/>
      <c r="Q11" s="1793" t="str">
        <f t="shared" si="6"/>
        <v>容积率</v>
      </c>
      <c r="R11" s="769" t="s">
        <v>21</v>
      </c>
      <c r="S11" s="770">
        <f t="shared" si="0"/>
        <v>100</v>
      </c>
      <c r="T11" s="769" t="s">
        <v>21</v>
      </c>
      <c r="U11" s="770">
        <f t="shared" si="1"/>
        <v>100</v>
      </c>
      <c r="V11" s="769" t="s">
        <v>21</v>
      </c>
      <c r="W11" s="770">
        <f t="shared" si="2"/>
        <v>99</v>
      </c>
      <c r="X11" s="771"/>
      <c r="Y11" s="3063"/>
      <c r="Z11" s="55" t="str">
        <f t="shared" si="7"/>
        <v>容积率</v>
      </c>
      <c r="AA11" s="772">
        <f t="shared" si="3"/>
        <v>1</v>
      </c>
      <c r="AB11" s="772">
        <f t="shared" si="4"/>
        <v>1</v>
      </c>
      <c r="AC11" s="772">
        <f t="shared" si="5"/>
        <v>1.0101010101010102</v>
      </c>
    </row>
    <row r="12" spans="1:29" s="116" customFormat="1" ht="15" hidden="1">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231"/>
      <c r="Q12" s="1793">
        <f t="shared" si="6"/>
        <v>111</v>
      </c>
      <c r="R12" s="769" t="s">
        <v>21</v>
      </c>
      <c r="S12" s="770">
        <f t="shared" si="0"/>
        <v>100</v>
      </c>
      <c r="T12" s="769" t="s">
        <v>21</v>
      </c>
      <c r="U12" s="770">
        <f t="shared" si="1"/>
        <v>100</v>
      </c>
      <c r="V12" s="769" t="s">
        <v>21</v>
      </c>
      <c r="W12" s="770">
        <f t="shared" si="2"/>
        <v>100</v>
      </c>
      <c r="X12" s="771"/>
      <c r="Y12" s="3063"/>
      <c r="Z12" s="55">
        <f t="shared" si="7"/>
        <v>111</v>
      </c>
      <c r="AA12" s="772">
        <f>D12/F12</f>
        <v>1</v>
      </c>
      <c r="AB12" s="772">
        <f>D12/H12</f>
        <v>1</v>
      </c>
      <c r="AC12" s="772">
        <f>D12/J12</f>
        <v>1</v>
      </c>
    </row>
    <row r="13" spans="1:29" ht="15" hidden="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31"/>
      <c r="Q13" s="1793">
        <f t="shared" si="6"/>
        <v>111</v>
      </c>
      <c r="R13" s="769" t="s">
        <v>21</v>
      </c>
      <c r="S13" s="770">
        <f t="shared" si="0"/>
        <v>100</v>
      </c>
      <c r="T13" s="769" t="s">
        <v>21</v>
      </c>
      <c r="U13" s="770">
        <f t="shared" si="1"/>
        <v>100</v>
      </c>
      <c r="V13" s="769" t="s">
        <v>21</v>
      </c>
      <c r="W13" s="770">
        <f t="shared" si="2"/>
        <v>100</v>
      </c>
      <c r="X13" s="771"/>
      <c r="Y13" s="3063"/>
      <c r="Z13" s="55">
        <f t="shared" si="7"/>
        <v>111</v>
      </c>
      <c r="AA13" s="772">
        <f t="shared" si="3"/>
        <v>1</v>
      </c>
      <c r="AB13" s="772">
        <f t="shared" si="4"/>
        <v>1</v>
      </c>
      <c r="AC13" s="772">
        <f t="shared" si="5"/>
        <v>1</v>
      </c>
    </row>
    <row r="14" spans="1:29" ht="15.75" hidden="1"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31"/>
      <c r="Q14" s="1793">
        <f t="shared" si="6"/>
        <v>111</v>
      </c>
      <c r="R14" s="769" t="s">
        <v>21</v>
      </c>
      <c r="S14" s="770">
        <f t="shared" si="0"/>
        <v>100</v>
      </c>
      <c r="T14" s="769" t="s">
        <v>21</v>
      </c>
      <c r="U14" s="770">
        <f t="shared" si="1"/>
        <v>100</v>
      </c>
      <c r="V14" s="769" t="s">
        <v>21</v>
      </c>
      <c r="W14" s="770">
        <f t="shared" si="2"/>
        <v>100</v>
      </c>
      <c r="X14" s="771"/>
      <c r="Y14" s="3063"/>
      <c r="Z14" s="55">
        <f t="shared" si="7"/>
        <v>111</v>
      </c>
      <c r="AA14" s="772">
        <f t="shared" si="3"/>
        <v>1</v>
      </c>
      <c r="AB14" s="772">
        <f t="shared" si="4"/>
        <v>1</v>
      </c>
      <c r="AC14" s="772">
        <f t="shared" si="5"/>
        <v>1</v>
      </c>
    </row>
    <row r="15" spans="1:29" ht="99.75">
      <c r="A15" s="439" t="s">
        <v>2519</v>
      </c>
      <c r="B15" s="69" t="s">
        <v>2046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20" t="s">
        <v>2520</v>
      </c>
      <c r="Q15" s="1808" t="str">
        <f t="shared" si="6"/>
        <v>居住社区成熟度</v>
      </c>
      <c r="R15" s="773" t="s">
        <v>21</v>
      </c>
      <c r="S15" s="774">
        <f t="shared" si="0"/>
        <v>100</v>
      </c>
      <c r="T15" s="773" t="s">
        <v>21</v>
      </c>
      <c r="U15" s="774">
        <f t="shared" si="1"/>
        <v>100</v>
      </c>
      <c r="V15" s="773" t="s">
        <v>21</v>
      </c>
      <c r="W15" s="774">
        <f t="shared" si="2"/>
        <v>100</v>
      </c>
      <c r="X15" s="1811"/>
      <c r="Y15" s="3222" t="s">
        <v>2520</v>
      </c>
      <c r="Z15" s="1812" t="str">
        <f t="shared" si="7"/>
        <v>居住社区成熟度</v>
      </c>
      <c r="AA15" s="1809">
        <f t="shared" si="3"/>
        <v>1</v>
      </c>
      <c r="AB15" s="1809">
        <f t="shared" si="4"/>
        <v>1</v>
      </c>
      <c r="AC15" s="1809">
        <f t="shared" si="5"/>
        <v>1</v>
      </c>
    </row>
    <row r="16" spans="1:29" ht="15">
      <c r="A16" s="427"/>
      <c r="B16" s="445"/>
      <c r="C16" s="446" t="s">
        <v>3229</v>
      </c>
      <c r="D16" s="447"/>
      <c r="E16" s="2599" t="s">
        <v>3229</v>
      </c>
      <c r="F16" s="447"/>
      <c r="G16" s="2600" t="s">
        <v>3229</v>
      </c>
      <c r="H16" s="449"/>
      <c r="I16" s="2600" t="s">
        <v>3229</v>
      </c>
      <c r="J16" s="447"/>
      <c r="K16" s="2601"/>
      <c r="L16" s="1138"/>
      <c r="M16" s="1129"/>
      <c r="N16" s="1129"/>
      <c r="O16" s="1129"/>
      <c r="P16" s="3221"/>
      <c r="Q16" s="1808"/>
      <c r="R16" s="773"/>
      <c r="S16" s="774"/>
      <c r="T16" s="773"/>
      <c r="U16" s="774"/>
      <c r="V16" s="773"/>
      <c r="W16" s="774"/>
      <c r="X16" s="1811"/>
      <c r="Y16" s="3223"/>
      <c r="Z16" s="1812"/>
      <c r="AA16" s="1809">
        <v>1</v>
      </c>
      <c r="AB16" s="1809">
        <v>1</v>
      </c>
      <c r="AC16" s="1809">
        <v>1</v>
      </c>
    </row>
    <row r="17" spans="1:29" ht="85.5">
      <c r="A17" s="427"/>
      <c r="B17" s="450" t="s">
        <v>2058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21"/>
      <c r="Q17" s="1808" t="str">
        <f>B17</f>
        <v>交通便捷度</v>
      </c>
      <c r="R17" s="773" t="s">
        <v>21</v>
      </c>
      <c r="S17" s="774">
        <f>F17</f>
        <v>100</v>
      </c>
      <c r="T17" s="773" t="s">
        <v>21</v>
      </c>
      <c r="U17" s="774">
        <f>H17</f>
        <v>100</v>
      </c>
      <c r="V17" s="773" t="s">
        <v>21</v>
      </c>
      <c r="W17" s="774">
        <f>J17</f>
        <v>100</v>
      </c>
      <c r="X17" s="1811"/>
      <c r="Y17" s="3223"/>
      <c r="Z17" s="1812" t="str">
        <f>Q17</f>
        <v>交通便捷度</v>
      </c>
      <c r="AA17" s="1809">
        <f t="shared" si="3"/>
        <v>1</v>
      </c>
      <c r="AB17" s="1809">
        <f t="shared" si="4"/>
        <v>1</v>
      </c>
      <c r="AC17" s="1809">
        <f t="shared" si="5"/>
        <v>1</v>
      </c>
    </row>
    <row r="18" spans="1:29" ht="15">
      <c r="A18" s="427"/>
      <c r="B18" s="455"/>
      <c r="C18" s="2603" t="s">
        <v>3229</v>
      </c>
      <c r="D18" s="449"/>
      <c r="E18" s="2604" t="s">
        <v>3229</v>
      </c>
      <c r="F18" s="449"/>
      <c r="G18" s="2605" t="s">
        <v>3229</v>
      </c>
      <c r="H18" s="447"/>
      <c r="I18" s="2605" t="s">
        <v>3229</v>
      </c>
      <c r="J18" s="447"/>
      <c r="K18" s="2601"/>
      <c r="L18" s="1138"/>
      <c r="M18" s="1129"/>
      <c r="N18" s="1129"/>
      <c r="O18" s="1129"/>
      <c r="P18" s="3221"/>
      <c r="Q18" s="1808"/>
      <c r="R18" s="773"/>
      <c r="S18" s="774"/>
      <c r="T18" s="773"/>
      <c r="U18" s="774"/>
      <c r="V18" s="773"/>
      <c r="W18" s="774"/>
      <c r="X18" s="1811"/>
      <c r="Y18" s="3223"/>
      <c r="Z18" s="1812"/>
      <c r="AA18" s="1809">
        <v>1</v>
      </c>
      <c r="AB18" s="1809">
        <v>1</v>
      </c>
      <c r="AC18" s="1809">
        <v>1</v>
      </c>
    </row>
    <row r="19" spans="1:29" ht="42.75">
      <c r="A19" s="427"/>
      <c r="B19" s="450" t="s">
        <v>2056</v>
      </c>
      <c r="C19" s="2602" t="str">
        <f>估价对象房地状况!C7</f>
        <v>估价对象所在区域公共配套设施齐备情况</v>
      </c>
      <c r="D19" s="454">
        <v>100</v>
      </c>
      <c r="E19" s="458"/>
      <c r="F19" s="454">
        <f>SUMIF(80:80,E20,81:81)-SUMIF(80:80,C20,81:81)+100</f>
        <v>99</v>
      </c>
      <c r="G19" s="456"/>
      <c r="H19" s="449">
        <f>SUMIF(80:80,G20,81:81)-SUMIF(80:80,C20,81:81)+100</f>
        <v>99</v>
      </c>
      <c r="I19" s="456"/>
      <c r="J19" s="449">
        <f>SUMIF(80:80,I20,81:81)-SUMIF(80:80,C20,81:81)+100</f>
        <v>100</v>
      </c>
      <c r="K19" s="444">
        <v>1</v>
      </c>
      <c r="L19" s="1138"/>
      <c r="M19" s="1129"/>
      <c r="N19" s="1129"/>
      <c r="O19" s="1129"/>
      <c r="P19" s="3221"/>
      <c r="Q19" s="1808" t="str">
        <f>B19</f>
        <v>公共配套设施</v>
      </c>
      <c r="R19" s="773" t="s">
        <v>21</v>
      </c>
      <c r="S19" s="774">
        <f>F19</f>
        <v>99</v>
      </c>
      <c r="T19" s="773" t="s">
        <v>21</v>
      </c>
      <c r="U19" s="774">
        <f>H19</f>
        <v>99</v>
      </c>
      <c r="V19" s="773" t="s">
        <v>21</v>
      </c>
      <c r="W19" s="774">
        <f>J19</f>
        <v>100</v>
      </c>
      <c r="X19" s="1811"/>
      <c r="Y19" s="3223"/>
      <c r="Z19" s="1812" t="str">
        <f>Q19</f>
        <v>公共配套设施</v>
      </c>
      <c r="AA19" s="1809">
        <f t="shared" si="3"/>
        <v>1.0101010101010102</v>
      </c>
      <c r="AB19" s="1809">
        <f t="shared" si="4"/>
        <v>1.0101010101010102</v>
      </c>
      <c r="AC19" s="1809">
        <f t="shared" si="5"/>
        <v>1</v>
      </c>
    </row>
    <row r="20" spans="1:29" ht="15">
      <c r="A20" s="427"/>
      <c r="B20" s="455"/>
      <c r="C20" s="446" t="s">
        <v>3229</v>
      </c>
      <c r="D20" s="447"/>
      <c r="E20" s="2599" t="s">
        <v>3230</v>
      </c>
      <c r="F20" s="447"/>
      <c r="G20" s="2600" t="s">
        <v>3230</v>
      </c>
      <c r="H20" s="447"/>
      <c r="I20" s="2600" t="s">
        <v>3229</v>
      </c>
      <c r="J20" s="447"/>
      <c r="K20" s="2601"/>
      <c r="L20" s="1138"/>
      <c r="M20" s="1129"/>
      <c r="N20" s="1129"/>
      <c r="O20" s="1129"/>
      <c r="P20" s="3221"/>
      <c r="Q20" s="1808"/>
      <c r="R20" s="773"/>
      <c r="S20" s="774"/>
      <c r="T20" s="773"/>
      <c r="U20" s="774"/>
      <c r="V20" s="773"/>
      <c r="W20" s="774"/>
      <c r="X20" s="1811"/>
      <c r="Y20" s="3223"/>
      <c r="Z20" s="1812"/>
      <c r="AA20" s="1809">
        <v>1</v>
      </c>
      <c r="AB20" s="1809">
        <v>1</v>
      </c>
      <c r="AC20" s="1809">
        <v>1</v>
      </c>
    </row>
    <row r="21" spans="1:29" ht="28.5">
      <c r="A21" s="427"/>
      <c r="B21" s="1382" t="s">
        <v>2059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2"/>
      <c r="C22" s="2603" t="s">
        <v>3231</v>
      </c>
      <c r="D22" s="447"/>
      <c r="E22" s="446" t="s">
        <v>3231</v>
      </c>
      <c r="F22" s="447"/>
      <c r="G22" s="2606" t="s">
        <v>3231</v>
      </c>
      <c r="H22" s="447"/>
      <c r="I22" s="446" t="s">
        <v>3231</v>
      </c>
      <c r="J22" s="447"/>
      <c r="K22" s="2607"/>
      <c r="L22" s="1138"/>
      <c r="M22" s="1129"/>
      <c r="N22" s="1129"/>
      <c r="O22" s="1129"/>
      <c r="P22" s="3221"/>
      <c r="Q22" s="1808"/>
      <c r="R22" s="773"/>
      <c r="S22" s="774"/>
      <c r="T22" s="773"/>
      <c r="U22" s="774"/>
      <c r="V22" s="773"/>
      <c r="W22" s="774"/>
      <c r="X22" s="1811"/>
      <c r="Y22" s="3223"/>
      <c r="Z22" s="1812"/>
      <c r="AA22" s="1809">
        <v>1</v>
      </c>
      <c r="AB22" s="1809">
        <v>1</v>
      </c>
      <c r="AC22" s="1809">
        <v>1</v>
      </c>
    </row>
    <row r="23" spans="1:29" ht="57">
      <c r="A23" s="427"/>
      <c r="B23" s="450" t="s">
        <v>2063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21"/>
      <c r="Q23" s="1808" t="str">
        <f>B23</f>
        <v>自然及人文环境</v>
      </c>
      <c r="R23" s="773" t="s">
        <v>21</v>
      </c>
      <c r="S23" s="774">
        <f>F23</f>
        <v>100</v>
      </c>
      <c r="T23" s="773" t="s">
        <v>21</v>
      </c>
      <c r="U23" s="774">
        <f>H23</f>
        <v>100</v>
      </c>
      <c r="V23" s="773" t="s">
        <v>21</v>
      </c>
      <c r="W23" s="774">
        <f>J23</f>
        <v>100</v>
      </c>
      <c r="X23" s="1811"/>
      <c r="Y23" s="3223"/>
      <c r="Z23" s="1812" t="str">
        <f>Q23</f>
        <v>自然及人文环境</v>
      </c>
      <c r="AA23" s="1809">
        <f>D23/F23</f>
        <v>1</v>
      </c>
      <c r="AB23" s="1809">
        <f>D23/H23</f>
        <v>1</v>
      </c>
      <c r="AC23" s="1809">
        <f>D23/J23</f>
        <v>1</v>
      </c>
    </row>
    <row r="24" spans="1:29" ht="15.75" thickBot="1">
      <c r="A24" s="427"/>
      <c r="B24" s="455"/>
      <c r="C24" s="446" t="s">
        <v>3229</v>
      </c>
      <c r="D24" s="447"/>
      <c r="E24" s="2599" t="s">
        <v>3229</v>
      </c>
      <c r="F24" s="447"/>
      <c r="G24" s="2600" t="s">
        <v>3229</v>
      </c>
      <c r="H24" s="447"/>
      <c r="I24" s="2600" t="s">
        <v>3229</v>
      </c>
      <c r="J24" s="447"/>
      <c r="K24" s="2601"/>
      <c r="L24" s="1138"/>
      <c r="M24" s="1129"/>
      <c r="N24" s="1129"/>
      <c r="O24" s="1129"/>
      <c r="P24" s="3221"/>
      <c r="Q24" s="1808"/>
      <c r="R24" s="773"/>
      <c r="S24" s="774"/>
      <c r="T24" s="773"/>
      <c r="U24" s="774"/>
      <c r="V24" s="773"/>
      <c r="W24" s="774"/>
      <c r="X24" s="1811"/>
      <c r="Y24" s="3223"/>
      <c r="Z24" s="1812"/>
      <c r="AA24" s="1809">
        <v>1</v>
      </c>
      <c r="AB24" s="1809">
        <v>1</v>
      </c>
      <c r="AC24" s="1809">
        <v>1</v>
      </c>
    </row>
    <row r="25" spans="1:29" ht="15" hidden="1">
      <c r="A25" s="427"/>
      <c r="B25" s="421" t="s">
        <v>2521</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2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3"/>
      <c r="Z25" s="1812" t="str">
        <f>Q25</f>
        <v>楼层-1</v>
      </c>
      <c r="AA25" s="1809">
        <f t="shared" ref="AA25:AA46" si="15">D25/F25</f>
        <v>1</v>
      </c>
      <c r="AB25" s="1809">
        <f t="shared" ref="AB25:AB46" si="16">D25/H25</f>
        <v>1</v>
      </c>
      <c r="AC25" s="1809">
        <f t="shared" ref="AC25:AC46" si="17">D25/J25</f>
        <v>1</v>
      </c>
    </row>
    <row r="26" spans="1:29" ht="15" hidden="1">
      <c r="A26" s="427"/>
      <c r="B26" s="421" t="s">
        <v>2522</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21"/>
      <c r="Q26" s="1808" t="str">
        <f t="shared" si="11"/>
        <v>朝向</v>
      </c>
      <c r="R26" s="773" t="s">
        <v>21</v>
      </c>
      <c r="S26" s="774">
        <f t="shared" si="12"/>
        <v>100</v>
      </c>
      <c r="T26" s="773" t="s">
        <v>21</v>
      </c>
      <c r="U26" s="774">
        <f t="shared" si="13"/>
        <v>100</v>
      </c>
      <c r="V26" s="773" t="s">
        <v>21</v>
      </c>
      <c r="W26" s="774">
        <f t="shared" si="14"/>
        <v>100</v>
      </c>
      <c r="X26" s="1811"/>
      <c r="Y26" s="3223"/>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21"/>
      <c r="Q27" s="1793">
        <f t="shared" si="11"/>
        <v>111</v>
      </c>
      <c r="R27" s="769" t="s">
        <v>21</v>
      </c>
      <c r="S27" s="770">
        <f t="shared" si="12"/>
        <v>100</v>
      </c>
      <c r="T27" s="769" t="s">
        <v>21</v>
      </c>
      <c r="U27" s="770">
        <f t="shared" si="13"/>
        <v>100</v>
      </c>
      <c r="V27" s="769" t="s">
        <v>21</v>
      </c>
      <c r="W27" s="770">
        <f t="shared" si="14"/>
        <v>100</v>
      </c>
      <c r="X27" s="771"/>
      <c r="Y27" s="3223"/>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21"/>
      <c r="Q28" s="1808">
        <f t="shared" si="11"/>
        <v>111</v>
      </c>
      <c r="R28" s="773" t="s">
        <v>21</v>
      </c>
      <c r="S28" s="774">
        <f t="shared" si="12"/>
        <v>100</v>
      </c>
      <c r="T28" s="773" t="s">
        <v>21</v>
      </c>
      <c r="U28" s="774">
        <f t="shared" si="13"/>
        <v>100</v>
      </c>
      <c r="V28" s="773" t="s">
        <v>21</v>
      </c>
      <c r="W28" s="774">
        <f t="shared" si="14"/>
        <v>100</v>
      </c>
      <c r="X28" s="1811"/>
      <c r="Y28" s="3223"/>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21"/>
      <c r="Q29" s="1808">
        <f t="shared" si="11"/>
        <v>111</v>
      </c>
      <c r="R29" s="773" t="s">
        <v>21</v>
      </c>
      <c r="S29" s="774">
        <f t="shared" si="12"/>
        <v>100</v>
      </c>
      <c r="T29" s="773" t="s">
        <v>21</v>
      </c>
      <c r="U29" s="774">
        <f t="shared" si="13"/>
        <v>100</v>
      </c>
      <c r="V29" s="773" t="s">
        <v>21</v>
      </c>
      <c r="W29" s="774">
        <f t="shared" si="14"/>
        <v>100</v>
      </c>
      <c r="X29" s="1811"/>
      <c r="Y29" s="3223"/>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21"/>
      <c r="Q30" s="1808">
        <f t="shared" si="11"/>
        <v>111</v>
      </c>
      <c r="R30" s="773" t="s">
        <v>21</v>
      </c>
      <c r="S30" s="774">
        <f t="shared" si="12"/>
        <v>100</v>
      </c>
      <c r="T30" s="773" t="s">
        <v>21</v>
      </c>
      <c r="U30" s="774">
        <f t="shared" si="13"/>
        <v>100</v>
      </c>
      <c r="V30" s="773" t="s">
        <v>21</v>
      </c>
      <c r="W30" s="774">
        <f t="shared" si="14"/>
        <v>100</v>
      </c>
      <c r="X30" s="1811"/>
      <c r="Y30" s="3223"/>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21"/>
      <c r="Q31" s="1808">
        <f t="shared" si="11"/>
        <v>111</v>
      </c>
      <c r="R31" s="773" t="s">
        <v>21</v>
      </c>
      <c r="S31" s="774">
        <f t="shared" si="12"/>
        <v>100</v>
      </c>
      <c r="T31" s="773" t="s">
        <v>21</v>
      </c>
      <c r="U31" s="774">
        <f t="shared" si="13"/>
        <v>100</v>
      </c>
      <c r="V31" s="773" t="s">
        <v>21</v>
      </c>
      <c r="W31" s="774">
        <f t="shared" si="14"/>
        <v>100</v>
      </c>
      <c r="X31" s="1811"/>
      <c r="Y31" s="3223"/>
      <c r="Z31" s="1812">
        <f t="shared" si="18"/>
        <v>111</v>
      </c>
      <c r="AA31" s="1809">
        <f t="shared" si="15"/>
        <v>1</v>
      </c>
      <c r="AB31" s="1809">
        <f t="shared" si="16"/>
        <v>1</v>
      </c>
      <c r="AC31" s="1809">
        <f t="shared" si="17"/>
        <v>1</v>
      </c>
    </row>
    <row r="32" spans="1:29" ht="15">
      <c r="A32" s="439" t="s">
        <v>2523</v>
      </c>
      <c r="B32" s="71" t="s">
        <v>2524</v>
      </c>
      <c r="C32" s="2612" t="s">
        <v>3196</v>
      </c>
      <c r="D32" s="466">
        <v>100</v>
      </c>
      <c r="E32" s="2613" t="s">
        <v>3103</v>
      </c>
      <c r="F32" s="460">
        <f>SUMIF(100:100,E32,101:101)-SUMIF(100:100,C32,101:101)+100</f>
        <v>94</v>
      </c>
      <c r="G32" s="2612" t="s">
        <v>3103</v>
      </c>
      <c r="H32" s="466">
        <f>SUMIF(100:100,G32,101:101)-SUMIF(100:100,C32,101:101)+100</f>
        <v>94</v>
      </c>
      <c r="I32" s="2613" t="s">
        <v>3103</v>
      </c>
      <c r="J32" s="434">
        <f>SUMIF(100:100,I32,101:101)-SUMIF(100:100,C32,101:101)+100</f>
        <v>94</v>
      </c>
      <c r="K32" s="425">
        <v>6</v>
      </c>
      <c r="L32" s="1138"/>
      <c r="M32" s="1129"/>
      <c r="N32" s="1129"/>
      <c r="O32" s="1129"/>
      <c r="P32" s="3224" t="s">
        <v>2525</v>
      </c>
      <c r="Q32" s="1808" t="str">
        <f t="shared" si="11"/>
        <v>建筑类型</v>
      </c>
      <c r="R32" s="773" t="s">
        <v>21</v>
      </c>
      <c r="S32" s="774">
        <f t="shared" si="12"/>
        <v>94</v>
      </c>
      <c r="T32" s="773" t="s">
        <v>21</v>
      </c>
      <c r="U32" s="774">
        <f t="shared" si="13"/>
        <v>94</v>
      </c>
      <c r="V32" s="773" t="s">
        <v>21</v>
      </c>
      <c r="W32" s="774">
        <f t="shared" si="14"/>
        <v>94</v>
      </c>
      <c r="X32" s="1811"/>
      <c r="Y32" s="3227" t="s">
        <v>2525</v>
      </c>
      <c r="Z32" s="1812" t="str">
        <f t="shared" si="18"/>
        <v>建筑类型</v>
      </c>
      <c r="AA32" s="1809">
        <f t="shared" si="15"/>
        <v>1.0638297872340425</v>
      </c>
      <c r="AB32" s="1809">
        <f t="shared" si="16"/>
        <v>1.0638297872340425</v>
      </c>
      <c r="AC32" s="1809">
        <f t="shared" si="17"/>
        <v>1.0638297872340425</v>
      </c>
    </row>
    <row r="33" spans="1:29" s="470" customFormat="1" ht="15">
      <c r="A33" s="467"/>
      <c r="B33" s="421" t="s">
        <v>2526</v>
      </c>
      <c r="C33" s="468">
        <v>135000</v>
      </c>
      <c r="D33" s="135">
        <v>100</v>
      </c>
      <c r="E33" s="429">
        <v>87000</v>
      </c>
      <c r="F33" s="424">
        <f>LOOKUP(E33,103:103,104:104)-LOOKUP(C33,103:103,104:104)+100</f>
        <v>100</v>
      </c>
      <c r="G33" s="428">
        <v>98212</v>
      </c>
      <c r="H33" s="135">
        <f>LOOKUP(G33,103:103,104:104)-LOOKUP(C33,103:103,104:104)+100</f>
        <v>100</v>
      </c>
      <c r="I33" s="429">
        <v>280133</v>
      </c>
      <c r="J33" s="135">
        <f>LOOKUP(I33,103:103,104:104)-LOOKUP(C33,103:103,104:104)+100</f>
        <v>102</v>
      </c>
      <c r="K33" s="2596"/>
      <c r="L33" s="1136"/>
      <c r="M33" s="1139"/>
      <c r="N33" s="1139"/>
      <c r="O33" s="1139"/>
      <c r="P33" s="3225"/>
      <c r="Q33" s="775" t="str">
        <f t="shared" si="11"/>
        <v>项目建筑规模</v>
      </c>
      <c r="R33" s="776" t="s">
        <v>21</v>
      </c>
      <c r="S33" s="777">
        <f t="shared" si="12"/>
        <v>100</v>
      </c>
      <c r="T33" s="776" t="s">
        <v>21</v>
      </c>
      <c r="U33" s="777">
        <f t="shared" si="13"/>
        <v>100</v>
      </c>
      <c r="V33" s="776" t="s">
        <v>21</v>
      </c>
      <c r="W33" s="777">
        <f t="shared" si="14"/>
        <v>102</v>
      </c>
      <c r="X33" s="778"/>
      <c r="Y33" s="3227"/>
      <c r="Z33" s="779" t="str">
        <f t="shared" si="18"/>
        <v>项目建筑规模</v>
      </c>
      <c r="AA33" s="1809">
        <f t="shared" si="15"/>
        <v>1</v>
      </c>
      <c r="AB33" s="1809">
        <f t="shared" si="16"/>
        <v>1</v>
      </c>
      <c r="AC33" s="1809">
        <f t="shared" si="17"/>
        <v>0.98039215686274506</v>
      </c>
    </row>
    <row r="34" spans="1:29" ht="15">
      <c r="A34" s="471"/>
      <c r="B34" s="421" t="s">
        <v>2527</v>
      </c>
      <c r="C34" s="2614" t="s">
        <v>3267</v>
      </c>
      <c r="D34" s="434">
        <v>100</v>
      </c>
      <c r="E34" s="2614" t="s">
        <v>3267</v>
      </c>
      <c r="F34" s="460">
        <f>SUMIF(105:105,E34,106:106)-SUMIF(105:105,C34,106:106)+100</f>
        <v>100</v>
      </c>
      <c r="G34" s="2614" t="s">
        <v>3267</v>
      </c>
      <c r="H34" s="434">
        <f>SUMIF(105:105,G34,106:106)-SUMIF(105:105,C34,106:106)+100</f>
        <v>100</v>
      </c>
      <c r="I34" s="2614" t="s">
        <v>3267</v>
      </c>
      <c r="J34" s="434">
        <f>SUMIF(105:105,I34,106:106)-SUMIF(105:105,C34,106:106)+100</f>
        <v>100</v>
      </c>
      <c r="K34" s="425">
        <v>2</v>
      </c>
      <c r="L34" s="1138"/>
      <c r="M34" s="1129"/>
      <c r="N34" s="1129"/>
      <c r="O34" s="1129"/>
      <c r="P34" s="3225"/>
      <c r="Q34" s="1808" t="str">
        <f t="shared" si="11"/>
        <v>建筑结构</v>
      </c>
      <c r="R34" s="773" t="s">
        <v>21</v>
      </c>
      <c r="S34" s="774">
        <f t="shared" si="12"/>
        <v>100</v>
      </c>
      <c r="T34" s="773" t="s">
        <v>21</v>
      </c>
      <c r="U34" s="774">
        <f t="shared" si="13"/>
        <v>100</v>
      </c>
      <c r="V34" s="773" t="s">
        <v>21</v>
      </c>
      <c r="W34" s="774">
        <f t="shared" si="14"/>
        <v>100</v>
      </c>
      <c r="X34" s="1811"/>
      <c r="Y34" s="3227"/>
      <c r="Z34" s="1812" t="str">
        <f t="shared" si="18"/>
        <v>建筑结构</v>
      </c>
      <c r="AA34" s="1809">
        <f t="shared" si="15"/>
        <v>1</v>
      </c>
      <c r="AB34" s="1809">
        <f t="shared" si="16"/>
        <v>1</v>
      </c>
      <c r="AC34" s="1809">
        <f t="shared" si="17"/>
        <v>1</v>
      </c>
    </row>
    <row r="35" spans="1:29" ht="15">
      <c r="A35" s="471"/>
      <c r="B35" s="421" t="s">
        <v>2528</v>
      </c>
      <c r="C35" s="2608" t="s">
        <v>3269</v>
      </c>
      <c r="D35" s="434">
        <v>100</v>
      </c>
      <c r="E35" s="2608" t="s">
        <v>3269</v>
      </c>
      <c r="F35" s="460">
        <f>SUMIF(107:107,E35,108:108)-SUMIF(107:107,C35,108:108)+100</f>
        <v>100</v>
      </c>
      <c r="G35" s="2608" t="s">
        <v>3269</v>
      </c>
      <c r="H35" s="434">
        <f>SUMIF(107:107,G35,108:108)-SUMIF(107:107,C35,108:108)+100</f>
        <v>100</v>
      </c>
      <c r="I35" s="2608" t="s">
        <v>3269</v>
      </c>
      <c r="J35" s="434">
        <f>SUMIF(107:107,I35,108:108)-SUMIF(107:107,C35,108:108)+100</f>
        <v>100</v>
      </c>
      <c r="K35" s="425">
        <v>2</v>
      </c>
      <c r="L35" s="1138"/>
      <c r="M35" s="1129"/>
      <c r="N35" s="1129"/>
      <c r="O35" s="1129"/>
      <c r="P35" s="3225"/>
      <c r="Q35" s="1808" t="str">
        <f t="shared" si="11"/>
        <v>建筑品质</v>
      </c>
      <c r="R35" s="773" t="s">
        <v>21</v>
      </c>
      <c r="S35" s="774">
        <f t="shared" si="12"/>
        <v>100</v>
      </c>
      <c r="T35" s="773" t="s">
        <v>21</v>
      </c>
      <c r="U35" s="774">
        <f t="shared" si="13"/>
        <v>100</v>
      </c>
      <c r="V35" s="773" t="s">
        <v>21</v>
      </c>
      <c r="W35" s="774">
        <f t="shared" si="14"/>
        <v>100</v>
      </c>
      <c r="X35" s="1811"/>
      <c r="Y35" s="3227"/>
      <c r="Z35" s="1812" t="str">
        <f t="shared" si="18"/>
        <v>建筑品质</v>
      </c>
      <c r="AA35" s="1809">
        <f t="shared" si="15"/>
        <v>1</v>
      </c>
      <c r="AB35" s="1809">
        <f t="shared" si="16"/>
        <v>1</v>
      </c>
      <c r="AC35" s="1809">
        <f t="shared" si="17"/>
        <v>1</v>
      </c>
    </row>
    <row r="36" spans="1:29" ht="15">
      <c r="A36" s="471"/>
      <c r="B36" s="421" t="s">
        <v>2529</v>
      </c>
      <c r="C36" s="2608" t="s">
        <v>3272</v>
      </c>
      <c r="D36" s="434">
        <v>100</v>
      </c>
      <c r="E36" s="2608" t="s">
        <v>3272</v>
      </c>
      <c r="F36" s="460">
        <f>SUMIF(109:109,E36,110:110)-SUMIF(109:109,C36,110:110)+100</f>
        <v>100</v>
      </c>
      <c r="G36" s="2608" t="s">
        <v>3272</v>
      </c>
      <c r="H36" s="434">
        <f>SUMIF(109:109,G36,110:110)-SUMIF(109:109,C36,110:110)+100</f>
        <v>100</v>
      </c>
      <c r="I36" s="2608" t="s">
        <v>3272</v>
      </c>
      <c r="J36" s="434">
        <f>SUMIF(109:109,I36,110:110)-SUMIF(109:109,C36,110:110)+100</f>
        <v>100</v>
      </c>
      <c r="K36" s="425">
        <v>3</v>
      </c>
      <c r="L36" s="1138"/>
      <c r="M36" s="1129"/>
      <c r="N36" s="1129"/>
      <c r="O36" s="1129"/>
      <c r="P36" s="3225"/>
      <c r="Q36" s="1808" t="str">
        <f t="shared" si="11"/>
        <v>公共部分装修</v>
      </c>
      <c r="R36" s="773" t="s">
        <v>21</v>
      </c>
      <c r="S36" s="774">
        <f t="shared" si="12"/>
        <v>100</v>
      </c>
      <c r="T36" s="773" t="s">
        <v>21</v>
      </c>
      <c r="U36" s="774">
        <f t="shared" si="13"/>
        <v>100</v>
      </c>
      <c r="V36" s="773" t="s">
        <v>21</v>
      </c>
      <c r="W36" s="774">
        <f t="shared" si="14"/>
        <v>100</v>
      </c>
      <c r="X36" s="1811"/>
      <c r="Y36" s="3227"/>
      <c r="Z36" s="1812" t="str">
        <f t="shared" si="18"/>
        <v>公共部分装修</v>
      </c>
      <c r="AA36" s="1809">
        <f t="shared" si="15"/>
        <v>1</v>
      </c>
      <c r="AB36" s="1809">
        <f t="shared" si="16"/>
        <v>1</v>
      </c>
      <c r="AC36" s="1809">
        <f t="shared" si="17"/>
        <v>1</v>
      </c>
    </row>
    <row r="37" spans="1:29" s="116" customFormat="1" ht="15">
      <c r="A37" s="472"/>
      <c r="B37" s="421" t="s">
        <v>2530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25"/>
      <c r="Q37" s="1793" t="str">
        <f t="shared" si="11"/>
        <v>成新度</v>
      </c>
      <c r="R37" s="769" t="s">
        <v>21</v>
      </c>
      <c r="S37" s="770">
        <f t="shared" si="12"/>
        <v>100</v>
      </c>
      <c r="T37" s="769" t="s">
        <v>21</v>
      </c>
      <c r="U37" s="770">
        <f t="shared" si="13"/>
        <v>100</v>
      </c>
      <c r="V37" s="769" t="s">
        <v>21</v>
      </c>
      <c r="W37" s="770">
        <f t="shared" si="14"/>
        <v>100</v>
      </c>
      <c r="X37" s="771"/>
      <c r="Y37" s="3227"/>
      <c r="Z37" s="55" t="str">
        <f t="shared" si="18"/>
        <v>成新度</v>
      </c>
      <c r="AA37" s="772">
        <f t="shared" si="15"/>
        <v>1</v>
      </c>
      <c r="AB37" s="772">
        <f t="shared" si="16"/>
        <v>1</v>
      </c>
      <c r="AC37" s="772">
        <f t="shared" si="17"/>
        <v>1</v>
      </c>
    </row>
    <row r="38" spans="1:29" ht="15">
      <c r="A38" s="471"/>
      <c r="B38" s="421" t="s">
        <v>2531</v>
      </c>
      <c r="C38" s="2608" t="s">
        <v>3277</v>
      </c>
      <c r="D38" s="434">
        <v>100</v>
      </c>
      <c r="E38" s="2608" t="s">
        <v>3277</v>
      </c>
      <c r="F38" s="460">
        <f>SUMIF(114:114,E38,115:115)-SUMIF(114:114,C38,115:115)+100</f>
        <v>100</v>
      </c>
      <c r="G38" s="2608" t="s">
        <v>3277</v>
      </c>
      <c r="H38" s="434">
        <f>SUMIF(114:114,G38,115:115)-SUMIF(114:114,C38,115:115)+100</f>
        <v>100</v>
      </c>
      <c r="I38" s="2608" t="s">
        <v>3277</v>
      </c>
      <c r="J38" s="434">
        <f>SUMIF(114:114,I38,115:115)-SUMIF(114:114,C38,115:115)+100</f>
        <v>100</v>
      </c>
      <c r="K38" s="425">
        <v>2</v>
      </c>
      <c r="L38" s="1138"/>
      <c r="M38" s="1129"/>
      <c r="N38" s="1129"/>
      <c r="O38" s="1129"/>
      <c r="P38" s="3225" t="s">
        <v>2525</v>
      </c>
      <c r="Q38" s="1808" t="str">
        <f t="shared" si="11"/>
        <v>物业管理</v>
      </c>
      <c r="R38" s="773" t="s">
        <v>21</v>
      </c>
      <c r="S38" s="774">
        <f t="shared" si="12"/>
        <v>100</v>
      </c>
      <c r="T38" s="773" t="s">
        <v>21</v>
      </c>
      <c r="U38" s="774">
        <f t="shared" si="13"/>
        <v>100</v>
      </c>
      <c r="V38" s="773" t="s">
        <v>21</v>
      </c>
      <c r="W38" s="774">
        <f t="shared" si="14"/>
        <v>100</v>
      </c>
      <c r="X38" s="1811"/>
      <c r="Y38" s="3227" t="s">
        <v>2525</v>
      </c>
      <c r="Z38" s="1812" t="str">
        <f t="shared" si="18"/>
        <v>物业管理</v>
      </c>
      <c r="AA38" s="1809">
        <f t="shared" si="15"/>
        <v>1</v>
      </c>
      <c r="AB38" s="1809">
        <f t="shared" si="16"/>
        <v>1</v>
      </c>
      <c r="AC38" s="1809">
        <f t="shared" si="17"/>
        <v>1</v>
      </c>
    </row>
    <row r="39" spans="1:29" ht="15">
      <c r="A39" s="471"/>
      <c r="B39" s="421" t="s">
        <v>2532</v>
      </c>
      <c r="C39" s="2608" t="s">
        <v>3231</v>
      </c>
      <c r="D39" s="434">
        <v>100</v>
      </c>
      <c r="E39" s="2608" t="s">
        <v>3231</v>
      </c>
      <c r="F39" s="460">
        <f>SUMIF(116:116,E39,117:117)-SUMIF(116:116,C39,117:117)+100</f>
        <v>100</v>
      </c>
      <c r="G39" s="2608" t="s">
        <v>3231</v>
      </c>
      <c r="H39" s="434">
        <f>SUMIF(116:116,G39,117:117)-SUMIF(116:116,C39,117:117)+100</f>
        <v>100</v>
      </c>
      <c r="I39" s="2608" t="s">
        <v>3231</v>
      </c>
      <c r="J39" s="434">
        <f>SUMIF(116:116,I39,117:117)-SUMIF(116:116,C39,117:117)+100</f>
        <v>100</v>
      </c>
      <c r="K39" s="425">
        <v>2</v>
      </c>
      <c r="L39" s="1138"/>
      <c r="M39" s="1129"/>
      <c r="N39" s="1129"/>
      <c r="O39" s="1129"/>
      <c r="P39" s="3225"/>
      <c r="Q39" s="1808" t="str">
        <f t="shared" si="11"/>
        <v>市政基础设施</v>
      </c>
      <c r="R39" s="773" t="s">
        <v>21</v>
      </c>
      <c r="S39" s="774">
        <f t="shared" si="12"/>
        <v>100</v>
      </c>
      <c r="T39" s="773" t="s">
        <v>21</v>
      </c>
      <c r="U39" s="774">
        <f t="shared" si="13"/>
        <v>100</v>
      </c>
      <c r="V39" s="773" t="s">
        <v>21</v>
      </c>
      <c r="W39" s="774">
        <f t="shared" si="14"/>
        <v>100</v>
      </c>
      <c r="X39" s="1811"/>
      <c r="Y39" s="3227"/>
      <c r="Z39" s="1812" t="str">
        <f t="shared" si="18"/>
        <v>市政基础设施</v>
      </c>
      <c r="AA39" s="1809">
        <f t="shared" si="15"/>
        <v>1</v>
      </c>
      <c r="AB39" s="1809">
        <f t="shared" si="16"/>
        <v>1</v>
      </c>
      <c r="AC39" s="1809">
        <f t="shared" si="17"/>
        <v>1</v>
      </c>
    </row>
    <row r="40" spans="1:29" ht="15" hidden="1">
      <c r="A40" s="471"/>
      <c r="B40" s="421" t="s">
        <v>2533</v>
      </c>
      <c r="C40" s="2608"/>
      <c r="D40" s="434">
        <v>100</v>
      </c>
      <c r="E40" s="2608"/>
      <c r="F40" s="460">
        <f>SUMIF(118:118,E40,119:119)-SUMIF(118:118,C40,119:119)+100</f>
        <v>100</v>
      </c>
      <c r="G40" s="2608"/>
      <c r="H40" s="434">
        <f>SUMIF(118:118,G40,119:119)-SUMIF(118:118,C40,119:119)+100</f>
        <v>100</v>
      </c>
      <c r="I40" s="2608"/>
      <c r="J40" s="434">
        <f>SUMIF(118:118,I40,119:119)-SUMIF(118:118,C40,119:119)+100</f>
        <v>100</v>
      </c>
      <c r="K40" s="425"/>
      <c r="L40" s="1138"/>
      <c r="M40" s="1129"/>
      <c r="N40" s="1129"/>
      <c r="O40" s="1129"/>
      <c r="P40" s="3225"/>
      <c r="Q40" s="1808" t="str">
        <f t="shared" si="11"/>
        <v>房型</v>
      </c>
      <c r="R40" s="773" t="s">
        <v>21</v>
      </c>
      <c r="S40" s="774">
        <f t="shared" si="12"/>
        <v>100</v>
      </c>
      <c r="T40" s="773" t="s">
        <v>21</v>
      </c>
      <c r="U40" s="774">
        <f t="shared" si="13"/>
        <v>100</v>
      </c>
      <c r="V40" s="773" t="s">
        <v>21</v>
      </c>
      <c r="W40" s="774">
        <f t="shared" si="14"/>
        <v>100</v>
      </c>
      <c r="X40" s="1811"/>
      <c r="Y40" s="3227"/>
      <c r="Z40" s="1812" t="str">
        <f t="shared" si="18"/>
        <v>房型</v>
      </c>
      <c r="AA40" s="1809">
        <f t="shared" si="15"/>
        <v>1</v>
      </c>
      <c r="AB40" s="1809">
        <f t="shared" si="16"/>
        <v>1</v>
      </c>
      <c r="AC40" s="1809">
        <f t="shared" si="17"/>
        <v>1</v>
      </c>
    </row>
    <row r="41" spans="1:29" s="470" customFormat="1" ht="28.5" hidden="1">
      <c r="A41" s="467"/>
      <c r="B41" s="421" t="s">
        <v>2534</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6"/>
      <c r="L41" s="1136"/>
      <c r="M41" s="1139"/>
      <c r="N41" s="1139"/>
      <c r="O41" s="1139"/>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09">
        <f t="shared" si="15"/>
        <v>1</v>
      </c>
      <c r="AB41" s="1809">
        <f t="shared" si="16"/>
        <v>1</v>
      </c>
      <c r="AC41" s="1809">
        <f t="shared" si="17"/>
        <v>1</v>
      </c>
    </row>
    <row r="42" spans="1:29" ht="15">
      <c r="A42" s="471"/>
      <c r="B42" s="421" t="s">
        <v>2535</v>
      </c>
      <c r="C42" s="2608" t="s">
        <v>3272</v>
      </c>
      <c r="D42" s="434">
        <v>100</v>
      </c>
      <c r="E42" s="2608" t="s">
        <v>3272</v>
      </c>
      <c r="F42" s="460">
        <f>SUMIF(122:122,E42,123:123)-SUMIF(122:122,C42,123:123)+100</f>
        <v>100</v>
      </c>
      <c r="G42" s="2608" t="s">
        <v>3272</v>
      </c>
      <c r="H42" s="434">
        <f>SUMIF(122:122,G42,123:123)-SUMIF(122:122,C42,123:123)+100</f>
        <v>100</v>
      </c>
      <c r="I42" s="2608" t="s">
        <v>3272</v>
      </c>
      <c r="J42" s="434">
        <f>SUMIF(122:122,I42,123:123)-SUMIF(122:122,C42,123:123)+100</f>
        <v>100</v>
      </c>
      <c r="K42" s="425">
        <v>2</v>
      </c>
      <c r="L42" s="1138"/>
      <c r="M42" s="1129"/>
      <c r="N42" s="1129"/>
      <c r="O42" s="1129"/>
      <c r="P42" s="3225"/>
      <c r="Q42" s="1808" t="str">
        <f t="shared" si="11"/>
        <v>内部装修</v>
      </c>
      <c r="R42" s="773" t="s">
        <v>21</v>
      </c>
      <c r="S42" s="774">
        <f t="shared" si="12"/>
        <v>100</v>
      </c>
      <c r="T42" s="773" t="s">
        <v>21</v>
      </c>
      <c r="U42" s="774">
        <f t="shared" si="13"/>
        <v>100</v>
      </c>
      <c r="V42" s="773" t="s">
        <v>21</v>
      </c>
      <c r="W42" s="774">
        <f t="shared" si="14"/>
        <v>100</v>
      </c>
      <c r="X42" s="1811"/>
      <c r="Y42" s="3227"/>
      <c r="Z42" s="1812" t="str">
        <f t="shared" si="18"/>
        <v>内部装修</v>
      </c>
      <c r="AA42" s="1809">
        <f t="shared" si="15"/>
        <v>1</v>
      </c>
      <c r="AB42" s="1809">
        <f t="shared" si="16"/>
        <v>1</v>
      </c>
      <c r="AC42" s="1809">
        <f t="shared" si="17"/>
        <v>1</v>
      </c>
    </row>
    <row r="43" spans="1:29" ht="15.75" thickBot="1">
      <c r="A43" s="471"/>
      <c r="B43" s="421" t="s">
        <v>2536</v>
      </c>
      <c r="C43" s="2608" t="s">
        <v>3229</v>
      </c>
      <c r="D43" s="434">
        <v>100</v>
      </c>
      <c r="E43" s="2608" t="s">
        <v>3229</v>
      </c>
      <c r="F43" s="460">
        <f>SUMIF(124:124,E43,125:125)-SUMIF(124:124,C43,125:125)+100</f>
        <v>100</v>
      </c>
      <c r="G43" s="2608" t="s">
        <v>3229</v>
      </c>
      <c r="H43" s="434">
        <f>SUMIF(124:124,G43,125:125)-SUMIF(124:124,C43,125:125)+100</f>
        <v>100</v>
      </c>
      <c r="I43" s="2608" t="s">
        <v>3229</v>
      </c>
      <c r="J43" s="434">
        <f>SUMIF(124:124,I43,125:125)-SUMIF(124:124,C43,125:125)+100</f>
        <v>100</v>
      </c>
      <c r="K43" s="425">
        <v>2</v>
      </c>
      <c r="L43" s="1138"/>
      <c r="M43" s="1129"/>
      <c r="N43" s="1129"/>
      <c r="O43" s="1129"/>
      <c r="P43" s="3225"/>
      <c r="Q43" s="1808" t="str">
        <f t="shared" si="11"/>
        <v>内部装修维护情况</v>
      </c>
      <c r="R43" s="773" t="s">
        <v>21</v>
      </c>
      <c r="S43" s="774">
        <f t="shared" si="12"/>
        <v>100</v>
      </c>
      <c r="T43" s="773" t="s">
        <v>21</v>
      </c>
      <c r="U43" s="774">
        <f t="shared" si="13"/>
        <v>100</v>
      </c>
      <c r="V43" s="773" t="s">
        <v>21</v>
      </c>
      <c r="W43" s="774">
        <f t="shared" si="14"/>
        <v>100</v>
      </c>
      <c r="X43" s="1811"/>
      <c r="Y43" s="3227"/>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25"/>
      <c r="Q44" s="1793">
        <f t="shared" si="11"/>
        <v>111</v>
      </c>
      <c r="R44" s="769" t="s">
        <v>21</v>
      </c>
      <c r="S44" s="770">
        <f t="shared" si="12"/>
        <v>100</v>
      </c>
      <c r="T44" s="769" t="s">
        <v>21</v>
      </c>
      <c r="U44" s="770">
        <f t="shared" si="13"/>
        <v>100</v>
      </c>
      <c r="V44" s="769" t="s">
        <v>21</v>
      </c>
      <c r="W44" s="770">
        <f t="shared" si="14"/>
        <v>100</v>
      </c>
      <c r="X44" s="771"/>
      <c r="Y44" s="3227"/>
      <c r="Z44" s="55">
        <f t="shared" si="18"/>
        <v>111</v>
      </c>
      <c r="AA44" s="772">
        <f t="shared" si="15"/>
        <v>1</v>
      </c>
      <c r="AB44" s="772">
        <f t="shared" si="16"/>
        <v>1</v>
      </c>
      <c r="AC44" s="772">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25"/>
      <c r="Q45" s="1808">
        <f t="shared" si="11"/>
        <v>111</v>
      </c>
      <c r="R45" s="773" t="s">
        <v>21</v>
      </c>
      <c r="S45" s="774">
        <f t="shared" si="12"/>
        <v>100</v>
      </c>
      <c r="T45" s="773" t="s">
        <v>21</v>
      </c>
      <c r="U45" s="774">
        <f t="shared" si="13"/>
        <v>100</v>
      </c>
      <c r="V45" s="773" t="s">
        <v>21</v>
      </c>
      <c r="W45" s="774">
        <f t="shared" si="14"/>
        <v>100</v>
      </c>
      <c r="X45" s="1811"/>
      <c r="Y45" s="3227"/>
      <c r="Z45" s="1812">
        <f t="shared" si="18"/>
        <v>111</v>
      </c>
      <c r="AA45" s="1809">
        <f t="shared" si="15"/>
        <v>1</v>
      </c>
      <c r="AB45" s="1809">
        <f t="shared" si="16"/>
        <v>1</v>
      </c>
      <c r="AC45" s="1809">
        <f t="shared" si="17"/>
        <v>1</v>
      </c>
    </row>
    <row r="46" spans="1:29" ht="15.75" hidden="1"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26"/>
      <c r="Q46" s="1808">
        <f t="shared" si="11"/>
        <v>111</v>
      </c>
      <c r="R46" s="773" t="s">
        <v>20</v>
      </c>
      <c r="S46" s="774">
        <f t="shared" si="12"/>
        <v>100</v>
      </c>
      <c r="T46" s="773" t="s">
        <v>20</v>
      </c>
      <c r="U46" s="774">
        <f t="shared" si="13"/>
        <v>100</v>
      </c>
      <c r="V46" s="773" t="s">
        <v>20</v>
      </c>
      <c r="W46" s="774">
        <f t="shared" si="14"/>
        <v>100</v>
      </c>
      <c r="X46" s="1811"/>
      <c r="Y46" s="3228"/>
      <c r="Z46" s="1812">
        <f t="shared" si="18"/>
        <v>111</v>
      </c>
      <c r="AA46" s="1809">
        <f t="shared" si="15"/>
        <v>1</v>
      </c>
      <c r="AB46" s="1809">
        <f t="shared" si="16"/>
        <v>1</v>
      </c>
      <c r="AC46" s="1809">
        <f t="shared" si="17"/>
        <v>1</v>
      </c>
    </row>
    <row r="47" spans="1:29" ht="15">
      <c r="A47" s="478" t="s">
        <v>2537</v>
      </c>
      <c r="B47" s="479"/>
      <c r="C47" s="1405" t="s">
        <v>19</v>
      </c>
      <c r="D47" s="1406"/>
      <c r="E47" s="1407">
        <v>19000</v>
      </c>
      <c r="F47" s="1408"/>
      <c r="G47" s="1409">
        <v>20000</v>
      </c>
      <c r="H47" s="1410"/>
      <c r="I47" s="1407">
        <v>21000</v>
      </c>
      <c r="J47" s="1410"/>
      <c r="K47" s="2615"/>
      <c r="L47" s="1141"/>
      <c r="M47" s="1142"/>
      <c r="N47" s="1129"/>
      <c r="O47" s="1142"/>
      <c r="P47" s="3215" t="str">
        <f>A47</f>
        <v>成交单价（元/平方米）</v>
      </c>
      <c r="Q47" s="3215"/>
      <c r="R47" s="3216">
        <f>E47</f>
        <v>19000</v>
      </c>
      <c r="S47" s="3216"/>
      <c r="T47" s="3216">
        <f>G47</f>
        <v>20000</v>
      </c>
      <c r="U47" s="3216"/>
      <c r="V47" s="3216">
        <f>I47</f>
        <v>21000</v>
      </c>
      <c r="W47" s="3216"/>
      <c r="X47" s="758"/>
      <c r="Y47" s="780"/>
      <c r="Z47" s="758"/>
      <c r="AA47" s="758"/>
      <c r="AB47" s="758"/>
      <c r="AC47" s="758"/>
    </row>
    <row r="48" spans="1:29" ht="15.75" thickBot="1">
      <c r="A48" s="485" t="s">
        <v>2538</v>
      </c>
      <c r="B48" s="486"/>
      <c r="C48" s="1411">
        <f>R49</f>
        <v>21344</v>
      </c>
      <c r="D48" s="1412"/>
      <c r="E48" s="1413">
        <f>R48</f>
        <v>20417</v>
      </c>
      <c r="F48" s="1413"/>
      <c r="G48" s="1411">
        <f>T48</f>
        <v>21492</v>
      </c>
      <c r="H48" s="1412"/>
      <c r="I48" s="1413">
        <f>V48</f>
        <v>22124</v>
      </c>
      <c r="J48" s="1412"/>
      <c r="K48" s="2616"/>
      <c r="L48" s="1141"/>
      <c r="M48" s="1142"/>
      <c r="N48" s="1142"/>
      <c r="O48" s="1142"/>
      <c r="P48" s="3215" t="str">
        <f>A48</f>
        <v>比较价值（元/平方米）</v>
      </c>
      <c r="Q48" s="3215"/>
      <c r="R48" s="3216">
        <f>IF(F1="售价",ROUND(PRODUCT(R47,AA7:AA46),0),ROUND(PRODUCT(R47,AA7:AA46),1))</f>
        <v>20417</v>
      </c>
      <c r="S48" s="3216"/>
      <c r="T48" s="3216">
        <f>IF(F1="售价",ROUND(PRODUCT(T47,AB7:AB46),0),ROUND(PRODUCT(T47,AB7:AB46),1))</f>
        <v>21492</v>
      </c>
      <c r="U48" s="3216"/>
      <c r="V48" s="3216">
        <f>IF(F1="售价",ROUND(PRODUCT(V47,AC7:AC46),0),ROUND(PRODUCT(V47,AC7:AC46),1))</f>
        <v>22124</v>
      </c>
      <c r="W48" s="3216"/>
      <c r="X48" s="758"/>
      <c r="Y48" s="758"/>
      <c r="Z48" s="758"/>
      <c r="AA48" s="758"/>
      <c r="AB48" s="758"/>
      <c r="AC48" s="758"/>
    </row>
    <row r="49" spans="1:29" ht="15.75" thickBot="1">
      <c r="A49" s="491" t="s">
        <v>2539</v>
      </c>
      <c r="B49" s="492"/>
      <c r="C49" s="1414">
        <f>R49</f>
        <v>21344</v>
      </c>
      <c r="D49" s="1415"/>
      <c r="E49" s="1415"/>
      <c r="F49" s="1415"/>
      <c r="G49" s="1415"/>
      <c r="H49" s="1415"/>
      <c r="I49" s="1415"/>
      <c r="J49" s="1415"/>
      <c r="K49" s="2617"/>
      <c r="L49" s="1141"/>
      <c r="M49" s="1142"/>
      <c r="N49" s="1142"/>
      <c r="O49" s="1142"/>
      <c r="P49" s="3217" t="str">
        <f>A49</f>
        <v>估价对象XX用房的比较价值（楼面单价，元/平方米）</v>
      </c>
      <c r="Q49" s="3218"/>
      <c r="R49" s="3219">
        <f>IF(F1="售价",ROUND(AVERAGE(R48:V48),0),ROUND(AVERAGE(R48:V48),1))</f>
        <v>21344</v>
      </c>
      <c r="S49" s="3219"/>
      <c r="T49" s="3219"/>
      <c r="U49" s="3219"/>
      <c r="V49" s="3219"/>
      <c r="W49" s="321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2540</v>
      </c>
      <c r="D52" s="497"/>
      <c r="E52" s="498">
        <f>IF(E47&lt;E48,E48/E47-1,E47/E48-1)</f>
        <v>7.4578947368421078E-2</v>
      </c>
      <c r="F52" s="499" t="str">
        <f>IF(OR(E52&gt;=0.3,E52&lt;=-0.3),"超过30%","")</f>
        <v/>
      </c>
      <c r="G52" s="498">
        <f>IF(G47&lt;G48,G48/G47-1,G47/G48-1)</f>
        <v>7.46E-2</v>
      </c>
      <c r="H52" s="499" t="str">
        <f>IF(OR(G52&gt;=0.3,G52&lt;=-0.3),"超过30%","")</f>
        <v/>
      </c>
      <c r="I52" s="498">
        <f>IF(I47&lt;I48,I48/I47-1,I47/I48-1)</f>
        <v>5.3523809523809529E-2</v>
      </c>
      <c r="J52" s="499" t="str">
        <f>IF(OR(I52&gt;=0.3,I52&lt;=-0.3),"超过30%","")</f>
        <v/>
      </c>
      <c r="K52" s="1103"/>
      <c r="L52" s="1104"/>
      <c r="M52" s="1142"/>
      <c r="N52" s="1142"/>
      <c r="O52" s="1142"/>
    </row>
    <row r="53" spans="1:29" ht="13.5" customHeight="1">
      <c r="A53" s="1142"/>
      <c r="B53" s="1142"/>
      <c r="C53" s="496" t="s">
        <v>2541</v>
      </c>
      <c r="D53" s="500"/>
      <c r="E53" s="498">
        <f>IF(E48&lt;G48,G48/E48-1,E48/G48-1)</f>
        <v>5.2652201596708581E-2</v>
      </c>
      <c r="F53" s="499" t="str">
        <f>IF(OR(E53&gt;=0.2,E53&lt;=-0.2),"超过20%","")</f>
        <v/>
      </c>
      <c r="G53" s="498">
        <f>IF(G48&lt;I48,I48/G48-1,G48/I48-1)</f>
        <v>2.9406290712823413E-2</v>
      </c>
      <c r="H53" s="499" t="str">
        <f>IF(OR(G53&gt;=0.2,G53&lt;=-0.2),"超过20%","")</f>
        <v/>
      </c>
      <c r="I53" s="498">
        <f>IF(I48&lt;E48,E48/I48-1,I48/E48-1)</f>
        <v>8.3606798256355086E-2</v>
      </c>
      <c r="J53" s="499" t="str">
        <f>IF(OR(I53&gt;=0.2,I53&lt;=-0.2),"超过20%","")</f>
        <v/>
      </c>
      <c r="K53" s="1103"/>
      <c r="L53" s="1104"/>
      <c r="M53" s="1142"/>
      <c r="N53" s="1142"/>
      <c r="O53" s="1142"/>
    </row>
    <row r="54" spans="1:29" s="501" customFormat="1" ht="13.5" customHeight="1">
      <c r="A54" s="1143"/>
      <c r="B54" s="1143"/>
      <c r="C54" s="496" t="s">
        <v>2542</v>
      </c>
      <c r="D54" s="500"/>
      <c r="E54" s="498">
        <f>IF(E47&lt;G47,G47/E47-1,E47/G47-1)</f>
        <v>5.2631578947368363E-2</v>
      </c>
      <c r="F54" s="499" t="str">
        <f>IF(OR(E54&gt;=0.3,E54&lt;=-0.3),"超过30%","")</f>
        <v/>
      </c>
      <c r="G54" s="498">
        <f>IF(G47&lt;I47,I47/G47-1,G47/I47-1)</f>
        <v>5.0000000000000044E-2</v>
      </c>
      <c r="H54" s="499" t="str">
        <f>IF(OR(G54&gt;=0.3,G54&lt;=-0.3),"超过30%","")</f>
        <v/>
      </c>
      <c r="I54" s="498">
        <f>IF(I47&lt;E47,E47/I47-1,I47/E47-1)</f>
        <v>0.10526315789473695</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2543</v>
      </c>
      <c r="B57" s="758"/>
      <c r="C57" s="763"/>
      <c r="D57" s="763"/>
      <c r="E57" s="763"/>
      <c r="F57" s="764"/>
      <c r="G57" s="764"/>
      <c r="H57" s="763"/>
      <c r="I57" s="763"/>
      <c r="J57" s="763"/>
      <c r="K57" s="1158"/>
      <c r="L57" s="1159"/>
      <c r="M57" s="1157"/>
      <c r="N57" s="1157"/>
      <c r="O57" s="1157"/>
      <c r="P57" s="2620"/>
      <c r="Q57" s="503"/>
    </row>
    <row r="58" spans="1:29" s="507" customFormat="1" ht="15">
      <c r="A58" s="504" t="s">
        <v>2544</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6" customFormat="1" ht="15">
      <c r="A59" s="508"/>
      <c r="B59" s="2621"/>
      <c r="C59" s="1571">
        <v>100</v>
      </c>
      <c r="D59" s="510">
        <f>C59</f>
        <v>100</v>
      </c>
      <c r="E59" s="511">
        <f>C59</f>
        <v>100</v>
      </c>
      <c r="F59" s="511">
        <f>E59-0.5</f>
        <v>99.5</v>
      </c>
      <c r="G59" s="511">
        <f t="shared" ref="G59:H59" si="20">F59-0.5</f>
        <v>99</v>
      </c>
      <c r="H59" s="511">
        <f t="shared" si="20"/>
        <v>98.5</v>
      </c>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2546</v>
      </c>
      <c r="B61" s="509"/>
      <c r="C61" s="521" t="s">
        <v>2547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1"/>
      <c r="O66" s="1151"/>
      <c r="P66" s="2624"/>
      <c r="Q66" s="503"/>
    </row>
    <row r="67" spans="1:17" ht="15.75" thickTop="1">
      <c r="A67" s="533"/>
      <c r="B67" s="545" t="s">
        <v>2518</v>
      </c>
      <c r="C67" s="546" t="str">
        <f>C68&amp;"（含）"&amp;"-"&amp;D68</f>
        <v>0（含）-0.5</v>
      </c>
      <c r="D67" s="546" t="str">
        <f t="shared" ref="D67:L67" si="22">D68&amp;"（含）"&amp;"-"&amp;E68</f>
        <v>0.5（含）-1</v>
      </c>
      <c r="E67" s="546" t="str">
        <f t="shared" si="22"/>
        <v>1（含）-1.5</v>
      </c>
      <c r="F67" s="546" t="str">
        <f t="shared" si="22"/>
        <v>1.5（含）-2</v>
      </c>
      <c r="G67" s="546" t="str">
        <f t="shared" si="22"/>
        <v>2（含）-2.5</v>
      </c>
      <c r="H67" s="546" t="str">
        <f t="shared" si="22"/>
        <v>2.5（含）-3</v>
      </c>
      <c r="I67" s="546" t="str">
        <f t="shared" si="22"/>
        <v>3（含）-</v>
      </c>
      <c r="J67" s="546" t="str">
        <f t="shared" si="22"/>
        <v>（含）-</v>
      </c>
      <c r="K67" s="546" t="str">
        <f>K68&amp;"（含）"&amp;"-"&amp;L68</f>
        <v>（含）-</v>
      </c>
      <c r="L67" s="546" t="str">
        <f t="shared" si="22"/>
        <v>（含）-</v>
      </c>
      <c r="M67" s="447" t="str">
        <f>M68&amp;"（含）"&amp;"-"&amp;P68</f>
        <v>（含）-</v>
      </c>
      <c r="N67" s="1151"/>
      <c r="O67" s="1151"/>
      <c r="P67" s="2624"/>
      <c r="Q67" s="503"/>
    </row>
    <row r="68" spans="1:17" ht="15">
      <c r="A68" s="533"/>
      <c r="B68" s="547"/>
      <c r="C68" s="548">
        <v>0</v>
      </c>
      <c r="D68" s="548">
        <v>0.5</v>
      </c>
      <c r="E68" s="548">
        <v>1</v>
      </c>
      <c r="F68" s="548">
        <v>1.5</v>
      </c>
      <c r="G68" s="548">
        <v>2</v>
      </c>
      <c r="H68" s="548">
        <v>2.5</v>
      </c>
      <c r="I68" s="548">
        <v>3</v>
      </c>
      <c r="J68" s="548"/>
      <c r="K68" s="549"/>
      <c r="L68" s="550"/>
      <c r="M68" s="551"/>
      <c r="N68" s="1150"/>
      <c r="O68" s="1150"/>
      <c r="P68" s="2624"/>
      <c r="Q68" s="503"/>
    </row>
    <row r="69" spans="1:17" ht="15.75" thickBot="1">
      <c r="A69" s="533"/>
      <c r="B69" s="534"/>
      <c r="C69" s="543">
        <v>100</v>
      </c>
      <c r="D69" s="543">
        <f t="shared" ref="D69:M69" si="23">C69-$K11</f>
        <v>99</v>
      </c>
      <c r="E69" s="543">
        <f t="shared" si="23"/>
        <v>98</v>
      </c>
      <c r="F69" s="543">
        <f t="shared" si="23"/>
        <v>97</v>
      </c>
      <c r="G69" s="543">
        <f t="shared" si="23"/>
        <v>96</v>
      </c>
      <c r="H69" s="543">
        <f t="shared" si="23"/>
        <v>95</v>
      </c>
      <c r="I69" s="543">
        <f t="shared" si="23"/>
        <v>94</v>
      </c>
      <c r="J69" s="543">
        <f t="shared" si="23"/>
        <v>93</v>
      </c>
      <c r="K69" s="543">
        <f t="shared" si="23"/>
        <v>92</v>
      </c>
      <c r="L69" s="543">
        <f t="shared" si="23"/>
        <v>91</v>
      </c>
      <c r="M69" s="544">
        <f t="shared" si="23"/>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4"/>
      <c r="Q81" s="503"/>
    </row>
    <row r="82" spans="1:17" ht="15.75" thickTop="1">
      <c r="A82" s="533"/>
      <c r="B82" s="545" t="s">
        <v>2059</v>
      </c>
      <c r="C82" s="538" t="s">
        <v>2564</v>
      </c>
      <c r="D82" s="538" t="s">
        <v>2565</v>
      </c>
      <c r="E82" s="538" t="s">
        <v>2566</v>
      </c>
      <c r="F82" s="538" t="s">
        <v>2567</v>
      </c>
      <c r="G82" s="538" t="s">
        <v>2568</v>
      </c>
      <c r="H82" s="538"/>
      <c r="I82" s="538"/>
      <c r="J82" s="538"/>
      <c r="K82" s="538"/>
      <c r="L82" s="538"/>
      <c r="M82" s="1380"/>
      <c r="N82" s="1151"/>
      <c r="O82" s="1151"/>
      <c r="P82" s="2624"/>
      <c r="Q82" s="503"/>
    </row>
    <row r="83" spans="1:17" ht="15.75" thickBot="1">
      <c r="A83" s="533"/>
      <c r="B83" s="545"/>
      <c r="C83" s="659">
        <v>100</v>
      </c>
      <c r="D83" s="659">
        <f>C83-$K21</f>
        <v>99</v>
      </c>
      <c r="E83" s="659">
        <f t="shared" ref="E83:G83" si="24">D83-$K21</f>
        <v>98</v>
      </c>
      <c r="F83" s="659">
        <f t="shared" si="24"/>
        <v>97</v>
      </c>
      <c r="G83" s="659">
        <f t="shared" si="24"/>
        <v>96</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2570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1"/>
      <c r="O87" s="1151"/>
      <c r="P87" s="2624"/>
      <c r="Q87" s="503"/>
    </row>
    <row r="88" spans="1:17" s="116" customFormat="1" ht="15.75" thickTop="1">
      <c r="A88" s="578"/>
      <c r="B88" s="537" t="s">
        <v>2571</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2523</v>
      </c>
      <c r="B100" s="527" t="s">
        <v>2572</v>
      </c>
      <c r="C100" s="2986" t="s">
        <v>3287</v>
      </c>
      <c r="D100" s="2986" t="s">
        <v>3284</v>
      </c>
      <c r="E100" s="2986" t="s">
        <v>3285</v>
      </c>
      <c r="F100" s="2986" t="s">
        <v>3286</v>
      </c>
      <c r="G100" s="529"/>
      <c r="H100" s="529"/>
      <c r="I100" s="529"/>
      <c r="J100" s="529"/>
      <c r="K100" s="530"/>
      <c r="L100" s="531"/>
      <c r="M100" s="532"/>
      <c r="N100" s="1150"/>
      <c r="O100" s="1150"/>
      <c r="P100" s="2624"/>
      <c r="Q100" s="503"/>
    </row>
    <row r="101" spans="1:17" ht="15.75" thickBot="1">
      <c r="A101" s="533"/>
      <c r="B101" s="542"/>
      <c r="C101" s="543">
        <v>100</v>
      </c>
      <c r="D101" s="543">
        <f t="shared" ref="D101:M101" si="27">C101-$K32</f>
        <v>94</v>
      </c>
      <c r="E101" s="543">
        <f t="shared" si="27"/>
        <v>88</v>
      </c>
      <c r="F101" s="543">
        <f t="shared" si="27"/>
        <v>82</v>
      </c>
      <c r="G101" s="543">
        <f t="shared" si="27"/>
        <v>76</v>
      </c>
      <c r="H101" s="543">
        <f t="shared" si="27"/>
        <v>70</v>
      </c>
      <c r="I101" s="543">
        <f t="shared" si="27"/>
        <v>64</v>
      </c>
      <c r="J101" s="543">
        <f t="shared" si="27"/>
        <v>58</v>
      </c>
      <c r="K101" s="543">
        <f t="shared" si="27"/>
        <v>52</v>
      </c>
      <c r="L101" s="543">
        <f t="shared" si="27"/>
        <v>46</v>
      </c>
      <c r="M101" s="543">
        <f t="shared" si="27"/>
        <v>40</v>
      </c>
      <c r="N101" s="1151"/>
      <c r="O101" s="1151"/>
      <c r="P101" s="2624"/>
      <c r="Q101" s="503"/>
    </row>
    <row r="102" spans="1:17" ht="29.25" thickTop="1">
      <c r="A102" s="533"/>
      <c r="B102" s="537" t="s">
        <v>2573</v>
      </c>
      <c r="C102" s="577" t="str">
        <f>C103&amp;"(含)"&amp;"-"&amp;D103</f>
        <v>0(含)-80000</v>
      </c>
      <c r="D102" s="577" t="str">
        <f t="shared" ref="D102:L102" si="28">D103&amp;"(含)"&amp;"-"&amp;E103</f>
        <v>80000(含)-160000</v>
      </c>
      <c r="E102" s="577" t="str">
        <f t="shared" si="28"/>
        <v>160000(含)-240000</v>
      </c>
      <c r="F102" s="577" t="str">
        <f t="shared" si="28"/>
        <v>240000(含)-320000</v>
      </c>
      <c r="G102" s="577" t="str">
        <f t="shared" si="28"/>
        <v>320000(含)-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49"/>
      <c r="O102" s="1149"/>
      <c r="P102" s="2624"/>
      <c r="Q102" s="503"/>
    </row>
    <row r="103" spans="1:17" s="470" customFormat="1">
      <c r="A103" s="592"/>
      <c r="B103" s="593"/>
      <c r="C103" s="594">
        <v>0</v>
      </c>
      <c r="D103" s="594">
        <f>C103+80000</f>
        <v>80000</v>
      </c>
      <c r="E103" s="594">
        <f t="shared" ref="E103:G103" si="29">D103+80000</f>
        <v>160000</v>
      </c>
      <c r="F103" s="594">
        <f t="shared" si="29"/>
        <v>240000</v>
      </c>
      <c r="G103" s="594">
        <f t="shared" si="29"/>
        <v>320000</v>
      </c>
      <c r="H103" s="594"/>
      <c r="I103" s="594"/>
      <c r="J103" s="595"/>
      <c r="K103" s="595"/>
      <c r="L103" s="596"/>
      <c r="M103" s="597"/>
      <c r="N103" s="1152"/>
      <c r="O103" s="1152"/>
      <c r="P103" s="2625"/>
      <c r="Q103" s="558"/>
    </row>
    <row r="104" spans="1:17" s="470" customFormat="1" ht="15.75" thickBot="1">
      <c r="A104" s="552"/>
      <c r="B104" s="542"/>
      <c r="C104" s="559">
        <v>100</v>
      </c>
      <c r="D104" s="535">
        <f>C104+1</f>
        <v>101</v>
      </c>
      <c r="E104" s="535">
        <f t="shared" ref="E104:G104" si="30">D104+1</f>
        <v>102</v>
      </c>
      <c r="F104" s="535">
        <f t="shared" si="30"/>
        <v>103</v>
      </c>
      <c r="G104" s="535">
        <f t="shared" si="30"/>
        <v>104</v>
      </c>
      <c r="H104" s="535"/>
      <c r="I104" s="535"/>
      <c r="J104" s="535"/>
      <c r="K104" s="535"/>
      <c r="L104" s="535"/>
      <c r="M104" s="535"/>
      <c r="N104" s="1151"/>
      <c r="O104" s="1151"/>
      <c r="P104" s="2625"/>
      <c r="Q104" s="558"/>
    </row>
    <row r="105" spans="1:17" ht="15" thickTop="1">
      <c r="A105" s="598"/>
      <c r="B105" s="537" t="s">
        <v>2574</v>
      </c>
      <c r="C105" s="2988" t="s">
        <v>3268</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1"/>
      <c r="O106" s="1151"/>
      <c r="P106" s="2624"/>
      <c r="Q106" s="503"/>
    </row>
    <row r="107" spans="1:17" ht="15" thickTop="1">
      <c r="A107" s="598"/>
      <c r="B107" s="537" t="s">
        <v>2575</v>
      </c>
      <c r="C107" s="2987" t="s">
        <v>3270</v>
      </c>
      <c r="D107" s="2987" t="s">
        <v>3271</v>
      </c>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32">C108-$K35</f>
        <v>98</v>
      </c>
      <c r="E108" s="543">
        <f t="shared" si="32"/>
        <v>96</v>
      </c>
      <c r="F108" s="543">
        <f t="shared" si="32"/>
        <v>94</v>
      </c>
      <c r="G108" s="543">
        <f t="shared" si="32"/>
        <v>92</v>
      </c>
      <c r="H108" s="543">
        <f t="shared" si="32"/>
        <v>90</v>
      </c>
      <c r="I108" s="543">
        <f t="shared" si="32"/>
        <v>88</v>
      </c>
      <c r="J108" s="543">
        <f t="shared" si="32"/>
        <v>86</v>
      </c>
      <c r="K108" s="543">
        <f t="shared" si="32"/>
        <v>84</v>
      </c>
      <c r="L108" s="543">
        <f t="shared" si="32"/>
        <v>82</v>
      </c>
      <c r="M108" s="543">
        <f t="shared" si="32"/>
        <v>80</v>
      </c>
      <c r="N108" s="1151"/>
      <c r="O108" s="1151"/>
      <c r="P108" s="2624"/>
      <c r="Q108" s="503"/>
    </row>
    <row r="109" spans="1:17" ht="15" thickTop="1">
      <c r="A109" s="598"/>
      <c r="B109" s="537" t="s">
        <v>2576</v>
      </c>
      <c r="C109" s="2988" t="s">
        <v>3273</v>
      </c>
      <c r="D109" s="2988" t="s">
        <v>3274</v>
      </c>
      <c r="E109" s="2988" t="s">
        <v>3275</v>
      </c>
      <c r="F109" s="2987" t="s">
        <v>3276</v>
      </c>
      <c r="G109" s="582"/>
      <c r="H109" s="582"/>
      <c r="I109" s="582"/>
      <c r="J109" s="582"/>
      <c r="K109" s="583"/>
      <c r="L109" s="584"/>
      <c r="M109" s="585"/>
      <c r="N109" s="1150"/>
      <c r="O109" s="1150"/>
      <c r="P109" s="2624"/>
      <c r="Q109" s="503"/>
    </row>
    <row r="110" spans="1:17" ht="15.75" thickBot="1">
      <c r="A110" s="533"/>
      <c r="B110" s="542"/>
      <c r="C110" s="543">
        <v>100</v>
      </c>
      <c r="D110" s="543">
        <f t="shared" ref="D110:M110" si="33">C110-$K36</f>
        <v>97</v>
      </c>
      <c r="E110" s="543">
        <f t="shared" si="33"/>
        <v>94</v>
      </c>
      <c r="F110" s="543">
        <f t="shared" si="33"/>
        <v>91</v>
      </c>
      <c r="G110" s="543">
        <f t="shared" si="33"/>
        <v>88</v>
      </c>
      <c r="H110" s="543">
        <f t="shared" si="33"/>
        <v>85</v>
      </c>
      <c r="I110" s="543">
        <f t="shared" si="33"/>
        <v>82</v>
      </c>
      <c r="J110" s="543">
        <f t="shared" si="33"/>
        <v>79</v>
      </c>
      <c r="K110" s="543">
        <f t="shared" si="33"/>
        <v>76</v>
      </c>
      <c r="L110" s="543">
        <f t="shared" si="33"/>
        <v>73</v>
      </c>
      <c r="M110" s="543">
        <f t="shared" si="33"/>
        <v>70</v>
      </c>
      <c r="N110" s="1151"/>
      <c r="O110" s="1151"/>
      <c r="P110" s="2624"/>
      <c r="Q110" s="503"/>
    </row>
    <row r="111" spans="1:17" s="470" customFormat="1" ht="15" thickTop="1">
      <c r="A111" s="592"/>
      <c r="B111" s="537" t="s">
        <v>1966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2577</v>
      </c>
      <c r="C114" s="2988" t="s">
        <v>3278</v>
      </c>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4">C115-$K38</f>
        <v>98</v>
      </c>
      <c r="E115" s="543">
        <f t="shared" si="34"/>
        <v>96</v>
      </c>
      <c r="F115" s="543">
        <f t="shared" si="34"/>
        <v>94</v>
      </c>
      <c r="G115" s="543">
        <f t="shared" si="34"/>
        <v>92</v>
      </c>
      <c r="H115" s="543">
        <f t="shared" si="34"/>
        <v>90</v>
      </c>
      <c r="I115" s="543">
        <f t="shared" si="34"/>
        <v>88</v>
      </c>
      <c r="J115" s="543">
        <f t="shared" si="34"/>
        <v>86</v>
      </c>
      <c r="K115" s="543">
        <f t="shared" si="34"/>
        <v>84</v>
      </c>
      <c r="L115" s="543">
        <f t="shared" si="34"/>
        <v>82</v>
      </c>
      <c r="M115" s="543">
        <f t="shared" si="34"/>
        <v>80</v>
      </c>
      <c r="N115" s="1151"/>
      <c r="O115" s="1151"/>
      <c r="P115" s="2624"/>
      <c r="Q115" s="503"/>
    </row>
    <row r="116" spans="1:17" ht="15" thickTop="1">
      <c r="A116" s="598"/>
      <c r="B116" s="537" t="s">
        <v>2578</v>
      </c>
      <c r="C116" s="2988" t="s">
        <v>3279</v>
      </c>
      <c r="D116" s="2988" t="s">
        <v>3280</v>
      </c>
      <c r="E116" s="2988" t="s">
        <v>3281</v>
      </c>
      <c r="F116" s="2988" t="s">
        <v>3282</v>
      </c>
      <c r="G116" s="2988" t="s">
        <v>3283</v>
      </c>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2579</v>
      </c>
      <c r="C118" s="2987"/>
      <c r="D118" s="2987"/>
      <c r="E118" s="2987"/>
      <c r="F118" s="2987"/>
      <c r="G118" s="582"/>
      <c r="H118" s="582"/>
      <c r="I118" s="582"/>
      <c r="J118" s="582"/>
      <c r="K118" s="583"/>
      <c r="L118" s="584"/>
      <c r="M118" s="585"/>
      <c r="N118" s="1150"/>
      <c r="O118" s="1150"/>
      <c r="P118" s="2624"/>
      <c r="Q118" s="503"/>
    </row>
    <row r="119" spans="1:17" ht="15.75" thickBot="1">
      <c r="A119" s="533"/>
      <c r="B119" s="542"/>
      <c r="C119" s="543">
        <v>100</v>
      </c>
      <c r="D119" s="543">
        <f t="shared" ref="D119:M119" si="35">C119-$K40</f>
        <v>100</v>
      </c>
      <c r="E119" s="543">
        <f t="shared" si="35"/>
        <v>100</v>
      </c>
      <c r="F119" s="543">
        <f t="shared" si="35"/>
        <v>100</v>
      </c>
      <c r="G119" s="543">
        <f t="shared" si="35"/>
        <v>100</v>
      </c>
      <c r="H119" s="543">
        <f t="shared" si="35"/>
        <v>100</v>
      </c>
      <c r="I119" s="543">
        <f t="shared" si="35"/>
        <v>100</v>
      </c>
      <c r="J119" s="543">
        <f t="shared" si="35"/>
        <v>100</v>
      </c>
      <c r="K119" s="543">
        <f t="shared" si="35"/>
        <v>100</v>
      </c>
      <c r="L119" s="543">
        <f t="shared" si="35"/>
        <v>100</v>
      </c>
      <c r="M119" s="543">
        <f t="shared" si="35"/>
        <v>100</v>
      </c>
      <c r="N119" s="1151"/>
      <c r="O119" s="1151"/>
      <c r="P119" s="2624"/>
      <c r="Q119" s="503"/>
    </row>
    <row r="120" spans="1:17" s="470" customFormat="1" ht="28.5" thickTop="1">
      <c r="A120" s="592"/>
      <c r="B120" s="537" t="s">
        <v>2534</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2580</v>
      </c>
      <c r="C122" s="2988" t="s">
        <v>3273</v>
      </c>
      <c r="D122" s="2988" t="s">
        <v>3274</v>
      </c>
      <c r="E122" s="2988" t="s">
        <v>3275</v>
      </c>
      <c r="F122" s="2987" t="s">
        <v>3276</v>
      </c>
      <c r="G122" s="582"/>
      <c r="H122" s="582"/>
      <c r="I122" s="582"/>
      <c r="J122" s="582"/>
      <c r="K122" s="583"/>
      <c r="L122" s="584"/>
      <c r="M122" s="585"/>
      <c r="N122" s="1150"/>
      <c r="O122" s="1150"/>
      <c r="P122" s="2624"/>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2582</v>
      </c>
    </row>
    <row r="137" spans="1:17" ht="15">
      <c r="B137" s="2632" t="s">
        <v>2583</v>
      </c>
      <c r="C137" s="2633"/>
      <c r="D137" s="2633"/>
      <c r="E137" s="2633"/>
      <c r="F137" s="2633"/>
      <c r="G137" s="2634"/>
      <c r="H137" s="2635"/>
      <c r="I137" s="2636" t="s">
        <v>2584</v>
      </c>
      <c r="J137" s="2633"/>
      <c r="K137" s="2637"/>
    </row>
    <row r="138" spans="1:17" ht="15">
      <c r="B138" s="2638"/>
      <c r="C138" s="145" t="s">
        <v>2585</v>
      </c>
      <c r="D138" s="145" t="s">
        <v>2586</v>
      </c>
      <c r="E138" s="2639" t="s">
        <v>2587</v>
      </c>
      <c r="F138" s="2640" t="s">
        <v>2588</v>
      </c>
      <c r="G138" s="145" t="s">
        <v>2586</v>
      </c>
      <c r="H138" s="146" t="s">
        <v>2587</v>
      </c>
      <c r="I138" s="2641"/>
      <c r="J138" s="145" t="s">
        <v>2589</v>
      </c>
      <c r="K138" s="146" t="s">
        <v>2590</v>
      </c>
    </row>
    <row r="139" spans="1:17" ht="15">
      <c r="B139" s="1082">
        <v>6</v>
      </c>
      <c r="C139" s="1083">
        <v>96</v>
      </c>
      <c r="D139" s="2642" t="s">
        <v>2591</v>
      </c>
      <c r="E139" s="1084">
        <v>100</v>
      </c>
      <c r="F139" s="1085">
        <v>102.5</v>
      </c>
      <c r="G139" s="2642" t="s">
        <v>2591</v>
      </c>
      <c r="H139" s="1086">
        <v>105</v>
      </c>
      <c r="I139" s="2643" t="s">
        <v>2592</v>
      </c>
      <c r="J139" s="1083">
        <v>20</v>
      </c>
      <c r="K139" s="1087">
        <f>C145/(J139-2)</f>
        <v>4.0555555555555553E-3</v>
      </c>
    </row>
    <row r="140" spans="1:17" ht="15">
      <c r="B140" s="1088">
        <v>5</v>
      </c>
      <c r="C140" s="1089">
        <v>100</v>
      </c>
      <c r="D140" s="1089"/>
      <c r="E140" s="1090"/>
      <c r="F140" s="1091">
        <v>102</v>
      </c>
      <c r="G140" s="1089"/>
      <c r="H140" s="1092"/>
      <c r="I140" s="2644" t="s">
        <v>2593</v>
      </c>
      <c r="J140" s="314">
        <f>ROUNDUP((J139-1)/2,0)</f>
        <v>10</v>
      </c>
      <c r="K140" s="1093">
        <v>100</v>
      </c>
    </row>
    <row r="141" spans="1:17" ht="15">
      <c r="B141" s="1088">
        <v>4</v>
      </c>
      <c r="C141" s="1089">
        <v>102</v>
      </c>
      <c r="D141" s="1089"/>
      <c r="E141" s="1090"/>
      <c r="F141" s="1091">
        <v>101.5</v>
      </c>
      <c r="G141" s="1089"/>
      <c r="H141" s="1092"/>
      <c r="I141" s="2644" t="s">
        <v>2594</v>
      </c>
      <c r="J141" s="314">
        <v>1</v>
      </c>
      <c r="K141" s="1094">
        <f>ROUND(100+(J141-J140)*K139*100,1)</f>
        <v>96.4</v>
      </c>
    </row>
    <row r="142" spans="1:17" ht="15">
      <c r="B142" s="1088">
        <v>3</v>
      </c>
      <c r="C142" s="1089">
        <v>103</v>
      </c>
      <c r="D142" s="1089"/>
      <c r="E142" s="1090"/>
      <c r="F142" s="1091">
        <v>101</v>
      </c>
      <c r="G142" s="1089"/>
      <c r="H142" s="1092"/>
      <c r="I142" s="2644" t="s">
        <v>2595</v>
      </c>
      <c r="J142" s="314">
        <f>J139</f>
        <v>20</v>
      </c>
      <c r="K142" s="1095">
        <v>95</v>
      </c>
    </row>
    <row r="143" spans="1:17" ht="15">
      <c r="B143" s="1088">
        <v>2</v>
      </c>
      <c r="C143" s="1089">
        <v>100</v>
      </c>
      <c r="D143" s="1089"/>
      <c r="E143" s="1090"/>
      <c r="F143" s="1091">
        <v>100.5</v>
      </c>
      <c r="G143" s="1089"/>
      <c r="H143" s="1092"/>
      <c r="I143" s="2644" t="s">
        <v>2596</v>
      </c>
      <c r="J143" s="1089">
        <v>15</v>
      </c>
      <c r="K143" s="1094">
        <f>ROUND(100+(J143-J140)*K139*100,1)</f>
        <v>102</v>
      </c>
    </row>
    <row r="144" spans="1:17" ht="15">
      <c r="B144" s="1088">
        <v>1</v>
      </c>
      <c r="C144" s="1089">
        <v>98</v>
      </c>
      <c r="D144" s="2645" t="s">
        <v>2597</v>
      </c>
      <c r="E144" s="1090">
        <v>102</v>
      </c>
      <c r="F144" s="1096">
        <v>100</v>
      </c>
      <c r="G144" s="2645" t="s">
        <v>2597</v>
      </c>
      <c r="H144" s="1092">
        <v>105</v>
      </c>
      <c r="I144" s="2644" t="s">
        <v>2596</v>
      </c>
      <c r="J144" s="1089">
        <v>18</v>
      </c>
      <c r="K144" s="1094">
        <f>ROUND(100+(J144-J140)*K139*100,1)</f>
        <v>103.2</v>
      </c>
    </row>
    <row r="145" spans="2:11" ht="15.75" thickBot="1">
      <c r="B145" s="2646" t="s">
        <v>2598</v>
      </c>
      <c r="C145" s="1097">
        <f>ROUND(MAX(C139:C144)/MIN(C139:C144)-1,3)</f>
        <v>7.2999999999999995E-2</v>
      </c>
      <c r="D145" s="1098"/>
      <c r="E145" s="1098"/>
      <c r="F145" s="2647" t="s">
        <v>2599</v>
      </c>
      <c r="G145" s="2648"/>
      <c r="H145" s="2649"/>
      <c r="I145" s="2650" t="s">
        <v>2596</v>
      </c>
      <c r="J145" s="1099">
        <v>8</v>
      </c>
      <c r="K145" s="1100">
        <f>ROUND(100+(J145-J140)*K139*100,1)</f>
        <v>99.2</v>
      </c>
    </row>
    <row r="147" spans="2:11">
      <c r="B147" s="2631" t="s">
        <v>2600</v>
      </c>
    </row>
    <row r="148" spans="2:11">
      <c r="B148" s="2631" t="s">
        <v>2601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光大兴陇信托有限责任公司：</v>
      </c>
    </row>
    <row r="4" spans="1:1" ht="36">
      <c r="A4" s="1945" t="str">
        <f>"受贵公司委托，我公司对"&amp;项目基本情况!S1&amp;"进行了预评估。"</f>
        <v>受贵公司委托，我公司对江苏省无锡市惠山新城白屈港东侧、融泽路南侧出让国有建设用地使用权及在建建筑物房地产抵押价值进行了预评估。</v>
      </c>
    </row>
    <row r="5" spans="1:1" ht="18.75">
      <c r="A5" s="1946" t="s">
        <v>1605</v>
      </c>
    </row>
    <row r="6" spans="1:1" ht="18.75">
      <c r="A6" s="1947" t="s">
        <v>1606</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75.39平方米。根据《建设工程规划许可证》[]、《无锡市房屋建筑面积测绘报告》[编号：2019（0067）]，估价对象建筑面积为221.26平方米。</v>
      </c>
    </row>
    <row r="8" spans="1:1" ht="57.75">
      <c r="A8" s="1948" t="s">
        <v>1607</v>
      </c>
    </row>
    <row r="9" spans="1:1" ht="18.75">
      <c r="A9" s="1947" t="s">
        <v>1608</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75.39平方米。根据《建设工程规划许可证》[]、《无锡市房屋建筑面积测绘报告》[编号：2019（0067）]，估价对象规划建筑面积为221.26平方米。</v>
      </c>
    </row>
    <row r="11" spans="1:1" ht="76.5">
      <c r="A11" s="1948" t="s">
        <v>1609</v>
      </c>
    </row>
    <row r="12" spans="1:1" ht="18.75">
      <c r="A12" s="1946" t="s">
        <v>1610</v>
      </c>
    </row>
    <row r="13" spans="1:1" ht="38.25" customHeight="1">
      <c r="A13" s="1949" t="str">
        <f>IF(项目基本情况!B8="抵押",IF(项目基本情况!B5=项目基本情况!B6,定义!C51,定义!B51),定义!D51)</f>
        <v>拟使用江苏省无锡市惠山新城白屈港东侧、融泽路南侧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2020年3月16日（评估专业人员实地查勘之日）</v>
      </c>
    </row>
    <row r="16" spans="1:1" ht="18.75">
      <c r="A16" s="1950" t="s">
        <v>1612</v>
      </c>
    </row>
    <row r="17" spans="1:1" ht="75">
      <c r="A17" s="1945" t="s">
        <v>1613</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1602</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2602</v>
      </c>
      <c r="C1" s="1632" t="s">
        <v>2490</v>
      </c>
      <c r="D1" s="1619"/>
      <c r="E1" s="2651"/>
      <c r="F1" s="2579"/>
      <c r="G1" s="1629" t="s">
        <v>2603</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2290</v>
      </c>
      <c r="B2" s="1416" t="e">
        <f ca="1">IF(C2="——",ROUND(C49*D3/10000,0),ROUND(C49*D3/10000,0)-D2)</f>
        <v>#DIV/0!</v>
      </c>
      <c r="C2" s="2581"/>
      <c r="D2" s="1363" t="e">
        <f ca="1">SUMIF(INDIRECT("'"&amp;F2&amp;"'"&amp;"!A:A"),"承租人权益价值",INDIRECT("'"&amp;F2&amp;"'"&amp;"!c:c"))</f>
        <v>#REF!</v>
      </c>
      <c r="E2" s="2582" t="s">
        <v>2291</v>
      </c>
      <c r="F2" s="2583"/>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2292</v>
      </c>
      <c r="B3" s="608" t="e">
        <f ca="1">IF(C2="——",C49,ROUND(B2*10000/D3,0))</f>
        <v>#DIV/0!</v>
      </c>
      <c r="C3" s="399" t="s">
        <v>2604</v>
      </c>
      <c r="D3" s="398">
        <f>IF(D1="",'数据-汇总表'!E3,SUMIF('数据-汇总表'!$C19:$C33,D1,'数据-汇总表'!$E19:$E33))</f>
        <v>221.26</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32" t="s">
        <v>2608</v>
      </c>
      <c r="AC4" s="3239" t="s">
        <v>2609</v>
      </c>
    </row>
    <row r="5" spans="1:29" ht="15">
      <c r="A5" s="403"/>
      <c r="B5" s="404"/>
      <c r="C5" s="3262" t="s">
        <v>2502</v>
      </c>
      <c r="D5" s="3254"/>
      <c r="E5" s="3261" t="s">
        <v>2503</v>
      </c>
      <c r="F5" s="3256"/>
      <c r="G5" s="3262" t="s">
        <v>2504</v>
      </c>
      <c r="H5" s="3254"/>
      <c r="I5" s="3262" t="s">
        <v>2505</v>
      </c>
      <c r="J5" s="3254"/>
      <c r="K5" s="609"/>
      <c r="L5" s="1128"/>
      <c r="M5" s="1129"/>
      <c r="N5" s="1129"/>
      <c r="O5" s="1129"/>
      <c r="P5" s="3249"/>
      <c r="Q5" s="3250"/>
      <c r="R5" s="3235"/>
      <c r="S5" s="3236"/>
      <c r="T5" s="3235"/>
      <c r="U5" s="3236"/>
      <c r="V5" s="3232"/>
      <c r="W5" s="3232"/>
      <c r="X5" s="1811"/>
      <c r="Y5" s="3235"/>
      <c r="Z5" s="3236"/>
      <c r="AA5" s="3240"/>
      <c r="AB5" s="3232"/>
      <c r="AC5" s="3240"/>
    </row>
    <row r="6" spans="1:29" ht="15.75" thickBot="1">
      <c r="A6" s="405"/>
      <c r="B6" s="406"/>
      <c r="C6" s="3257" t="s">
        <v>2506</v>
      </c>
      <c r="D6" s="3258"/>
      <c r="E6" s="3259" t="s">
        <v>2506</v>
      </c>
      <c r="F6" s="3260"/>
      <c r="G6" s="3257" t="s">
        <v>2506</v>
      </c>
      <c r="H6" s="3258"/>
      <c r="I6" s="3257" t="s">
        <v>2506</v>
      </c>
      <c r="J6" s="3258"/>
      <c r="K6" s="609" t="s">
        <v>2507</v>
      </c>
      <c r="L6" s="1128"/>
      <c r="M6" s="1129"/>
      <c r="N6" s="1129"/>
      <c r="O6" s="1129"/>
      <c r="P6" s="3251"/>
      <c r="Q6" s="3252"/>
      <c r="R6" s="3235"/>
      <c r="S6" s="3236"/>
      <c r="T6" s="3237"/>
      <c r="U6" s="3238"/>
      <c r="V6" s="3232"/>
      <c r="W6" s="3232"/>
      <c r="X6" s="1811"/>
      <c r="Y6" s="3237"/>
      <c r="Z6" s="3238"/>
      <c r="AA6" s="3241"/>
      <c r="AB6" s="3232"/>
      <c r="AC6" s="3241"/>
    </row>
    <row r="7" spans="1:29" s="116" customFormat="1" ht="15.75" thickBot="1">
      <c r="A7" s="407" t="s">
        <v>2508</v>
      </c>
      <c r="B7" s="408"/>
      <c r="C7" s="409">
        <f>'数据-取费表'!B2</f>
        <v>43906</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9" t="s">
        <v>2509</v>
      </c>
      <c r="Q7" s="3242"/>
      <c r="R7" s="769" t="s">
        <v>17</v>
      </c>
      <c r="S7" s="770">
        <f t="shared" ref="S7:S15" si="0">F7</f>
        <v>0</v>
      </c>
      <c r="T7" s="769" t="s">
        <v>17</v>
      </c>
      <c r="U7" s="770">
        <f t="shared" ref="U7:U15" si="1">H7</f>
        <v>0</v>
      </c>
      <c r="V7" s="769" t="s">
        <v>17</v>
      </c>
      <c r="W7" s="770">
        <f t="shared" ref="W7:W15" si="2">J7</f>
        <v>0</v>
      </c>
      <c r="X7" s="771"/>
      <c r="Y7" s="3229" t="s">
        <v>2509</v>
      </c>
      <c r="Z7" s="3230"/>
      <c r="AA7" s="772" t="e">
        <f>D7/F7</f>
        <v>#DIV/0!</v>
      </c>
      <c r="AB7" s="772" t="e">
        <f>D7/H7</f>
        <v>#DIV/0!</v>
      </c>
      <c r="AC7" s="772" t="e">
        <f>D7/J7</f>
        <v>#DIV/0!</v>
      </c>
    </row>
    <row r="8" spans="1:29" s="116" customFormat="1" ht="15.75" thickBot="1">
      <c r="A8" s="407" t="s">
        <v>2510</v>
      </c>
      <c r="B8" s="408"/>
      <c r="C8" s="413" t="s">
        <v>2612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9" t="s">
        <v>2512</v>
      </c>
      <c r="Q8" s="3230"/>
      <c r="R8" s="769" t="s">
        <v>17</v>
      </c>
      <c r="S8" s="770">
        <f t="shared" si="0"/>
        <v>0</v>
      </c>
      <c r="T8" s="769" t="s">
        <v>17</v>
      </c>
      <c r="U8" s="770">
        <f t="shared" si="1"/>
        <v>0</v>
      </c>
      <c r="V8" s="769" t="s">
        <v>17</v>
      </c>
      <c r="W8" s="770">
        <f t="shared" si="2"/>
        <v>0</v>
      </c>
      <c r="X8" s="771"/>
      <c r="Y8" s="3229" t="s">
        <v>2512</v>
      </c>
      <c r="Z8" s="3230"/>
      <c r="AA8" s="772" t="e">
        <f t="shared" ref="AA8:AA46" si="3">D8/F8</f>
        <v>#DIV/0!</v>
      </c>
      <c r="AB8" s="772" t="e">
        <f t="shared" ref="AB8:AB46" si="4">D8/H8</f>
        <v>#DIV/0!</v>
      </c>
      <c r="AC8" s="772" t="e">
        <f t="shared" ref="AC8:AC46" si="5">D8/J8</f>
        <v>#DIV/0!</v>
      </c>
    </row>
    <row r="9" spans="1:29" s="116" customFormat="1">
      <c r="A9" s="414" t="s">
        <v>2513</v>
      </c>
      <c r="B9" s="71" t="s">
        <v>2514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31" t="s">
        <v>2515</v>
      </c>
      <c r="Q9" s="1793" t="str">
        <f t="shared" ref="Q9:Q15" si="6">B9</f>
        <v>用途</v>
      </c>
      <c r="R9" s="769" t="s">
        <v>17</v>
      </c>
      <c r="S9" s="770">
        <f t="shared" si="0"/>
        <v>100</v>
      </c>
      <c r="T9" s="769" t="s">
        <v>17</v>
      </c>
      <c r="U9" s="770">
        <f t="shared" si="1"/>
        <v>100</v>
      </c>
      <c r="V9" s="769" t="s">
        <v>17</v>
      </c>
      <c r="W9" s="770">
        <f t="shared" si="2"/>
        <v>100</v>
      </c>
      <c r="X9" s="771"/>
      <c r="Y9" s="3063" t="s">
        <v>2516</v>
      </c>
      <c r="Z9" s="55" t="str">
        <f t="shared" ref="Z9:Z15" si="7">Q9</f>
        <v>用途</v>
      </c>
      <c r="AA9" s="772">
        <f t="shared" si="3"/>
        <v>1</v>
      </c>
      <c r="AB9" s="772">
        <f t="shared" si="4"/>
        <v>1</v>
      </c>
      <c r="AC9" s="772">
        <f t="shared" si="5"/>
        <v>1</v>
      </c>
    </row>
    <row r="10" spans="1:29" s="426" customFormat="1" ht="27">
      <c r="A10" s="420"/>
      <c r="B10" s="421" t="s">
        <v>2517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31"/>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421" t="s">
        <v>2518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31"/>
      <c r="Q11" s="1793"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1"/>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1"/>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1"/>
      <c r="Q14" s="1793">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71.25">
      <c r="A15" s="439" t="s">
        <v>2519</v>
      </c>
      <c r="B15" s="69" t="s">
        <v>2613</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20" t="s">
        <v>2520</v>
      </c>
      <c r="Q15" s="1808" t="str">
        <f t="shared" si="6"/>
        <v>商业繁华度</v>
      </c>
      <c r="R15" s="773" t="s">
        <v>17</v>
      </c>
      <c r="S15" s="774">
        <f t="shared" si="0"/>
        <v>100</v>
      </c>
      <c r="T15" s="773" t="s">
        <v>17</v>
      </c>
      <c r="U15" s="774">
        <f t="shared" si="1"/>
        <v>100</v>
      </c>
      <c r="V15" s="773" t="s">
        <v>17</v>
      </c>
      <c r="W15" s="774">
        <f t="shared" si="2"/>
        <v>100</v>
      </c>
      <c r="X15" s="1811"/>
      <c r="Y15" s="3222" t="s">
        <v>2520</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21"/>
      <c r="Q16" s="1808"/>
      <c r="R16" s="773"/>
      <c r="S16" s="774"/>
      <c r="T16" s="773"/>
      <c r="U16" s="774"/>
      <c r="V16" s="773"/>
      <c r="W16" s="774"/>
      <c r="X16" s="1811"/>
      <c r="Y16" s="3223"/>
      <c r="Z16" s="1812"/>
      <c r="AA16" s="1809">
        <v>1</v>
      </c>
      <c r="AB16" s="1809">
        <v>1</v>
      </c>
      <c r="AC16" s="1809">
        <v>1</v>
      </c>
    </row>
    <row r="17" spans="1:29" ht="85.5">
      <c r="A17" s="427"/>
      <c r="B17" s="450" t="s">
        <v>2058</v>
      </c>
      <c r="C17" s="260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21"/>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8"/>
      <c r="M18" s="1129"/>
      <c r="N18" s="1129"/>
      <c r="O18" s="1129"/>
      <c r="P18" s="3221"/>
      <c r="Q18" s="1808"/>
      <c r="R18" s="773"/>
      <c r="S18" s="774"/>
      <c r="T18" s="773"/>
      <c r="U18" s="774"/>
      <c r="V18" s="773"/>
      <c r="W18" s="774"/>
      <c r="X18" s="1811"/>
      <c r="Y18" s="3223"/>
      <c r="Z18" s="1812"/>
      <c r="AA18" s="1809">
        <v>1</v>
      </c>
      <c r="AB18" s="1809">
        <v>1</v>
      </c>
      <c r="AC18" s="1809">
        <v>1</v>
      </c>
    </row>
    <row r="19" spans="1:29" ht="42.75">
      <c r="A19" s="427"/>
      <c r="B19" s="450" t="s">
        <v>2614</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21"/>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8"/>
      <c r="M20" s="1129"/>
      <c r="N20" s="1129"/>
      <c r="O20" s="1129"/>
      <c r="P20" s="3221"/>
      <c r="Q20" s="1808"/>
      <c r="R20" s="773"/>
      <c r="S20" s="774"/>
      <c r="T20" s="773"/>
      <c r="U20" s="774"/>
      <c r="V20" s="773"/>
      <c r="W20" s="774"/>
      <c r="X20" s="1811"/>
      <c r="Y20" s="3223"/>
      <c r="Z20" s="1812"/>
      <c r="AA20" s="1809">
        <v>1</v>
      </c>
      <c r="AB20" s="1809">
        <v>1</v>
      </c>
      <c r="AC20" s="1809">
        <v>1</v>
      </c>
    </row>
    <row r="21" spans="1:29" ht="28.5">
      <c r="A21" s="427"/>
      <c r="B21" s="1382" t="s">
        <v>2615</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2"/>
      <c r="C22" s="2603"/>
      <c r="D22" s="447"/>
      <c r="E22" s="446"/>
      <c r="F22" s="448"/>
      <c r="G22" s="446"/>
      <c r="H22" s="447"/>
      <c r="I22" s="446"/>
      <c r="J22" s="447"/>
      <c r="K22" s="1381"/>
      <c r="L22" s="1138"/>
      <c r="M22" s="1129"/>
      <c r="N22" s="1129"/>
      <c r="O22" s="1129"/>
      <c r="P22" s="3221"/>
      <c r="Q22" s="1808"/>
      <c r="R22" s="773"/>
      <c r="S22" s="774"/>
      <c r="T22" s="773"/>
      <c r="U22" s="774"/>
      <c r="V22" s="773"/>
      <c r="W22" s="774"/>
      <c r="X22" s="1811"/>
      <c r="Y22" s="3223"/>
      <c r="Z22" s="1812"/>
      <c r="AA22" s="1809">
        <v>1</v>
      </c>
      <c r="AB22" s="1809">
        <v>1</v>
      </c>
      <c r="AC22" s="1809">
        <v>1</v>
      </c>
    </row>
    <row r="23" spans="1:29" ht="57">
      <c r="A23" s="427"/>
      <c r="B23" s="450" t="s">
        <v>2063</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21"/>
      <c r="Q23" s="1808" t="str">
        <f>B23</f>
        <v>自然及人文环境</v>
      </c>
      <c r="R23" s="773" t="s">
        <v>17</v>
      </c>
      <c r="S23" s="774">
        <f>F23</f>
        <v>100</v>
      </c>
      <c r="T23" s="773" t="s">
        <v>17</v>
      </c>
      <c r="U23" s="774">
        <f>H23</f>
        <v>100</v>
      </c>
      <c r="V23" s="773" t="s">
        <v>17</v>
      </c>
      <c r="W23" s="774">
        <f>J23</f>
        <v>100</v>
      </c>
      <c r="X23" s="1811"/>
      <c r="Y23" s="3223"/>
      <c r="Z23" s="1812" t="str">
        <f>Q23</f>
        <v>自然及人文环境</v>
      </c>
      <c r="AA23" s="1809">
        <f t="shared" si="3"/>
        <v>1</v>
      </c>
      <c r="AB23" s="1809">
        <f t="shared" si="4"/>
        <v>1</v>
      </c>
      <c r="AC23" s="1809">
        <f t="shared" si="5"/>
        <v>1</v>
      </c>
    </row>
    <row r="24" spans="1:29" ht="15">
      <c r="A24" s="427"/>
      <c r="B24" s="455"/>
      <c r="C24" s="446"/>
      <c r="D24" s="447"/>
      <c r="E24" s="2600"/>
      <c r="F24" s="448"/>
      <c r="G24" s="2599"/>
      <c r="H24" s="447"/>
      <c r="I24" s="2600"/>
      <c r="J24" s="447"/>
      <c r="K24" s="614"/>
      <c r="L24" s="1138"/>
      <c r="M24" s="1129"/>
      <c r="N24" s="1129"/>
      <c r="O24" s="1129"/>
      <c r="P24" s="3221"/>
      <c r="Q24" s="1808"/>
      <c r="R24" s="773"/>
      <c r="S24" s="774"/>
      <c r="T24" s="773"/>
      <c r="U24" s="774"/>
      <c r="V24" s="773"/>
      <c r="W24" s="774"/>
      <c r="X24" s="1811"/>
      <c r="Y24" s="3223"/>
      <c r="Z24" s="1812"/>
      <c r="AA24" s="1809">
        <v>1</v>
      </c>
      <c r="AB24" s="1809">
        <v>1</v>
      </c>
      <c r="AC24" s="1809">
        <v>1</v>
      </c>
    </row>
    <row r="25" spans="1:29" ht="15">
      <c r="A25" s="427"/>
      <c r="B25" s="421" t="s">
        <v>2616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21"/>
      <c r="Q25" s="1808" t="str">
        <f t="shared" ref="Q25:Q46" si="11">B25</f>
        <v>临街状况</v>
      </c>
      <c r="R25" s="773" t="s">
        <v>17</v>
      </c>
      <c r="S25" s="774">
        <f>F25</f>
        <v>100</v>
      </c>
      <c r="T25" s="773" t="s">
        <v>17</v>
      </c>
      <c r="U25" s="774">
        <f>H25</f>
        <v>100</v>
      </c>
      <c r="V25" s="773" t="s">
        <v>17</v>
      </c>
      <c r="W25" s="774">
        <f>J25</f>
        <v>100</v>
      </c>
      <c r="X25" s="1811"/>
      <c r="Y25" s="3223"/>
      <c r="Z25" s="1812" t="str">
        <f>Q25</f>
        <v>临街状况</v>
      </c>
      <c r="AA25" s="1809">
        <f t="shared" si="3"/>
        <v>1</v>
      </c>
      <c r="AB25" s="1809">
        <f t="shared" si="4"/>
        <v>1</v>
      </c>
      <c r="AC25" s="1809">
        <f t="shared" si="5"/>
        <v>1</v>
      </c>
    </row>
    <row r="26" spans="1:29" ht="15">
      <c r="A26" s="427"/>
      <c r="B26" s="1384" t="s">
        <v>2617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21"/>
      <c r="Q26" s="1808" t="str">
        <f t="shared" si="11"/>
        <v>平面位置/可视性</v>
      </c>
      <c r="R26" s="773" t="s">
        <v>17</v>
      </c>
      <c r="S26" s="774">
        <f>F26</f>
        <v>100</v>
      </c>
      <c r="T26" s="773" t="s">
        <v>17</v>
      </c>
      <c r="U26" s="774">
        <f>H26</f>
        <v>100</v>
      </c>
      <c r="V26" s="773" t="s">
        <v>17</v>
      </c>
      <c r="W26" s="774">
        <f>J26</f>
        <v>100</v>
      </c>
      <c r="X26" s="1811"/>
      <c r="Y26" s="3223"/>
      <c r="Z26" s="1812" t="str">
        <f>Q26</f>
        <v>平面位置/可视性</v>
      </c>
      <c r="AA26" s="1809">
        <f t="shared" si="3"/>
        <v>1</v>
      </c>
      <c r="AB26" s="1809">
        <f t="shared" si="4"/>
        <v>1</v>
      </c>
      <c r="AC26" s="1809">
        <f t="shared" si="5"/>
        <v>1</v>
      </c>
    </row>
    <row r="27" spans="1:29" s="116" customFormat="1" ht="15">
      <c r="A27" s="430"/>
      <c r="B27" s="450" t="s">
        <v>2618</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221"/>
      <c r="Q27" s="1793" t="str">
        <f t="shared" si="11"/>
        <v>人流量</v>
      </c>
      <c r="R27" s="769" t="s">
        <v>17</v>
      </c>
      <c r="S27" s="770">
        <f>F27</f>
        <v>100</v>
      </c>
      <c r="T27" s="769" t="s">
        <v>17</v>
      </c>
      <c r="U27" s="770">
        <f>H27</f>
        <v>100</v>
      </c>
      <c r="V27" s="769" t="s">
        <v>17</v>
      </c>
      <c r="W27" s="770">
        <f>J27</f>
        <v>100</v>
      </c>
      <c r="X27" s="771"/>
      <c r="Y27" s="3223"/>
      <c r="Z27" s="55" t="str">
        <f>Q27</f>
        <v>人流量</v>
      </c>
      <c r="AA27" s="1809">
        <f>D27/F27</f>
        <v>1</v>
      </c>
      <c r="AB27" s="1809">
        <f>D27/H27</f>
        <v>1</v>
      </c>
      <c r="AC27" s="1809">
        <f>D27/J27</f>
        <v>1</v>
      </c>
    </row>
    <row r="28" spans="1:29" ht="15">
      <c r="A28" s="427"/>
      <c r="B28" s="421" t="s">
        <v>2619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2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1"/>
      <c r="Q29" s="1808">
        <f t="shared" si="11"/>
        <v>111</v>
      </c>
      <c r="R29" s="773" t="s">
        <v>17</v>
      </c>
      <c r="S29" s="774">
        <f t="shared" si="12"/>
        <v>100</v>
      </c>
      <c r="T29" s="773" t="s">
        <v>17</v>
      </c>
      <c r="U29" s="774">
        <f t="shared" si="13"/>
        <v>100</v>
      </c>
      <c r="V29" s="773" t="s">
        <v>17</v>
      </c>
      <c r="W29" s="774">
        <f t="shared" si="14"/>
        <v>100</v>
      </c>
      <c r="X29" s="1811"/>
      <c r="Y29" s="322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1"/>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1"/>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1809">
        <f t="shared" si="5"/>
        <v>1</v>
      </c>
    </row>
    <row r="32" spans="1:29" ht="15">
      <c r="A32" s="439" t="s">
        <v>2523</v>
      </c>
      <c r="B32" s="71" t="s">
        <v>2620</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8"/>
      <c r="M32" s="1129"/>
      <c r="N32" s="1129"/>
      <c r="O32" s="1129"/>
      <c r="P32" s="3224" t="s">
        <v>2525</v>
      </c>
      <c r="Q32" s="1808" t="str">
        <f t="shared" si="11"/>
        <v>商业类型</v>
      </c>
      <c r="R32" s="773" t="s">
        <v>17</v>
      </c>
      <c r="S32" s="774">
        <f t="shared" si="12"/>
        <v>100</v>
      </c>
      <c r="T32" s="773" t="s">
        <v>17</v>
      </c>
      <c r="U32" s="774">
        <f t="shared" si="13"/>
        <v>100</v>
      </c>
      <c r="V32" s="773" t="s">
        <v>17</v>
      </c>
      <c r="W32" s="774">
        <f t="shared" si="14"/>
        <v>100</v>
      </c>
      <c r="X32" s="1811"/>
      <c r="Y32" s="3227" t="s">
        <v>2525</v>
      </c>
      <c r="Z32" s="1812" t="str">
        <f t="shared" si="15"/>
        <v>商业类型</v>
      </c>
      <c r="AA32" s="1809">
        <f t="shared" si="3"/>
        <v>1</v>
      </c>
      <c r="AB32" s="1809">
        <f t="shared" si="4"/>
        <v>1</v>
      </c>
      <c r="AC32" s="1809">
        <f t="shared" si="5"/>
        <v>1</v>
      </c>
    </row>
    <row r="33" spans="1:29" s="470" customFormat="1" ht="15">
      <c r="A33" s="467"/>
      <c r="B33" s="421" t="s">
        <v>2526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25"/>
      <c r="Q33" s="775" t="str">
        <f t="shared" si="11"/>
        <v>项目建筑规模</v>
      </c>
      <c r="R33" s="776" t="s">
        <v>17</v>
      </c>
      <c r="S33" s="777" t="e">
        <f t="shared" si="12"/>
        <v>#N/A</v>
      </c>
      <c r="T33" s="776" t="s">
        <v>17</v>
      </c>
      <c r="U33" s="777" t="e">
        <f t="shared" si="13"/>
        <v>#N/A</v>
      </c>
      <c r="V33" s="776" t="s">
        <v>17</v>
      </c>
      <c r="W33" s="777" t="e">
        <f t="shared" si="14"/>
        <v>#N/A</v>
      </c>
      <c r="X33" s="778"/>
      <c r="Y33" s="3227"/>
      <c r="Z33" s="779" t="str">
        <f t="shared" si="15"/>
        <v>项目建筑规模</v>
      </c>
      <c r="AA33" s="1809" t="e">
        <f t="shared" si="3"/>
        <v>#N/A</v>
      </c>
      <c r="AB33" s="1809" t="e">
        <f t="shared" si="4"/>
        <v>#N/A</v>
      </c>
      <c r="AC33" s="1809" t="e">
        <f t="shared" si="5"/>
        <v>#N/A</v>
      </c>
    </row>
    <row r="34" spans="1:29" ht="15">
      <c r="A34" s="471"/>
      <c r="B34" s="421" t="s">
        <v>2527</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8"/>
      <c r="M34" s="1129"/>
      <c r="N34" s="1129"/>
      <c r="O34" s="1129"/>
      <c r="P34" s="3225"/>
      <c r="Q34" s="1808" t="str">
        <f t="shared" si="11"/>
        <v>建筑结构</v>
      </c>
      <c r="R34" s="773" t="s">
        <v>17</v>
      </c>
      <c r="S34" s="774">
        <f t="shared" si="12"/>
        <v>100</v>
      </c>
      <c r="T34" s="773" t="s">
        <v>17</v>
      </c>
      <c r="U34" s="774">
        <f t="shared" si="13"/>
        <v>100</v>
      </c>
      <c r="V34" s="773" t="s">
        <v>17</v>
      </c>
      <c r="W34" s="774">
        <f t="shared" si="14"/>
        <v>100</v>
      </c>
      <c r="X34" s="1811"/>
      <c r="Y34" s="3227"/>
      <c r="Z34" s="1812" t="str">
        <f t="shared" si="15"/>
        <v>建筑结构</v>
      </c>
      <c r="AA34" s="1809">
        <f t="shared" si="3"/>
        <v>1</v>
      </c>
      <c r="AB34" s="1809">
        <f t="shared" si="4"/>
        <v>1</v>
      </c>
      <c r="AC34" s="1809">
        <f t="shared" si="5"/>
        <v>1</v>
      </c>
    </row>
    <row r="35" spans="1:29" ht="15">
      <c r="A35" s="471"/>
      <c r="B35" s="421" t="s">
        <v>2621</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8"/>
      <c r="M35" s="1129"/>
      <c r="N35" s="1129"/>
      <c r="O35" s="1129"/>
      <c r="P35" s="3225"/>
      <c r="Q35" s="1808" t="str">
        <f t="shared" si="11"/>
        <v>公共部分装修</v>
      </c>
      <c r="R35" s="773" t="s">
        <v>17</v>
      </c>
      <c r="S35" s="774">
        <f t="shared" si="12"/>
        <v>100</v>
      </c>
      <c r="T35" s="773" t="s">
        <v>17</v>
      </c>
      <c r="U35" s="774">
        <f t="shared" si="13"/>
        <v>100</v>
      </c>
      <c r="V35" s="773" t="s">
        <v>17</v>
      </c>
      <c r="W35" s="774">
        <f t="shared" si="14"/>
        <v>100</v>
      </c>
      <c r="X35" s="1811"/>
      <c r="Y35" s="3227"/>
      <c r="Z35" s="1812" t="str">
        <f t="shared" si="15"/>
        <v>公共部分装修</v>
      </c>
      <c r="AA35" s="1809">
        <f t="shared" si="3"/>
        <v>1</v>
      </c>
      <c r="AB35" s="1809">
        <f t="shared" si="4"/>
        <v>1</v>
      </c>
      <c r="AC35" s="1809">
        <f t="shared" si="5"/>
        <v>1</v>
      </c>
    </row>
    <row r="36" spans="1:29" ht="15">
      <c r="A36" s="471"/>
      <c r="B36" s="421" t="s">
        <v>2622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25"/>
      <c r="Q36" s="1808" t="str">
        <f t="shared" si="11"/>
        <v>成新度</v>
      </c>
      <c r="R36" s="773" t="s">
        <v>17</v>
      </c>
      <c r="S36" s="774" t="e">
        <f t="shared" si="12"/>
        <v>#N/A</v>
      </c>
      <c r="T36" s="773" t="s">
        <v>17</v>
      </c>
      <c r="U36" s="774" t="e">
        <f t="shared" si="13"/>
        <v>#N/A</v>
      </c>
      <c r="V36" s="773" t="s">
        <v>17</v>
      </c>
      <c r="W36" s="774" t="e">
        <f t="shared" si="14"/>
        <v>#N/A</v>
      </c>
      <c r="X36" s="1811"/>
      <c r="Y36" s="3227"/>
      <c r="Z36" s="1812" t="str">
        <f t="shared" si="15"/>
        <v>成新度</v>
      </c>
      <c r="AA36" s="1809" t="e">
        <f t="shared" si="3"/>
        <v>#N/A</v>
      </c>
      <c r="AB36" s="1809" t="e">
        <f t="shared" si="4"/>
        <v>#N/A</v>
      </c>
      <c r="AC36" s="1809" t="e">
        <f t="shared" si="5"/>
        <v>#N/A</v>
      </c>
    </row>
    <row r="37" spans="1:29" s="116" customFormat="1" ht="15">
      <c r="A37" s="472"/>
      <c r="B37" s="421" t="s">
        <v>2623</v>
      </c>
      <c r="C37" s="2608"/>
      <c r="D37" s="135">
        <v>100</v>
      </c>
      <c r="E37" s="2608"/>
      <c r="F37" s="460">
        <f>SUMIF(112:112,E37,113:113)-SUMIF(112:112,C37,113:113)+100</f>
        <v>100</v>
      </c>
      <c r="G37" s="2608"/>
      <c r="H37" s="434">
        <f>SUMIF(112:112,G37,113:113)-SUMIF(112:112,C37,113:113)+100</f>
        <v>100</v>
      </c>
      <c r="I37" s="2608"/>
      <c r="J37" s="434">
        <f>SUMIF(112:112,I37,113:113)-SUMIF(112:112,C37,113:113)+100</f>
        <v>100</v>
      </c>
      <c r="K37" s="611"/>
      <c r="L37" s="1130"/>
      <c r="M37" s="1131"/>
      <c r="N37" s="1131"/>
      <c r="O37" s="1131"/>
      <c r="P37" s="3225"/>
      <c r="Q37" s="1793" t="str">
        <f t="shared" si="11"/>
        <v>市政基础设施</v>
      </c>
      <c r="R37" s="769" t="s">
        <v>17</v>
      </c>
      <c r="S37" s="770">
        <f t="shared" si="12"/>
        <v>100</v>
      </c>
      <c r="T37" s="769" t="s">
        <v>17</v>
      </c>
      <c r="U37" s="770">
        <f t="shared" si="13"/>
        <v>100</v>
      </c>
      <c r="V37" s="769" t="s">
        <v>17</v>
      </c>
      <c r="W37" s="770">
        <f t="shared" si="14"/>
        <v>100</v>
      </c>
      <c r="X37" s="771"/>
      <c r="Y37" s="3227"/>
      <c r="Z37" s="55" t="str">
        <f t="shared" si="15"/>
        <v>市政基础设施</v>
      </c>
      <c r="AA37" s="772">
        <f t="shared" si="3"/>
        <v>1</v>
      </c>
      <c r="AB37" s="772">
        <f t="shared" si="4"/>
        <v>1</v>
      </c>
      <c r="AC37" s="772">
        <f t="shared" si="5"/>
        <v>1</v>
      </c>
    </row>
    <row r="38" spans="1:29" ht="15">
      <c r="A38" s="471"/>
      <c r="B38" s="421" t="s">
        <v>2624</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8"/>
      <c r="M38" s="1129"/>
      <c r="N38" s="1129"/>
      <c r="O38" s="1129"/>
      <c r="P38" s="3225" t="s">
        <v>2525</v>
      </c>
      <c r="Q38" s="1808" t="str">
        <f t="shared" si="11"/>
        <v>业态</v>
      </c>
      <c r="R38" s="773" t="s">
        <v>17</v>
      </c>
      <c r="S38" s="774">
        <f t="shared" si="12"/>
        <v>100</v>
      </c>
      <c r="T38" s="773" t="s">
        <v>17</v>
      </c>
      <c r="U38" s="774">
        <f t="shared" si="13"/>
        <v>100</v>
      </c>
      <c r="V38" s="773" t="s">
        <v>17</v>
      </c>
      <c r="W38" s="774">
        <f t="shared" si="14"/>
        <v>100</v>
      </c>
      <c r="X38" s="1811"/>
      <c r="Y38" s="3227" t="s">
        <v>2525</v>
      </c>
      <c r="Z38" s="1812" t="str">
        <f t="shared" si="15"/>
        <v>业态</v>
      </c>
      <c r="AA38" s="1809">
        <f t="shared" si="3"/>
        <v>1</v>
      </c>
      <c r="AB38" s="1809">
        <f t="shared" si="4"/>
        <v>1</v>
      </c>
      <c r="AC38" s="1809">
        <f t="shared" si="5"/>
        <v>1</v>
      </c>
    </row>
    <row r="39" spans="1:29" ht="15">
      <c r="A39" s="471"/>
      <c r="B39" s="421" t="s">
        <v>2625</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8"/>
      <c r="M39" s="1129"/>
      <c r="N39" s="1129"/>
      <c r="O39" s="1129"/>
      <c r="P39" s="3225"/>
      <c r="Q39" s="1808" t="str">
        <f t="shared" si="11"/>
        <v>层高</v>
      </c>
      <c r="R39" s="773" t="s">
        <v>17</v>
      </c>
      <c r="S39" s="774">
        <f t="shared" si="12"/>
        <v>100</v>
      </c>
      <c r="T39" s="773" t="s">
        <v>17</v>
      </c>
      <c r="U39" s="774">
        <f t="shared" si="13"/>
        <v>100</v>
      </c>
      <c r="V39" s="773" t="s">
        <v>17</v>
      </c>
      <c r="W39" s="774">
        <f t="shared" si="14"/>
        <v>100</v>
      </c>
      <c r="X39" s="1811"/>
      <c r="Y39" s="3227"/>
      <c r="Z39" s="1812" t="str">
        <f t="shared" si="15"/>
        <v>层高</v>
      </c>
      <c r="AA39" s="1809">
        <f t="shared" si="3"/>
        <v>1</v>
      </c>
      <c r="AB39" s="1809">
        <f t="shared" si="4"/>
        <v>1</v>
      </c>
      <c r="AC39" s="1809">
        <f t="shared" si="5"/>
        <v>1</v>
      </c>
    </row>
    <row r="40" spans="1:29" ht="15">
      <c r="A40" s="471"/>
      <c r="B40" s="421" t="s">
        <v>2626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5"/>
      <c r="Q40" s="1808" t="str">
        <f t="shared" si="11"/>
        <v>单套建筑面积</v>
      </c>
      <c r="R40" s="773" t="s">
        <v>17</v>
      </c>
      <c r="S40" s="774">
        <f t="shared" si="12"/>
        <v>100</v>
      </c>
      <c r="T40" s="773" t="s">
        <v>17</v>
      </c>
      <c r="U40" s="774">
        <f t="shared" si="13"/>
        <v>100</v>
      </c>
      <c r="V40" s="773" t="s">
        <v>17</v>
      </c>
      <c r="W40" s="774">
        <f t="shared" si="14"/>
        <v>100</v>
      </c>
      <c r="X40" s="1811"/>
      <c r="Y40" s="3227"/>
      <c r="Z40" s="1812" t="str">
        <f t="shared" si="15"/>
        <v>单套建筑面积</v>
      </c>
      <c r="AA40" s="1809">
        <f t="shared" si="3"/>
        <v>1</v>
      </c>
      <c r="AB40" s="1809">
        <f t="shared" si="4"/>
        <v>1</v>
      </c>
      <c r="AC40" s="1809">
        <f t="shared" si="5"/>
        <v>1</v>
      </c>
    </row>
    <row r="41" spans="1:29" s="470" customFormat="1" ht="15">
      <c r="A41" s="467"/>
      <c r="B41" s="1810" t="s">
        <v>2627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09">
        <f t="shared" si="3"/>
        <v>1</v>
      </c>
      <c r="AB41" s="1809">
        <f t="shared" si="4"/>
        <v>1</v>
      </c>
      <c r="AC41" s="1809">
        <f t="shared" si="5"/>
        <v>1</v>
      </c>
    </row>
    <row r="42" spans="1:29" ht="15">
      <c r="A42" s="471"/>
      <c r="B42" s="421" t="s">
        <v>2628</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8"/>
      <c r="M42" s="1129"/>
      <c r="N42" s="1129"/>
      <c r="O42" s="1129"/>
      <c r="P42" s="3225"/>
      <c r="Q42" s="1808" t="str">
        <f t="shared" si="11"/>
        <v>内部装修</v>
      </c>
      <c r="R42" s="773" t="s">
        <v>17</v>
      </c>
      <c r="S42" s="774">
        <f t="shared" si="12"/>
        <v>100</v>
      </c>
      <c r="T42" s="773" t="s">
        <v>17</v>
      </c>
      <c r="U42" s="774">
        <f t="shared" si="13"/>
        <v>100</v>
      </c>
      <c r="V42" s="773" t="s">
        <v>17</v>
      </c>
      <c r="W42" s="774">
        <f t="shared" si="14"/>
        <v>100</v>
      </c>
      <c r="X42" s="1811"/>
      <c r="Y42" s="3227"/>
      <c r="Z42" s="1812" t="str">
        <f t="shared" si="15"/>
        <v>内部装修</v>
      </c>
      <c r="AA42" s="1809">
        <f t="shared" si="3"/>
        <v>1</v>
      </c>
      <c r="AB42" s="1809">
        <f t="shared" si="4"/>
        <v>1</v>
      </c>
      <c r="AC42" s="1809">
        <f t="shared" si="5"/>
        <v>1</v>
      </c>
    </row>
    <row r="43" spans="1:29" ht="15">
      <c r="A43" s="471"/>
      <c r="B43" s="421" t="s">
        <v>2536</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8"/>
      <c r="M43" s="1129"/>
      <c r="N43" s="1129"/>
      <c r="O43" s="1129"/>
      <c r="P43" s="3225"/>
      <c r="Q43" s="1808" t="str">
        <f t="shared" si="11"/>
        <v>内部装修维护情况</v>
      </c>
      <c r="R43" s="773" t="s">
        <v>17</v>
      </c>
      <c r="S43" s="774">
        <f t="shared" si="12"/>
        <v>100</v>
      </c>
      <c r="T43" s="773" t="s">
        <v>17</v>
      </c>
      <c r="U43" s="774">
        <f t="shared" si="13"/>
        <v>100</v>
      </c>
      <c r="V43" s="773" t="s">
        <v>17</v>
      </c>
      <c r="W43" s="774">
        <f t="shared" si="14"/>
        <v>100</v>
      </c>
      <c r="X43" s="1811"/>
      <c r="Y43" s="3227"/>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5"/>
      <c r="Q44" s="1793">
        <f t="shared" si="11"/>
        <v>111</v>
      </c>
      <c r="R44" s="769" t="s">
        <v>17</v>
      </c>
      <c r="S44" s="770">
        <f t="shared" si="12"/>
        <v>100</v>
      </c>
      <c r="T44" s="769" t="s">
        <v>17</v>
      </c>
      <c r="U44" s="770">
        <f t="shared" si="13"/>
        <v>100</v>
      </c>
      <c r="V44" s="769" t="s">
        <v>17</v>
      </c>
      <c r="W44" s="770">
        <f t="shared" si="14"/>
        <v>100</v>
      </c>
      <c r="X44" s="771"/>
      <c r="Y44" s="3227"/>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5"/>
      <c r="Q45" s="1808">
        <f t="shared" si="11"/>
        <v>111</v>
      </c>
      <c r="R45" s="773" t="s">
        <v>17</v>
      </c>
      <c r="S45" s="774">
        <f t="shared" si="12"/>
        <v>100</v>
      </c>
      <c r="T45" s="773" t="s">
        <v>17</v>
      </c>
      <c r="U45" s="774">
        <f t="shared" si="13"/>
        <v>100</v>
      </c>
      <c r="V45" s="773" t="s">
        <v>17</v>
      </c>
      <c r="W45" s="774">
        <f t="shared" si="14"/>
        <v>100</v>
      </c>
      <c r="X45" s="1811"/>
      <c r="Y45" s="3227"/>
      <c r="Z45" s="1812">
        <f t="shared" si="15"/>
        <v>111</v>
      </c>
      <c r="AA45" s="1809">
        <f t="shared" si="3"/>
        <v>1</v>
      </c>
      <c r="AB45" s="1809">
        <f t="shared" si="4"/>
        <v>1</v>
      </c>
      <c r="AC45" s="1809">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6"/>
      <c r="Q46" s="1808">
        <f t="shared" si="11"/>
        <v>111</v>
      </c>
      <c r="R46" s="773" t="s">
        <v>17</v>
      </c>
      <c r="S46" s="774">
        <f t="shared" si="12"/>
        <v>100</v>
      </c>
      <c r="T46" s="773" t="s">
        <v>17</v>
      </c>
      <c r="U46" s="774">
        <f t="shared" si="13"/>
        <v>100</v>
      </c>
      <c r="V46" s="773" t="s">
        <v>17</v>
      </c>
      <c r="W46" s="774">
        <f t="shared" si="14"/>
        <v>100</v>
      </c>
      <c r="X46" s="1811"/>
      <c r="Y46" s="3228"/>
      <c r="Z46" s="1812">
        <f t="shared" si="15"/>
        <v>111</v>
      </c>
      <c r="AA46" s="1809">
        <f t="shared" si="3"/>
        <v>1</v>
      </c>
      <c r="AB46" s="1809">
        <f t="shared" si="4"/>
        <v>1</v>
      </c>
      <c r="AC46" s="1809">
        <f t="shared" si="5"/>
        <v>1</v>
      </c>
    </row>
    <row r="47" spans="1:29" ht="15">
      <c r="A47" s="478" t="s">
        <v>2537</v>
      </c>
      <c r="B47" s="479"/>
      <c r="C47" s="1405" t="s">
        <v>1</v>
      </c>
      <c r="D47" s="1406"/>
      <c r="E47" s="1407"/>
      <c r="F47" s="1408"/>
      <c r="G47" s="1409"/>
      <c r="H47" s="1410"/>
      <c r="I47" s="1407"/>
      <c r="J47" s="1410"/>
      <c r="K47" s="782"/>
      <c r="L47" s="1141"/>
      <c r="M47" s="1142"/>
      <c r="N47" s="1129"/>
      <c r="O47" s="1142"/>
      <c r="P47" s="3215" t="str">
        <f>A47</f>
        <v>成交单价（元/平方米）</v>
      </c>
      <c r="Q47" s="3215"/>
      <c r="R47" s="3232">
        <f>E47</f>
        <v>0</v>
      </c>
      <c r="S47" s="3232"/>
      <c r="T47" s="3232">
        <f>G47</f>
        <v>0</v>
      </c>
      <c r="U47" s="3232"/>
      <c r="V47" s="3232">
        <f>I47</f>
        <v>0</v>
      </c>
      <c r="W47" s="3232"/>
      <c r="X47" s="758"/>
      <c r="Y47" s="780"/>
      <c r="Z47" s="758"/>
      <c r="AA47" s="758"/>
      <c r="AB47" s="758"/>
      <c r="AC47" s="758"/>
    </row>
    <row r="48" spans="1:29" ht="15.75" thickBot="1">
      <c r="A48" s="485" t="s">
        <v>2629</v>
      </c>
      <c r="B48" s="486"/>
      <c r="C48" s="1411" t="e">
        <f>R49</f>
        <v>#DIV/0!</v>
      </c>
      <c r="D48" s="1412"/>
      <c r="E48" s="1413" t="e">
        <f>R48</f>
        <v>#DIV/0!</v>
      </c>
      <c r="F48" s="1413"/>
      <c r="G48" s="1411" t="e">
        <f>T48</f>
        <v>#DIV/0!</v>
      </c>
      <c r="H48" s="1412"/>
      <c r="I48" s="1413" t="e">
        <f>V48</f>
        <v>#DIV/0!</v>
      </c>
      <c r="J48" s="1412"/>
      <c r="K48" s="783"/>
      <c r="L48" s="1141"/>
      <c r="M48" s="1142"/>
      <c r="N48" s="1129"/>
      <c r="O48" s="1142"/>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1" t="s">
        <v>2630</v>
      </c>
      <c r="B49" s="492"/>
      <c r="C49" s="1415" t="e">
        <f>R49</f>
        <v>#DIV/0!</v>
      </c>
      <c r="D49" s="1415"/>
      <c r="E49" s="1415"/>
      <c r="F49" s="1415"/>
      <c r="G49" s="1415"/>
      <c r="H49" s="1415"/>
      <c r="I49" s="1415"/>
      <c r="J49" s="1415"/>
      <c r="K49" s="784"/>
      <c r="L49" s="1141"/>
      <c r="M49" s="1142"/>
      <c r="N49" s="1129"/>
      <c r="O49" s="1142"/>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2631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2632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2633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2634</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2508</v>
      </c>
      <c r="B58" s="505"/>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6" customFormat="1" ht="15">
      <c r="A59" s="508"/>
      <c r="B59" s="509"/>
      <c r="C59" s="1571">
        <v>100</v>
      </c>
      <c r="D59" s="511"/>
      <c r="E59" s="511"/>
      <c r="F59" s="511"/>
      <c r="G59" s="511"/>
      <c r="H59" s="511"/>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2510</v>
      </c>
      <c r="B61" s="509"/>
      <c r="C61" s="521" t="s">
        <v>2612</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1"/>
      <c r="O66" s="1151"/>
      <c r="P66" s="2624"/>
      <c r="Q66" s="503"/>
    </row>
    <row r="67" spans="1:17" ht="15.75" thickTop="1">
      <c r="A67" s="533"/>
      <c r="B67" s="545" t="s">
        <v>2518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2615</v>
      </c>
      <c r="C82" s="659" t="s">
        <v>2635</v>
      </c>
      <c r="D82" s="659" t="s">
        <v>2636</v>
      </c>
      <c r="E82" s="659" t="s">
        <v>2637</v>
      </c>
      <c r="F82" s="659" t="s">
        <v>2638</v>
      </c>
      <c r="G82" s="659" t="s">
        <v>2639</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2640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2523</v>
      </c>
      <c r="B100" s="527" t="s">
        <v>2641</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2573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2574</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2576</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1966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2578</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2642</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2643</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2644</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2645</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2580</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663" t="s">
        <v>2646</v>
      </c>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IF(C2="——",ROUND(C50*D3/10000,0),ROUND(C50*D3/10000,0)-D2)</f>
        <v>#DIV/0!</v>
      </c>
      <c r="C2" s="2581"/>
      <c r="D2" s="1363" t="e">
        <f ca="1">SUMIF(INDIRECT("'"&amp;F2&amp;"'"&amp;"!A:A"),"承租人权益价值",INDIRECT("'"&amp;F2&amp;"'"&amp;"!c:c"))</f>
        <v>#REF!</v>
      </c>
      <c r="E2" s="2582" t="s">
        <v>2291</v>
      </c>
      <c r="F2" s="2583"/>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 ca="1">IF(C2="——",C50,ROUND(B2*10000/D3,0))</f>
        <v>#DIV/0!</v>
      </c>
      <c r="C3" s="399" t="s">
        <v>2604</v>
      </c>
      <c r="D3" s="398">
        <f>IF(D1="",'数据-汇总表'!E3,SUMIF('数据-汇总表'!$C19:$C33,D1,'数据-汇总表'!$E19:$E33))</f>
        <v>221.26</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69" t="s">
        <v>2611</v>
      </c>
      <c r="Q4" s="3270"/>
      <c r="R4" s="3264" t="s">
        <v>2607</v>
      </c>
      <c r="S4" s="3265"/>
      <c r="T4" s="3264" t="s">
        <v>2608</v>
      </c>
      <c r="U4" s="3265"/>
      <c r="V4" s="3273" t="s">
        <v>2609</v>
      </c>
      <c r="W4" s="3273"/>
      <c r="X4" s="2664"/>
      <c r="Y4" s="3264" t="s">
        <v>2611</v>
      </c>
      <c r="Z4" s="3265"/>
      <c r="AA4" s="3263" t="s">
        <v>2607</v>
      </c>
      <c r="AB4" s="3263" t="s">
        <v>2608</v>
      </c>
      <c r="AC4" s="3266" t="s">
        <v>2609</v>
      </c>
    </row>
    <row r="5" spans="1:29" ht="15">
      <c r="A5" s="403"/>
      <c r="B5" s="404"/>
      <c r="C5" s="3262" t="s">
        <v>2502</v>
      </c>
      <c r="D5" s="3254"/>
      <c r="E5" s="3261" t="s">
        <v>2503</v>
      </c>
      <c r="F5" s="3256"/>
      <c r="G5" s="3262" t="s">
        <v>2504</v>
      </c>
      <c r="H5" s="3254"/>
      <c r="I5" s="3262" t="s">
        <v>2505</v>
      </c>
      <c r="J5" s="3254"/>
      <c r="K5" s="609"/>
      <c r="L5" s="1128"/>
      <c r="M5" s="1129"/>
      <c r="N5" s="1129"/>
      <c r="O5" s="1129"/>
      <c r="P5" s="3271"/>
      <c r="Q5" s="3250"/>
      <c r="R5" s="3235"/>
      <c r="S5" s="3236"/>
      <c r="T5" s="3235"/>
      <c r="U5" s="3236"/>
      <c r="V5" s="3232"/>
      <c r="W5" s="3232"/>
      <c r="X5" s="1811"/>
      <c r="Y5" s="3235"/>
      <c r="Z5" s="3236"/>
      <c r="AA5" s="3240"/>
      <c r="AB5" s="3240"/>
      <c r="AC5" s="3267"/>
    </row>
    <row r="6" spans="1:29" ht="15.75" thickBot="1">
      <c r="A6" s="405"/>
      <c r="B6" s="406"/>
      <c r="C6" s="3257" t="s">
        <v>2506</v>
      </c>
      <c r="D6" s="3258"/>
      <c r="E6" s="3259" t="s">
        <v>2506</v>
      </c>
      <c r="F6" s="3260"/>
      <c r="G6" s="3257" t="s">
        <v>2506</v>
      </c>
      <c r="H6" s="3258"/>
      <c r="I6" s="3257" t="s">
        <v>2506</v>
      </c>
      <c r="J6" s="3258"/>
      <c r="K6" s="609" t="s">
        <v>2507</v>
      </c>
      <c r="L6" s="1128"/>
      <c r="M6" s="1129"/>
      <c r="N6" s="1129"/>
      <c r="O6" s="1129"/>
      <c r="P6" s="3272"/>
      <c r="Q6" s="3252"/>
      <c r="R6" s="3235"/>
      <c r="S6" s="3236"/>
      <c r="T6" s="3237"/>
      <c r="U6" s="3238"/>
      <c r="V6" s="3232"/>
      <c r="W6" s="3232"/>
      <c r="X6" s="1811"/>
      <c r="Y6" s="3237"/>
      <c r="Z6" s="3238"/>
      <c r="AA6" s="3241"/>
      <c r="AB6" s="3241"/>
      <c r="AC6" s="3268"/>
    </row>
    <row r="7" spans="1:29" s="116" customFormat="1" ht="15.75" thickBot="1">
      <c r="A7" s="407" t="s">
        <v>2508</v>
      </c>
      <c r="B7" s="408"/>
      <c r="C7" s="409">
        <f>'数据-取费表'!B2</f>
        <v>43906</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4" t="s">
        <v>2509</v>
      </c>
      <c r="Q7" s="3242"/>
      <c r="R7" s="769" t="s">
        <v>17</v>
      </c>
      <c r="S7" s="770">
        <f t="shared" ref="S7:S15" si="0">F7</f>
        <v>0</v>
      </c>
      <c r="T7" s="769" t="s">
        <v>17</v>
      </c>
      <c r="U7" s="770">
        <f t="shared" ref="U7:U15" si="1">H7</f>
        <v>0</v>
      </c>
      <c r="V7" s="769" t="s">
        <v>17</v>
      </c>
      <c r="W7" s="770">
        <f t="shared" ref="W7:W15" si="2">J7</f>
        <v>0</v>
      </c>
      <c r="X7" s="771"/>
      <c r="Y7" s="3229" t="s">
        <v>2509</v>
      </c>
      <c r="Z7" s="3230"/>
      <c r="AA7" s="772" t="e">
        <f>D7/F7</f>
        <v>#DIV/0!</v>
      </c>
      <c r="AB7" s="772" t="e">
        <f>D7/H7</f>
        <v>#DIV/0!</v>
      </c>
      <c r="AC7" s="2665" t="e">
        <f>D7/J7</f>
        <v>#DIV/0!</v>
      </c>
    </row>
    <row r="8" spans="1:29" s="116" customFormat="1" ht="15.75" thickBot="1">
      <c r="A8" s="407" t="s">
        <v>2510</v>
      </c>
      <c r="B8" s="408"/>
      <c r="C8" s="413" t="s">
        <v>2612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4" t="s">
        <v>2512</v>
      </c>
      <c r="Q8" s="3230"/>
      <c r="R8" s="769" t="s">
        <v>17</v>
      </c>
      <c r="S8" s="770">
        <f t="shared" si="0"/>
        <v>0</v>
      </c>
      <c r="T8" s="769" t="s">
        <v>17</v>
      </c>
      <c r="U8" s="770">
        <f t="shared" si="1"/>
        <v>0</v>
      </c>
      <c r="V8" s="769" t="s">
        <v>17</v>
      </c>
      <c r="W8" s="770">
        <f t="shared" si="2"/>
        <v>0</v>
      </c>
      <c r="X8" s="771"/>
      <c r="Y8" s="3229" t="s">
        <v>2512</v>
      </c>
      <c r="Z8" s="3230"/>
      <c r="AA8" s="772" t="e">
        <f t="shared" ref="AA8:AA47" si="3">D8/F8</f>
        <v>#DIV/0!</v>
      </c>
      <c r="AB8" s="772" t="e">
        <f t="shared" ref="AB8:AB47" si="4">D8/H8</f>
        <v>#DIV/0!</v>
      </c>
      <c r="AC8" s="2665" t="e">
        <f t="shared" ref="AC8:AC47" si="5">D8/J8</f>
        <v>#DIV/0!</v>
      </c>
    </row>
    <row r="9" spans="1:29" s="116" customFormat="1">
      <c r="A9" s="414" t="s">
        <v>2513</v>
      </c>
      <c r="B9" s="71" t="s">
        <v>2514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1" t="s">
        <v>2515</v>
      </c>
      <c r="Q9" s="1793" t="str">
        <f t="shared" ref="Q9:Q15" si="6">B9</f>
        <v>用途</v>
      </c>
      <c r="R9" s="769" t="s">
        <v>17</v>
      </c>
      <c r="S9" s="770">
        <f t="shared" si="0"/>
        <v>100</v>
      </c>
      <c r="T9" s="769" t="s">
        <v>17</v>
      </c>
      <c r="U9" s="770">
        <f t="shared" si="1"/>
        <v>100</v>
      </c>
      <c r="V9" s="769" t="s">
        <v>17</v>
      </c>
      <c r="W9" s="770">
        <f t="shared" si="2"/>
        <v>100</v>
      </c>
      <c r="X9" s="771"/>
      <c r="Y9" s="3063" t="s">
        <v>2516</v>
      </c>
      <c r="Z9" s="55" t="str">
        <f t="shared" ref="Z9:Z15" si="7">Q9</f>
        <v>用途</v>
      </c>
      <c r="AA9" s="772">
        <f t="shared" si="3"/>
        <v>1</v>
      </c>
      <c r="AB9" s="772">
        <f t="shared" si="4"/>
        <v>1</v>
      </c>
      <c r="AC9" s="2665">
        <f t="shared" si="5"/>
        <v>1</v>
      </c>
    </row>
    <row r="10" spans="1:29" s="426" customFormat="1" ht="27">
      <c r="A10" s="420"/>
      <c r="B10" s="421" t="s">
        <v>2517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1"/>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2665">
        <f t="shared" si="5"/>
        <v>1</v>
      </c>
    </row>
    <row r="11" spans="1:29" ht="15">
      <c r="A11" s="427"/>
      <c r="B11" s="421" t="s">
        <v>2518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1"/>
      <c r="Q11" s="1793"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2665" t="e">
        <f t="shared" si="5"/>
        <v>#N/A</v>
      </c>
    </row>
    <row r="12" spans="1:29" s="116" customFormat="1" ht="15">
      <c r="A12" s="430"/>
      <c r="B12" s="2595">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31"/>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2665">
        <f>D12/J12</f>
        <v>1</v>
      </c>
    </row>
    <row r="13" spans="1:29" ht="15">
      <c r="A13" s="427"/>
      <c r="B13" s="2595">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31"/>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2665">
        <f t="shared" si="5"/>
        <v>1</v>
      </c>
    </row>
    <row r="14" spans="1:29" ht="15.75" thickBot="1">
      <c r="A14" s="435"/>
      <c r="B14" s="2597">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31"/>
      <c r="Q14" s="1793">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2665">
        <f t="shared" si="5"/>
        <v>1</v>
      </c>
    </row>
    <row r="15" spans="1:29" ht="71.25">
      <c r="A15" s="439" t="s">
        <v>2519</v>
      </c>
      <c r="B15" s="628" t="s">
        <v>2647</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0" t="s">
        <v>2520</v>
      </c>
      <c r="Q15" s="1808" t="str">
        <f t="shared" si="6"/>
        <v>办公集聚程度</v>
      </c>
      <c r="R15" s="773" t="s">
        <v>17</v>
      </c>
      <c r="S15" s="774">
        <f t="shared" si="0"/>
        <v>100</v>
      </c>
      <c r="T15" s="773" t="s">
        <v>17</v>
      </c>
      <c r="U15" s="774">
        <f t="shared" si="1"/>
        <v>100</v>
      </c>
      <c r="V15" s="773" t="s">
        <v>17</v>
      </c>
      <c r="W15" s="774">
        <f t="shared" si="2"/>
        <v>100</v>
      </c>
      <c r="X15" s="1811"/>
      <c r="Y15" s="3222" t="s">
        <v>2520</v>
      </c>
      <c r="Z15" s="1812" t="str">
        <f t="shared" si="7"/>
        <v>办公集聚程度</v>
      </c>
      <c r="AA15" s="1809">
        <f t="shared" si="3"/>
        <v>1</v>
      </c>
      <c r="AB15" s="1809">
        <f t="shared" si="4"/>
        <v>1</v>
      </c>
      <c r="AC15" s="2668">
        <f t="shared" si="5"/>
        <v>1</v>
      </c>
    </row>
    <row r="16" spans="1:29" ht="15">
      <c r="A16" s="427"/>
      <c r="B16" s="629"/>
      <c r="C16" s="2606"/>
      <c r="D16" s="447"/>
      <c r="E16" s="446"/>
      <c r="F16" s="447"/>
      <c r="G16" s="2606"/>
      <c r="H16" s="449"/>
      <c r="I16" s="446"/>
      <c r="J16" s="447"/>
      <c r="K16" s="614"/>
      <c r="L16" s="1138"/>
      <c r="M16" s="1129"/>
      <c r="N16" s="1129"/>
      <c r="O16" s="1129"/>
      <c r="P16" s="3221"/>
      <c r="Q16" s="1808"/>
      <c r="R16" s="773"/>
      <c r="S16" s="774"/>
      <c r="T16" s="773"/>
      <c r="U16" s="774"/>
      <c r="V16" s="773"/>
      <c r="W16" s="774"/>
      <c r="X16" s="1811"/>
      <c r="Y16" s="3223"/>
      <c r="Z16" s="1812"/>
      <c r="AA16" s="1809">
        <v>1</v>
      </c>
      <c r="AB16" s="1809">
        <v>1</v>
      </c>
      <c r="AC16" s="2668">
        <v>1</v>
      </c>
    </row>
    <row r="17" spans="1:29" ht="71.25">
      <c r="A17" s="427"/>
      <c r="B17" s="630" t="s">
        <v>2058</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1"/>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2668">
        <f t="shared" si="5"/>
        <v>1</v>
      </c>
    </row>
    <row r="18" spans="1:29" ht="15">
      <c r="A18" s="427"/>
      <c r="B18" s="631"/>
      <c r="C18" s="2670"/>
      <c r="D18" s="449"/>
      <c r="E18" s="2604"/>
      <c r="F18" s="449"/>
      <c r="G18" s="2605"/>
      <c r="H18" s="447"/>
      <c r="I18" s="2605"/>
      <c r="J18" s="447"/>
      <c r="K18" s="614"/>
      <c r="L18" s="1138"/>
      <c r="M18" s="1129"/>
      <c r="N18" s="1129"/>
      <c r="O18" s="1129"/>
      <c r="P18" s="3221"/>
      <c r="Q18" s="1808"/>
      <c r="R18" s="773"/>
      <c r="S18" s="774"/>
      <c r="T18" s="773"/>
      <c r="U18" s="774"/>
      <c r="V18" s="773"/>
      <c r="W18" s="774"/>
      <c r="X18" s="1811"/>
      <c r="Y18" s="3223"/>
      <c r="Z18" s="1812"/>
      <c r="AA18" s="1809">
        <v>1</v>
      </c>
      <c r="AB18" s="1809">
        <v>1</v>
      </c>
      <c r="AC18" s="2668">
        <v>1</v>
      </c>
    </row>
    <row r="19" spans="1:29" ht="42.75">
      <c r="A19" s="427"/>
      <c r="B19" s="630" t="s">
        <v>2648</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1"/>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2668">
        <f t="shared" si="5"/>
        <v>1</v>
      </c>
    </row>
    <row r="20" spans="1:29" ht="15">
      <c r="A20" s="427"/>
      <c r="B20" s="631"/>
      <c r="C20" s="2606"/>
      <c r="D20" s="447"/>
      <c r="E20" s="2599"/>
      <c r="F20" s="447"/>
      <c r="G20" s="2600"/>
      <c r="H20" s="447"/>
      <c r="I20" s="2600"/>
      <c r="J20" s="447"/>
      <c r="K20" s="614"/>
      <c r="L20" s="1138"/>
      <c r="M20" s="1129"/>
      <c r="N20" s="1129"/>
      <c r="O20" s="1129"/>
      <c r="P20" s="3221"/>
      <c r="Q20" s="1808"/>
      <c r="R20" s="773"/>
      <c r="S20" s="774"/>
      <c r="T20" s="773"/>
      <c r="U20" s="774"/>
      <c r="V20" s="773"/>
      <c r="W20" s="774"/>
      <c r="X20" s="1811"/>
      <c r="Y20" s="3223"/>
      <c r="Z20" s="1812"/>
      <c r="AA20" s="1809">
        <v>1</v>
      </c>
      <c r="AB20" s="1809">
        <v>1</v>
      </c>
      <c r="AC20" s="2668">
        <v>1</v>
      </c>
    </row>
    <row r="21" spans="1:29" ht="28.5">
      <c r="A21" s="427"/>
      <c r="B21" s="632" t="s">
        <v>2649</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1"/>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2668">
        <f t="shared" ref="AC21" si="10">D21/J21</f>
        <v>1</v>
      </c>
    </row>
    <row r="22" spans="1:29" ht="15">
      <c r="A22" s="427"/>
      <c r="B22" s="632"/>
      <c r="C22" s="2670"/>
      <c r="D22" s="447"/>
      <c r="E22" s="446"/>
      <c r="F22" s="447"/>
      <c r="G22" s="2606"/>
      <c r="H22" s="447"/>
      <c r="I22" s="2606"/>
      <c r="J22" s="447"/>
      <c r="K22" s="1381"/>
      <c r="L22" s="1138"/>
      <c r="M22" s="1129"/>
      <c r="N22" s="1129"/>
      <c r="O22" s="1129"/>
      <c r="P22" s="3221"/>
      <c r="Q22" s="1808"/>
      <c r="R22" s="773"/>
      <c r="S22" s="774"/>
      <c r="T22" s="773"/>
      <c r="U22" s="774"/>
      <c r="V22" s="773"/>
      <c r="W22" s="774"/>
      <c r="X22" s="1811"/>
      <c r="Y22" s="3223"/>
      <c r="Z22" s="1812"/>
      <c r="AA22" s="1809">
        <v>1</v>
      </c>
      <c r="AB22" s="1809">
        <v>1</v>
      </c>
      <c r="AC22" s="2668">
        <v>1</v>
      </c>
    </row>
    <row r="23" spans="1:29" ht="42.75">
      <c r="A23" s="427"/>
      <c r="B23" s="630" t="s">
        <v>2650</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1"/>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2668">
        <f t="shared" si="5"/>
        <v>1</v>
      </c>
    </row>
    <row r="24" spans="1:29" ht="15">
      <c r="A24" s="427"/>
      <c r="B24" s="632"/>
      <c r="C24" s="2606"/>
      <c r="D24" s="447"/>
      <c r="E24" s="2599"/>
      <c r="F24" s="447"/>
      <c r="G24" s="2600"/>
      <c r="H24" s="447"/>
      <c r="I24" s="2600"/>
      <c r="J24" s="447"/>
      <c r="K24" s="614"/>
      <c r="L24" s="1138"/>
      <c r="M24" s="1129"/>
      <c r="N24" s="1129"/>
      <c r="O24" s="1129"/>
      <c r="P24" s="3221"/>
      <c r="Q24" s="1808"/>
      <c r="R24" s="773"/>
      <c r="S24" s="774"/>
      <c r="T24" s="773"/>
      <c r="U24" s="774"/>
      <c r="V24" s="773"/>
      <c r="W24" s="774"/>
      <c r="X24" s="1811"/>
      <c r="Y24" s="3223"/>
      <c r="Z24" s="1812"/>
      <c r="AA24" s="1809">
        <v>1</v>
      </c>
      <c r="AB24" s="1809">
        <v>1</v>
      </c>
      <c r="AC24" s="2668">
        <v>1</v>
      </c>
    </row>
    <row r="25" spans="1:29" ht="27">
      <c r="A25" s="403"/>
      <c r="B25" s="630" t="s">
        <v>2651</v>
      </c>
      <c r="C25" s="2610"/>
      <c r="D25" s="434">
        <v>100</v>
      </c>
      <c r="E25" s="433"/>
      <c r="F25" s="434">
        <f>SUMIF(87:87,E26,88:88)-SUMIF(87:87,C26,88:88)+100</f>
        <v>100</v>
      </c>
      <c r="G25" s="2610"/>
      <c r="H25" s="434">
        <f>SUMIF(87:87,G26,88:88)-SUMIF(87:87,C26,88:88)+100</f>
        <v>100</v>
      </c>
      <c r="I25" s="433"/>
      <c r="J25" s="434">
        <f>SUMIF(87:87,I26,88:88)-SUMIF(87:87,C26,88:88)+100</f>
        <v>100</v>
      </c>
      <c r="K25" s="613"/>
      <c r="L25" s="1138"/>
      <c r="M25" s="1129"/>
      <c r="N25" s="1129"/>
      <c r="O25" s="1129"/>
      <c r="P25" s="3221"/>
      <c r="Q25" s="1808" t="str">
        <f>B25</f>
        <v>毗邻道路的类型与等级</v>
      </c>
      <c r="R25" s="773" t="s">
        <v>17</v>
      </c>
      <c r="S25" s="774">
        <f>F25</f>
        <v>100</v>
      </c>
      <c r="T25" s="773" t="s">
        <v>17</v>
      </c>
      <c r="U25" s="774">
        <f>H25</f>
        <v>100</v>
      </c>
      <c r="V25" s="773" t="s">
        <v>17</v>
      </c>
      <c r="W25" s="774">
        <f>J25</f>
        <v>100</v>
      </c>
      <c r="X25" s="1811"/>
      <c r="Y25" s="3223"/>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8"/>
      <c r="M26" s="1129"/>
      <c r="N26" s="1129"/>
      <c r="O26" s="1129"/>
      <c r="P26" s="3221"/>
      <c r="Q26" s="1808"/>
      <c r="R26" s="773"/>
      <c r="S26" s="774"/>
      <c r="T26" s="773"/>
      <c r="U26" s="774"/>
      <c r="V26" s="773"/>
      <c r="W26" s="774"/>
      <c r="X26" s="1811"/>
      <c r="Y26" s="3223"/>
      <c r="Z26" s="1812"/>
      <c r="AA26" s="1809">
        <v>1</v>
      </c>
      <c r="AB26" s="1809">
        <v>1</v>
      </c>
      <c r="AC26" s="2668">
        <v>1</v>
      </c>
    </row>
    <row r="27" spans="1:29" ht="15">
      <c r="A27" s="427"/>
      <c r="B27" s="631" t="s">
        <v>2619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21"/>
      <c r="Q27" s="1808" t="str">
        <f t="shared" ref="Q27:Q47" si="11">B27</f>
        <v>楼层</v>
      </c>
      <c r="R27" s="773" t="s">
        <v>17</v>
      </c>
      <c r="S27" s="774">
        <f>F27</f>
        <v>100</v>
      </c>
      <c r="T27" s="773" t="s">
        <v>17</v>
      </c>
      <c r="U27" s="774">
        <f>H27</f>
        <v>100</v>
      </c>
      <c r="V27" s="773" t="s">
        <v>17</v>
      </c>
      <c r="W27" s="774">
        <f>J27</f>
        <v>100</v>
      </c>
      <c r="X27" s="1811"/>
      <c r="Y27" s="3223"/>
      <c r="Z27" s="1812" t="str">
        <f>Q27</f>
        <v>楼层</v>
      </c>
      <c r="AA27" s="1809">
        <f t="shared" si="3"/>
        <v>1</v>
      </c>
      <c r="AB27" s="1809">
        <f t="shared" si="4"/>
        <v>1</v>
      </c>
      <c r="AC27" s="2668">
        <f t="shared" si="5"/>
        <v>1</v>
      </c>
    </row>
    <row r="28" spans="1:29" s="116" customFormat="1" ht="15">
      <c r="A28" s="430"/>
      <c r="B28" s="630" t="s">
        <v>2652</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21"/>
      <c r="Q28" s="1793" t="str">
        <f t="shared" si="11"/>
        <v>朝向</v>
      </c>
      <c r="R28" s="769" t="s">
        <v>17</v>
      </c>
      <c r="S28" s="770">
        <f>F28</f>
        <v>100</v>
      </c>
      <c r="T28" s="769" t="s">
        <v>17</v>
      </c>
      <c r="U28" s="770">
        <f>H28</f>
        <v>100</v>
      </c>
      <c r="V28" s="769" t="s">
        <v>17</v>
      </c>
      <c r="W28" s="770">
        <f>J28</f>
        <v>100</v>
      </c>
      <c r="X28" s="771"/>
      <c r="Y28" s="3223"/>
      <c r="Z28" s="55" t="str">
        <f>Q28</f>
        <v>朝向</v>
      </c>
      <c r="AA28" s="1809">
        <f>D28/F28</f>
        <v>1</v>
      </c>
      <c r="AB28" s="1809">
        <f>D28/H28</f>
        <v>1</v>
      </c>
      <c r="AC28" s="2668">
        <f>D28/J28</f>
        <v>1</v>
      </c>
    </row>
    <row r="29" spans="1:29" ht="15">
      <c r="A29" s="427"/>
      <c r="B29" s="2672">
        <v>111</v>
      </c>
      <c r="C29" s="2610"/>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21"/>
      <c r="Q29" s="1808">
        <f t="shared" si="11"/>
        <v>111</v>
      </c>
      <c r="R29" s="773" t="s">
        <v>17</v>
      </c>
      <c r="S29" s="774">
        <f t="shared" ref="S29:S47" si="12">F29</f>
        <v>100</v>
      </c>
      <c r="T29" s="773" t="s">
        <v>17</v>
      </c>
      <c r="U29" s="774">
        <f t="shared" ref="U29:U47" si="13">H29</f>
        <v>100</v>
      </c>
      <c r="V29" s="773" t="s">
        <v>17</v>
      </c>
      <c r="W29" s="774">
        <f t="shared" ref="W29:W47" si="14">J29</f>
        <v>100</v>
      </c>
      <c r="X29" s="1811"/>
      <c r="Y29" s="3223"/>
      <c r="Z29" s="1812">
        <f t="shared" ref="Z29:Z47" si="15">Q29</f>
        <v>111</v>
      </c>
      <c r="AA29" s="1809">
        <f t="shared" si="3"/>
        <v>1</v>
      </c>
      <c r="AB29" s="1809">
        <f t="shared" si="4"/>
        <v>1</v>
      </c>
      <c r="AC29" s="2668">
        <f t="shared" si="5"/>
        <v>1</v>
      </c>
    </row>
    <row r="30" spans="1:29" ht="15">
      <c r="A30" s="427"/>
      <c r="B30" s="2672">
        <v>111</v>
      </c>
      <c r="C30" s="2610"/>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21"/>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2668">
        <f t="shared" si="5"/>
        <v>1</v>
      </c>
    </row>
    <row r="31" spans="1:29" ht="15">
      <c r="A31" s="427"/>
      <c r="B31" s="2672">
        <v>111</v>
      </c>
      <c r="C31" s="2610"/>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21"/>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2668">
        <f t="shared" si="5"/>
        <v>1</v>
      </c>
    </row>
    <row r="32" spans="1:29" ht="15.75" thickBot="1">
      <c r="A32" s="435"/>
      <c r="B32" s="634">
        <v>111</v>
      </c>
      <c r="C32" s="2611"/>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21"/>
      <c r="Q32" s="1808">
        <f t="shared" si="11"/>
        <v>111</v>
      </c>
      <c r="R32" s="773" t="s">
        <v>17</v>
      </c>
      <c r="S32" s="774">
        <f t="shared" si="12"/>
        <v>100</v>
      </c>
      <c r="T32" s="773" t="s">
        <v>17</v>
      </c>
      <c r="U32" s="774">
        <f t="shared" si="13"/>
        <v>100</v>
      </c>
      <c r="V32" s="773" t="s">
        <v>17</v>
      </c>
      <c r="W32" s="774">
        <f t="shared" si="14"/>
        <v>100</v>
      </c>
      <c r="X32" s="1811"/>
      <c r="Y32" s="3223"/>
      <c r="Z32" s="1812">
        <f t="shared" si="15"/>
        <v>111</v>
      </c>
      <c r="AA32" s="1809">
        <f t="shared" si="3"/>
        <v>1</v>
      </c>
      <c r="AB32" s="1809">
        <f t="shared" si="4"/>
        <v>1</v>
      </c>
      <c r="AC32" s="2668">
        <f t="shared" si="5"/>
        <v>1</v>
      </c>
    </row>
    <row r="33" spans="1:29" ht="15">
      <c r="A33" s="439" t="s">
        <v>2523</v>
      </c>
      <c r="B33" s="71" t="s">
        <v>2653</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24" t="s">
        <v>2525</v>
      </c>
      <c r="Q33" s="1808" t="str">
        <f t="shared" si="11"/>
        <v>建筑类型</v>
      </c>
      <c r="R33" s="773" t="s">
        <v>17</v>
      </c>
      <c r="S33" s="774">
        <f t="shared" si="12"/>
        <v>100</v>
      </c>
      <c r="T33" s="773" t="s">
        <v>17</v>
      </c>
      <c r="U33" s="774">
        <f t="shared" si="13"/>
        <v>100</v>
      </c>
      <c r="V33" s="773" t="s">
        <v>17</v>
      </c>
      <c r="W33" s="774">
        <f t="shared" si="14"/>
        <v>100</v>
      </c>
      <c r="X33" s="1811"/>
      <c r="Y33" s="3227" t="s">
        <v>2525</v>
      </c>
      <c r="Z33" s="1812" t="str">
        <f t="shared" si="15"/>
        <v>建筑类型</v>
      </c>
      <c r="AA33" s="1809">
        <f t="shared" si="3"/>
        <v>1</v>
      </c>
      <c r="AB33" s="1809">
        <f t="shared" si="4"/>
        <v>1</v>
      </c>
      <c r="AC33" s="2668">
        <f t="shared" si="5"/>
        <v>1</v>
      </c>
    </row>
    <row r="34" spans="1:29" s="470" customFormat="1" ht="15">
      <c r="A34" s="467"/>
      <c r="B34" s="421" t="s">
        <v>2526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5"/>
      <c r="Q34" s="775" t="str">
        <f t="shared" si="11"/>
        <v>项目建筑规模</v>
      </c>
      <c r="R34" s="776" t="s">
        <v>17</v>
      </c>
      <c r="S34" s="777" t="e">
        <f t="shared" si="12"/>
        <v>#N/A</v>
      </c>
      <c r="T34" s="776" t="s">
        <v>17</v>
      </c>
      <c r="U34" s="777" t="e">
        <f t="shared" si="13"/>
        <v>#N/A</v>
      </c>
      <c r="V34" s="776" t="s">
        <v>17</v>
      </c>
      <c r="W34" s="777" t="e">
        <f t="shared" si="14"/>
        <v>#N/A</v>
      </c>
      <c r="X34" s="778"/>
      <c r="Y34" s="3227"/>
      <c r="Z34" s="779" t="str">
        <f t="shared" si="15"/>
        <v>项目建筑规模</v>
      </c>
      <c r="AA34" s="1809" t="e">
        <f t="shared" si="3"/>
        <v>#N/A</v>
      </c>
      <c r="AB34" s="1809" t="e">
        <f t="shared" si="4"/>
        <v>#N/A</v>
      </c>
      <c r="AC34" s="2668" t="e">
        <f t="shared" si="5"/>
        <v>#N/A</v>
      </c>
    </row>
    <row r="35" spans="1:29" ht="15">
      <c r="A35" s="471"/>
      <c r="B35" s="421" t="s">
        <v>2527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5"/>
      <c r="Q35" s="1808" t="str">
        <f t="shared" si="11"/>
        <v>建筑结构</v>
      </c>
      <c r="R35" s="773" t="s">
        <v>17</v>
      </c>
      <c r="S35" s="774">
        <f t="shared" si="12"/>
        <v>100</v>
      </c>
      <c r="T35" s="773" t="s">
        <v>17</v>
      </c>
      <c r="U35" s="774">
        <f t="shared" si="13"/>
        <v>100</v>
      </c>
      <c r="V35" s="773" t="s">
        <v>17</v>
      </c>
      <c r="W35" s="774">
        <f t="shared" si="14"/>
        <v>100</v>
      </c>
      <c r="X35" s="1811"/>
      <c r="Y35" s="3227"/>
      <c r="Z35" s="1812" t="str">
        <f t="shared" si="15"/>
        <v>建筑结构</v>
      </c>
      <c r="AA35" s="1809">
        <f t="shared" si="3"/>
        <v>1</v>
      </c>
      <c r="AB35" s="1809">
        <f t="shared" si="4"/>
        <v>1</v>
      </c>
      <c r="AC35" s="2668">
        <f t="shared" si="5"/>
        <v>1</v>
      </c>
    </row>
    <row r="36" spans="1:29" ht="15">
      <c r="A36" s="471"/>
      <c r="B36" s="421" t="s">
        <v>2621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5"/>
      <c r="Q36" s="1808" t="str">
        <f t="shared" si="11"/>
        <v>公共部分装修</v>
      </c>
      <c r="R36" s="773" t="s">
        <v>17</v>
      </c>
      <c r="S36" s="774">
        <f t="shared" si="12"/>
        <v>100</v>
      </c>
      <c r="T36" s="773" t="s">
        <v>17</v>
      </c>
      <c r="U36" s="774">
        <f t="shared" si="13"/>
        <v>100</v>
      </c>
      <c r="V36" s="773" t="s">
        <v>17</v>
      </c>
      <c r="W36" s="774">
        <f t="shared" si="14"/>
        <v>100</v>
      </c>
      <c r="X36" s="1811"/>
      <c r="Y36" s="3227"/>
      <c r="Z36" s="1812" t="str">
        <f t="shared" si="15"/>
        <v>公共部分装修</v>
      </c>
      <c r="AA36" s="1809">
        <f t="shared" si="3"/>
        <v>1</v>
      </c>
      <c r="AB36" s="1809">
        <f t="shared" si="4"/>
        <v>1</v>
      </c>
      <c r="AC36" s="2668">
        <f t="shared" si="5"/>
        <v>1</v>
      </c>
    </row>
    <row r="37" spans="1:29" ht="15">
      <c r="A37" s="471"/>
      <c r="B37" s="421" t="s">
        <v>2622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5"/>
      <c r="Q37" s="1808" t="str">
        <f t="shared" si="11"/>
        <v>成新度</v>
      </c>
      <c r="R37" s="773" t="s">
        <v>17</v>
      </c>
      <c r="S37" s="774" t="e">
        <f t="shared" si="12"/>
        <v>#N/A</v>
      </c>
      <c r="T37" s="773" t="s">
        <v>17</v>
      </c>
      <c r="U37" s="774" t="e">
        <f t="shared" si="13"/>
        <v>#N/A</v>
      </c>
      <c r="V37" s="773" t="s">
        <v>17</v>
      </c>
      <c r="W37" s="774" t="e">
        <f t="shared" si="14"/>
        <v>#N/A</v>
      </c>
      <c r="X37" s="1811"/>
      <c r="Y37" s="3227"/>
      <c r="Z37" s="1812" t="str">
        <f t="shared" si="15"/>
        <v>成新度</v>
      </c>
      <c r="AA37" s="1809" t="e">
        <f t="shared" si="3"/>
        <v>#N/A</v>
      </c>
      <c r="AB37" s="1809" t="e">
        <f t="shared" si="4"/>
        <v>#N/A</v>
      </c>
      <c r="AC37" s="2668" t="e">
        <f t="shared" si="5"/>
        <v>#N/A</v>
      </c>
    </row>
    <row r="38" spans="1:29" s="116" customFormat="1" ht="15">
      <c r="A38" s="472"/>
      <c r="B38" s="421" t="s">
        <v>2654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5"/>
      <c r="Q38" s="1793" t="str">
        <f t="shared" si="11"/>
        <v>写字楼等级</v>
      </c>
      <c r="R38" s="769" t="s">
        <v>17</v>
      </c>
      <c r="S38" s="770">
        <f t="shared" si="12"/>
        <v>100</v>
      </c>
      <c r="T38" s="769" t="s">
        <v>17</v>
      </c>
      <c r="U38" s="770">
        <f t="shared" si="13"/>
        <v>100</v>
      </c>
      <c r="V38" s="769" t="s">
        <v>17</v>
      </c>
      <c r="W38" s="770">
        <f t="shared" si="14"/>
        <v>100</v>
      </c>
      <c r="X38" s="771"/>
      <c r="Y38" s="3227"/>
      <c r="Z38" s="55" t="str">
        <f t="shared" si="15"/>
        <v>写字楼等级</v>
      </c>
      <c r="AA38" s="772">
        <f t="shared" si="3"/>
        <v>1</v>
      </c>
      <c r="AB38" s="772">
        <f t="shared" si="4"/>
        <v>1</v>
      </c>
      <c r="AC38" s="2665">
        <f t="shared" si="5"/>
        <v>1</v>
      </c>
    </row>
    <row r="39" spans="1:29" ht="15">
      <c r="A39" s="471"/>
      <c r="B39" s="421" t="s">
        <v>2655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5" t="s">
        <v>2525</v>
      </c>
      <c r="Q39" s="1808" t="str">
        <f t="shared" si="11"/>
        <v>物业管理</v>
      </c>
      <c r="R39" s="773" t="s">
        <v>17</v>
      </c>
      <c r="S39" s="774">
        <f t="shared" si="12"/>
        <v>100</v>
      </c>
      <c r="T39" s="773" t="s">
        <v>17</v>
      </c>
      <c r="U39" s="774">
        <f t="shared" si="13"/>
        <v>100</v>
      </c>
      <c r="V39" s="773" t="s">
        <v>17</v>
      </c>
      <c r="W39" s="774">
        <f t="shared" si="14"/>
        <v>100</v>
      </c>
      <c r="X39" s="1811"/>
      <c r="Y39" s="3227" t="s">
        <v>2525</v>
      </c>
      <c r="Z39" s="1812" t="str">
        <f t="shared" si="15"/>
        <v>物业管理</v>
      </c>
      <c r="AA39" s="1809">
        <f t="shared" si="3"/>
        <v>1</v>
      </c>
      <c r="AB39" s="1809">
        <f t="shared" si="4"/>
        <v>1</v>
      </c>
      <c r="AC39" s="2668">
        <f t="shared" si="5"/>
        <v>1</v>
      </c>
    </row>
    <row r="40" spans="1:29" ht="15">
      <c r="A40" s="471"/>
      <c r="B40" s="421" t="s">
        <v>2623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5"/>
      <c r="Q40" s="1808" t="str">
        <f t="shared" si="11"/>
        <v>市政基础设施</v>
      </c>
      <c r="R40" s="773" t="s">
        <v>17</v>
      </c>
      <c r="S40" s="774">
        <f t="shared" si="12"/>
        <v>100</v>
      </c>
      <c r="T40" s="773" t="s">
        <v>17</v>
      </c>
      <c r="U40" s="774">
        <f t="shared" si="13"/>
        <v>100</v>
      </c>
      <c r="V40" s="773" t="s">
        <v>17</v>
      </c>
      <c r="W40" s="774">
        <f t="shared" si="14"/>
        <v>100</v>
      </c>
      <c r="X40" s="1811"/>
      <c r="Y40" s="3227"/>
      <c r="Z40" s="1812" t="str">
        <f t="shared" si="15"/>
        <v>市政基础设施</v>
      </c>
      <c r="AA40" s="1809">
        <f t="shared" si="3"/>
        <v>1</v>
      </c>
      <c r="AB40" s="1809">
        <f t="shared" si="4"/>
        <v>1</v>
      </c>
      <c r="AC40" s="2668">
        <f t="shared" si="5"/>
        <v>1</v>
      </c>
    </row>
    <row r="41" spans="1:29" ht="15">
      <c r="A41" s="471"/>
      <c r="B41" s="421" t="s">
        <v>2625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5"/>
      <c r="Q41" s="1808" t="str">
        <f t="shared" si="11"/>
        <v>层高</v>
      </c>
      <c r="R41" s="773" t="s">
        <v>17</v>
      </c>
      <c r="S41" s="774">
        <f t="shared" si="12"/>
        <v>100</v>
      </c>
      <c r="T41" s="773" t="s">
        <v>17</v>
      </c>
      <c r="U41" s="774">
        <f t="shared" si="13"/>
        <v>100</v>
      </c>
      <c r="V41" s="773" t="s">
        <v>17</v>
      </c>
      <c r="W41" s="774">
        <f t="shared" si="14"/>
        <v>100</v>
      </c>
      <c r="X41" s="1811"/>
      <c r="Y41" s="3227"/>
      <c r="Z41" s="1812" t="str">
        <f t="shared" si="15"/>
        <v>层高</v>
      </c>
      <c r="AA41" s="1809">
        <f t="shared" si="3"/>
        <v>1</v>
      </c>
      <c r="AB41" s="1809">
        <f t="shared" si="4"/>
        <v>1</v>
      </c>
      <c r="AC41" s="2668">
        <f t="shared" si="5"/>
        <v>1</v>
      </c>
    </row>
    <row r="42" spans="1:29" s="470" customFormat="1" ht="15">
      <c r="A42" s="467"/>
      <c r="B42" s="1810" t="s">
        <v>2656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09">
        <f t="shared" si="3"/>
        <v>1</v>
      </c>
      <c r="AB42" s="1809">
        <f t="shared" si="4"/>
        <v>1</v>
      </c>
      <c r="AC42" s="2668">
        <f t="shared" si="5"/>
        <v>1</v>
      </c>
    </row>
    <row r="43" spans="1:29" ht="15">
      <c r="A43" s="471"/>
      <c r="B43" s="421" t="s">
        <v>2628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5"/>
      <c r="Q43" s="1808" t="str">
        <f t="shared" si="11"/>
        <v>内部装修</v>
      </c>
      <c r="R43" s="773" t="s">
        <v>17</v>
      </c>
      <c r="S43" s="774">
        <f t="shared" si="12"/>
        <v>100</v>
      </c>
      <c r="T43" s="773" t="s">
        <v>17</v>
      </c>
      <c r="U43" s="774">
        <f t="shared" si="13"/>
        <v>100</v>
      </c>
      <c r="V43" s="773" t="s">
        <v>17</v>
      </c>
      <c r="W43" s="774">
        <f t="shared" si="14"/>
        <v>100</v>
      </c>
      <c r="X43" s="1811"/>
      <c r="Y43" s="3227"/>
      <c r="Z43" s="1812" t="str">
        <f t="shared" si="15"/>
        <v>内部装修</v>
      </c>
      <c r="AA43" s="1809">
        <f t="shared" si="3"/>
        <v>1</v>
      </c>
      <c r="AB43" s="1809">
        <f t="shared" si="4"/>
        <v>1</v>
      </c>
      <c r="AC43" s="2668">
        <f t="shared" si="5"/>
        <v>1</v>
      </c>
    </row>
    <row r="44" spans="1:29" ht="15">
      <c r="A44" s="471"/>
      <c r="B44" s="421" t="s">
        <v>2536</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8"/>
      <c r="M44" s="1129"/>
      <c r="N44" s="1129"/>
      <c r="O44" s="1129"/>
      <c r="P44" s="3225"/>
      <c r="Q44" s="1808" t="str">
        <f t="shared" si="11"/>
        <v>内部装修维护情况</v>
      </c>
      <c r="R44" s="773" t="s">
        <v>17</v>
      </c>
      <c r="S44" s="774">
        <f t="shared" si="12"/>
        <v>100</v>
      </c>
      <c r="T44" s="773" t="s">
        <v>17</v>
      </c>
      <c r="U44" s="774">
        <f t="shared" si="13"/>
        <v>100</v>
      </c>
      <c r="V44" s="773" t="s">
        <v>17</v>
      </c>
      <c r="W44" s="774">
        <f t="shared" si="14"/>
        <v>100</v>
      </c>
      <c r="X44" s="1811"/>
      <c r="Y44" s="3227"/>
      <c r="Z44" s="1812" t="str">
        <f t="shared" si="15"/>
        <v>内部装修维护情况</v>
      </c>
      <c r="AA44" s="1809">
        <f t="shared" si="3"/>
        <v>1</v>
      </c>
      <c r="AB44" s="1809">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5"/>
      <c r="Q45" s="1793">
        <f t="shared" si="11"/>
        <v>111</v>
      </c>
      <c r="R45" s="769" t="s">
        <v>17</v>
      </c>
      <c r="S45" s="770">
        <f t="shared" si="12"/>
        <v>100</v>
      </c>
      <c r="T45" s="769" t="s">
        <v>17</v>
      </c>
      <c r="U45" s="770">
        <f t="shared" si="13"/>
        <v>100</v>
      </c>
      <c r="V45" s="769" t="s">
        <v>17</v>
      </c>
      <c r="W45" s="770">
        <f t="shared" si="14"/>
        <v>100</v>
      </c>
      <c r="X45" s="771"/>
      <c r="Y45" s="3227"/>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5"/>
      <c r="Q46" s="1808">
        <f t="shared" si="11"/>
        <v>111</v>
      </c>
      <c r="R46" s="773" t="s">
        <v>17</v>
      </c>
      <c r="S46" s="774">
        <f t="shared" si="12"/>
        <v>100</v>
      </c>
      <c r="T46" s="773" t="s">
        <v>17</v>
      </c>
      <c r="U46" s="774">
        <f t="shared" si="13"/>
        <v>100</v>
      </c>
      <c r="V46" s="773" t="s">
        <v>17</v>
      </c>
      <c r="W46" s="774">
        <f t="shared" si="14"/>
        <v>100</v>
      </c>
      <c r="X46" s="1811"/>
      <c r="Y46" s="3227"/>
      <c r="Z46" s="1812">
        <f t="shared" si="15"/>
        <v>111</v>
      </c>
      <c r="AA46" s="1809">
        <f t="shared" si="3"/>
        <v>1</v>
      </c>
      <c r="AB46" s="1809">
        <f t="shared" si="4"/>
        <v>1</v>
      </c>
      <c r="AC46" s="2668">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6"/>
      <c r="Q47" s="1808">
        <f t="shared" si="11"/>
        <v>111</v>
      </c>
      <c r="R47" s="773" t="s">
        <v>17</v>
      </c>
      <c r="S47" s="774">
        <f t="shared" si="12"/>
        <v>100</v>
      </c>
      <c r="T47" s="773" t="s">
        <v>17</v>
      </c>
      <c r="U47" s="774">
        <f t="shared" si="13"/>
        <v>100</v>
      </c>
      <c r="V47" s="773" t="s">
        <v>17</v>
      </c>
      <c r="W47" s="774">
        <f t="shared" si="14"/>
        <v>100</v>
      </c>
      <c r="X47" s="1811"/>
      <c r="Y47" s="3228"/>
      <c r="Z47" s="1812">
        <f t="shared" si="15"/>
        <v>111</v>
      </c>
      <c r="AA47" s="1809">
        <f t="shared" si="3"/>
        <v>1</v>
      </c>
      <c r="AB47" s="1809">
        <f t="shared" si="4"/>
        <v>1</v>
      </c>
      <c r="AC47" s="2668">
        <f t="shared" si="5"/>
        <v>1</v>
      </c>
    </row>
    <row r="48" spans="1:29" ht="15">
      <c r="A48" s="478" t="s">
        <v>2537</v>
      </c>
      <c r="B48" s="479"/>
      <c r="C48" s="1405" t="s">
        <v>1</v>
      </c>
      <c r="D48" s="1406"/>
      <c r="E48" s="1407"/>
      <c r="F48" s="1408"/>
      <c r="G48" s="1409"/>
      <c r="H48" s="1410"/>
      <c r="I48" s="1407"/>
      <c r="J48" s="484"/>
      <c r="K48" s="782"/>
      <c r="L48" s="1141"/>
      <c r="M48" s="1129"/>
      <c r="N48" s="1129"/>
      <c r="O48" s="1129"/>
      <c r="P48" s="3231" t="str">
        <f>A48</f>
        <v>成交单价（元/平方米）</v>
      </c>
      <c r="Q48" s="3215"/>
      <c r="R48" s="3216">
        <f>E48</f>
        <v>0</v>
      </c>
      <c r="S48" s="3216"/>
      <c r="T48" s="3216">
        <f>G48</f>
        <v>0</v>
      </c>
      <c r="U48" s="3216"/>
      <c r="V48" s="3216">
        <f>I48</f>
        <v>0</v>
      </c>
      <c r="W48" s="3216"/>
      <c r="X48" s="445"/>
      <c r="Y48" s="780"/>
      <c r="Z48" s="445"/>
      <c r="AA48" s="445"/>
      <c r="AB48" s="445"/>
      <c r="AC48" s="629"/>
    </row>
    <row r="49" spans="1:29" ht="15.75" thickBot="1">
      <c r="A49" s="485" t="s">
        <v>2629</v>
      </c>
      <c r="B49" s="486"/>
      <c r="C49" s="1411" t="e">
        <f>R50</f>
        <v>#DIV/0!</v>
      </c>
      <c r="D49" s="1412"/>
      <c r="E49" s="1413" t="e">
        <f>R49</f>
        <v>#DIV/0!</v>
      </c>
      <c r="F49" s="1413"/>
      <c r="G49" s="1411" t="e">
        <f>T49</f>
        <v>#DIV/0!</v>
      </c>
      <c r="H49" s="1412"/>
      <c r="I49" s="1413" t="e">
        <f>V49</f>
        <v>#DIV/0!</v>
      </c>
      <c r="J49" s="488"/>
      <c r="K49" s="783"/>
      <c r="L49" s="1141"/>
      <c r="M49" s="1129"/>
      <c r="N49" s="1129"/>
      <c r="O49" s="1129"/>
      <c r="P49" s="3231"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5"/>
      <c r="Y49" s="445"/>
      <c r="Z49" s="445"/>
      <c r="AA49" s="445"/>
      <c r="AB49" s="445"/>
      <c r="AC49" s="629"/>
    </row>
    <row r="50" spans="1:29" ht="15.75" thickBot="1">
      <c r="A50" s="491" t="s">
        <v>2630</v>
      </c>
      <c r="B50" s="492"/>
      <c r="C50" s="1415" t="e">
        <f>R50</f>
        <v>#DIV/0!</v>
      </c>
      <c r="D50" s="1415"/>
      <c r="E50" s="1415"/>
      <c r="F50" s="1415"/>
      <c r="G50" s="1415"/>
      <c r="H50" s="1415"/>
      <c r="I50" s="1415"/>
      <c r="J50" s="493"/>
      <c r="K50" s="784"/>
      <c r="L50" s="1141"/>
      <c r="M50" s="1129"/>
      <c r="N50" s="1129"/>
      <c r="O50" s="1129"/>
      <c r="P50" s="3275" t="str">
        <f>A50</f>
        <v>估价对象XX用房的比较价值（楼面单价，元/平方米）</v>
      </c>
      <c r="Q50" s="3276"/>
      <c r="R50" s="3277" t="e">
        <f>IF(F1="售价",ROUND(AVERAGE(R49:V49),0),ROUND(AVERAGE(R49:V49),1))</f>
        <v>#DIV/0!</v>
      </c>
      <c r="S50" s="3277"/>
      <c r="T50" s="3277"/>
      <c r="U50" s="3277"/>
      <c r="V50" s="3277"/>
      <c r="W50" s="3277"/>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2631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2632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2633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2634</v>
      </c>
      <c r="B58" s="758"/>
      <c r="C58" s="763"/>
      <c r="D58" s="763"/>
      <c r="E58" s="763"/>
      <c r="F58" s="764"/>
      <c r="G58" s="764"/>
      <c r="H58" s="763"/>
      <c r="I58" s="763"/>
      <c r="J58" s="763"/>
      <c r="K58" s="765"/>
      <c r="L58" s="1159"/>
      <c r="M58" s="1157"/>
      <c r="N58" s="1157"/>
      <c r="O58" s="1157"/>
      <c r="P58" s="2675"/>
      <c r="Q58" s="503"/>
    </row>
    <row r="59" spans="1:29" s="507" customFormat="1" ht="15">
      <c r="A59" s="504" t="s">
        <v>2508</v>
      </c>
      <c r="B59" s="505"/>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6" customFormat="1" ht="15">
      <c r="A60" s="508"/>
      <c r="B60" s="509"/>
      <c r="C60" s="1571">
        <v>100</v>
      </c>
      <c r="D60" s="511"/>
      <c r="E60" s="511"/>
      <c r="F60" s="511"/>
      <c r="G60" s="511"/>
      <c r="H60" s="511"/>
      <c r="I60" s="511"/>
      <c r="J60" s="511"/>
      <c r="K60" s="511"/>
      <c r="L60" s="511"/>
      <c r="M60" s="512"/>
      <c r="N60" s="511"/>
      <c r="O60" s="512"/>
      <c r="P60" s="2676"/>
    </row>
    <row r="61" spans="1:29" s="116" customFormat="1" ht="15.75" thickBot="1">
      <c r="A61" s="514" t="s">
        <v>2545</v>
      </c>
      <c r="B61" s="515"/>
      <c r="C61" s="516"/>
      <c r="D61" s="517"/>
      <c r="E61" s="517"/>
      <c r="F61" s="517"/>
      <c r="G61" s="517"/>
      <c r="H61" s="517"/>
      <c r="I61" s="517"/>
      <c r="J61" s="517"/>
      <c r="K61" s="517"/>
      <c r="L61" s="517"/>
      <c r="M61" s="518"/>
      <c r="N61" s="517"/>
      <c r="O61" s="518"/>
      <c r="P61" s="2676"/>
      <c r="Q61" s="503"/>
    </row>
    <row r="62" spans="1:29" s="116" customFormat="1" ht="15">
      <c r="A62" s="520" t="s">
        <v>2510</v>
      </c>
      <c r="B62" s="509"/>
      <c r="C62" s="521" t="s">
        <v>2612</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2548</v>
      </c>
      <c r="B64" s="527" t="s">
        <v>2514</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2517</v>
      </c>
      <c r="C66" s="538" t="s">
        <v>2549</v>
      </c>
      <c r="D66" s="538" t="s">
        <v>2550</v>
      </c>
      <c r="E66" s="538" t="s">
        <v>2551</v>
      </c>
      <c r="F66" s="538" t="s">
        <v>2552</v>
      </c>
      <c r="G66" s="538" t="s">
        <v>2553</v>
      </c>
      <c r="H66" s="538" t="s">
        <v>2554</v>
      </c>
      <c r="I66" s="538" t="s">
        <v>2555</v>
      </c>
      <c r="J66" s="538"/>
      <c r="K66" s="539"/>
      <c r="L66" s="540"/>
      <c r="M66" s="541"/>
      <c r="N66" s="1150"/>
      <c r="O66" s="1150"/>
      <c r="P66" s="2678"/>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2518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2519</v>
      </c>
      <c r="B77" s="527" t="s">
        <v>2657</v>
      </c>
      <c r="C77" s="572" t="s">
        <v>2557</v>
      </c>
      <c r="D77" s="572" t="s">
        <v>2558</v>
      </c>
      <c r="E77" s="572" t="s">
        <v>2559</v>
      </c>
      <c r="F77" s="572" t="s">
        <v>2560</v>
      </c>
      <c r="G77" s="572" t="s">
        <v>2561</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2562</v>
      </c>
      <c r="C79" s="577" t="s">
        <v>2557</v>
      </c>
      <c r="D79" s="577" t="s">
        <v>2558</v>
      </c>
      <c r="E79" s="577" t="s">
        <v>2559</v>
      </c>
      <c r="F79" s="577" t="s">
        <v>2560</v>
      </c>
      <c r="G79" s="577" t="s">
        <v>2561</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2563</v>
      </c>
      <c r="C81" s="577" t="s">
        <v>2557</v>
      </c>
      <c r="D81" s="577" t="s">
        <v>2558</v>
      </c>
      <c r="E81" s="577" t="s">
        <v>2559</v>
      </c>
      <c r="F81" s="577" t="s">
        <v>2560</v>
      </c>
      <c r="G81" s="577" t="s">
        <v>2561</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2649</v>
      </c>
      <c r="C83" s="659" t="s">
        <v>2635</v>
      </c>
      <c r="D83" s="659" t="s">
        <v>2636</v>
      </c>
      <c r="E83" s="659" t="s">
        <v>2637</v>
      </c>
      <c r="F83" s="659" t="s">
        <v>2638</v>
      </c>
      <c r="G83" s="659" t="s">
        <v>2639</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2658</v>
      </c>
      <c r="C85" s="577" t="s">
        <v>2557</v>
      </c>
      <c r="D85" s="577" t="s">
        <v>2558</v>
      </c>
      <c r="E85" s="577" t="s">
        <v>2559</v>
      </c>
      <c r="F85" s="577" t="s">
        <v>2560</v>
      </c>
      <c r="G85" s="577" t="s">
        <v>2561</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6" customFormat="1" ht="27.75" thickTop="1">
      <c r="A87" s="578"/>
      <c r="B87" s="537" t="s">
        <v>2659</v>
      </c>
      <c r="C87" s="553"/>
      <c r="D87" s="553"/>
      <c r="E87" s="553"/>
      <c r="F87" s="553"/>
      <c r="G87" s="553"/>
      <c r="H87" s="553"/>
      <c r="I87" s="553"/>
      <c r="J87" s="553"/>
      <c r="K87" s="553"/>
      <c r="L87" s="579"/>
      <c r="M87" s="580"/>
      <c r="N87" s="1149"/>
      <c r="O87" s="1149"/>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6"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2523</v>
      </c>
      <c r="B101" s="527" t="s">
        <v>2572</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2573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2574</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2576</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1966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2660</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2577</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2578</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2661</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2644</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2580</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2581</v>
      </c>
      <c r="C125" s="577" t="s">
        <v>2557</v>
      </c>
      <c r="D125" s="577" t="s">
        <v>2558</v>
      </c>
      <c r="E125" s="577" t="s">
        <v>2559</v>
      </c>
      <c r="F125" s="577" t="s">
        <v>2560</v>
      </c>
      <c r="G125" s="577" t="s">
        <v>2561</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663" t="s">
        <v>2662</v>
      </c>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IF(C2="——",ROUND(C43*D3/10000,0),ROUND(C43*D3/10000,0)-D2)</f>
        <v>#DIV/0!</v>
      </c>
      <c r="C2" s="2581"/>
      <c r="D2" s="1122" t="e">
        <f ca="1">SUMIF(INDIRECT("'"&amp;F2&amp;"'"&amp;"!A:A"),"承租人权益价值",INDIRECT("'"&amp;F2&amp;"'"&amp;"!c:c"))</f>
        <v>#REF!</v>
      </c>
      <c r="E2" s="2582" t="s">
        <v>2291</v>
      </c>
      <c r="F2" s="2583"/>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2292</v>
      </c>
      <c r="B3" s="608" t="e">
        <f ca="1">IF(C2="——",C43,ROUND(B2*10000/D3,0))</f>
        <v>#DIV/0!</v>
      </c>
      <c r="C3" s="399" t="s">
        <v>2604</v>
      </c>
      <c r="D3" s="398">
        <f>IF(D1="",'数据-汇总表'!E3,SUMIF('数据-汇总表'!$C19:$C33,D1,'数据-汇总表'!$E19:$E33))</f>
        <v>221.26</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40" t="s">
        <v>2608</v>
      </c>
      <c r="AC4" s="3239" t="s">
        <v>2609</v>
      </c>
    </row>
    <row r="5" spans="1:29" ht="15">
      <c r="A5" s="403"/>
      <c r="B5" s="404"/>
      <c r="C5" s="3262" t="s">
        <v>2502</v>
      </c>
      <c r="D5" s="3254"/>
      <c r="E5" s="3261" t="s">
        <v>2503</v>
      </c>
      <c r="F5" s="3256"/>
      <c r="G5" s="3262" t="s">
        <v>2504</v>
      </c>
      <c r="H5" s="3254"/>
      <c r="I5" s="3262" t="s">
        <v>2505</v>
      </c>
      <c r="J5" s="3254"/>
      <c r="K5" s="609"/>
      <c r="L5" s="1128"/>
      <c r="M5" s="1129"/>
      <c r="N5" s="1129"/>
      <c r="O5" s="1129"/>
      <c r="P5" s="3249"/>
      <c r="Q5" s="3250"/>
      <c r="R5" s="3235"/>
      <c r="S5" s="3236"/>
      <c r="T5" s="3235"/>
      <c r="U5" s="3236"/>
      <c r="V5" s="3232"/>
      <c r="W5" s="3232"/>
      <c r="X5" s="1811"/>
      <c r="Y5" s="3235"/>
      <c r="Z5" s="3236"/>
      <c r="AA5" s="3240"/>
      <c r="AB5" s="3240"/>
      <c r="AC5" s="3240"/>
    </row>
    <row r="6" spans="1:29" ht="15.75" thickBot="1">
      <c r="A6" s="405"/>
      <c r="B6" s="406"/>
      <c r="C6" s="3257" t="s">
        <v>2506</v>
      </c>
      <c r="D6" s="3258"/>
      <c r="E6" s="3259" t="s">
        <v>2506</v>
      </c>
      <c r="F6" s="3260"/>
      <c r="G6" s="3257" t="s">
        <v>2506</v>
      </c>
      <c r="H6" s="3258"/>
      <c r="I6" s="3257" t="s">
        <v>2506</v>
      </c>
      <c r="J6" s="3258"/>
      <c r="K6" s="609" t="s">
        <v>2507</v>
      </c>
      <c r="L6" s="1128"/>
      <c r="M6" s="1129"/>
      <c r="N6" s="1129"/>
      <c r="O6" s="1129"/>
      <c r="P6" s="3251"/>
      <c r="Q6" s="3252"/>
      <c r="R6" s="3235"/>
      <c r="S6" s="3236"/>
      <c r="T6" s="3237"/>
      <c r="U6" s="3238"/>
      <c r="V6" s="3232"/>
      <c r="W6" s="3232"/>
      <c r="X6" s="1811"/>
      <c r="Y6" s="3237"/>
      <c r="Z6" s="3238"/>
      <c r="AA6" s="3241"/>
      <c r="AB6" s="3241"/>
      <c r="AC6" s="3241"/>
    </row>
    <row r="7" spans="1:29" s="116" customFormat="1" ht="15.75" thickBot="1">
      <c r="A7" s="407" t="s">
        <v>2508</v>
      </c>
      <c r="B7" s="408"/>
      <c r="C7" s="409">
        <f>'数据-取费表'!B2</f>
        <v>43906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9" t="s">
        <v>2509</v>
      </c>
      <c r="Q7" s="3242"/>
      <c r="R7" s="769" t="s">
        <v>17</v>
      </c>
      <c r="S7" s="770">
        <f t="shared" ref="S7:S15" si="0">F7</f>
        <v>0</v>
      </c>
      <c r="T7" s="769" t="s">
        <v>17</v>
      </c>
      <c r="U7" s="770">
        <f t="shared" ref="U7:U15" si="1">H7</f>
        <v>0</v>
      </c>
      <c r="V7" s="769" t="s">
        <v>17</v>
      </c>
      <c r="W7" s="770">
        <f t="shared" ref="W7:W15" si="2">J7</f>
        <v>0</v>
      </c>
      <c r="X7" s="771"/>
      <c r="Y7" s="3229" t="s">
        <v>2509</v>
      </c>
      <c r="Z7" s="3230"/>
      <c r="AA7" s="772" t="e">
        <f>D7/F7</f>
        <v>#DIV/0!</v>
      </c>
      <c r="AB7" s="772" t="e">
        <f>D7/H7</f>
        <v>#DIV/0!</v>
      </c>
      <c r="AC7" s="772" t="e">
        <f>D7/J7</f>
        <v>#DIV/0!</v>
      </c>
    </row>
    <row r="8" spans="1:29" s="116" customFormat="1" ht="15.75" thickBot="1">
      <c r="A8" s="407" t="s">
        <v>2510</v>
      </c>
      <c r="B8" s="408"/>
      <c r="C8" s="413" t="s">
        <v>2511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9" t="s">
        <v>2512</v>
      </c>
      <c r="Q8" s="3230"/>
      <c r="R8" s="769" t="s">
        <v>17</v>
      </c>
      <c r="S8" s="770">
        <f t="shared" si="0"/>
        <v>0</v>
      </c>
      <c r="T8" s="769" t="s">
        <v>17</v>
      </c>
      <c r="U8" s="770">
        <f t="shared" si="1"/>
        <v>0</v>
      </c>
      <c r="V8" s="769" t="s">
        <v>17</v>
      </c>
      <c r="W8" s="770">
        <f t="shared" si="2"/>
        <v>0</v>
      </c>
      <c r="X8" s="771"/>
      <c r="Y8" s="3229" t="s">
        <v>2512</v>
      </c>
      <c r="Z8" s="3230"/>
      <c r="AA8" s="772" t="e">
        <f t="shared" ref="AA8:AA40" si="3">D8/F8</f>
        <v>#DIV/0!</v>
      </c>
      <c r="AB8" s="772" t="e">
        <f t="shared" ref="AB8:AB40" si="4">D8/H8</f>
        <v>#DIV/0!</v>
      </c>
      <c r="AC8" s="772" t="e">
        <f t="shared" ref="AC8:AC40" si="5">D8/J8</f>
        <v>#DIV/0!</v>
      </c>
    </row>
    <row r="9" spans="1:29" s="116" customFormat="1">
      <c r="A9" s="414" t="s">
        <v>2513</v>
      </c>
      <c r="B9" s="71" t="s">
        <v>2514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5" t="s">
        <v>2515</v>
      </c>
      <c r="Q9" s="1793" t="str">
        <f t="shared" ref="Q9:Q15" si="6">B9</f>
        <v>用途</v>
      </c>
      <c r="R9" s="769" t="s">
        <v>17</v>
      </c>
      <c r="S9" s="770">
        <f t="shared" si="0"/>
        <v>100</v>
      </c>
      <c r="T9" s="769" t="s">
        <v>17</v>
      </c>
      <c r="U9" s="770">
        <f t="shared" si="1"/>
        <v>100</v>
      </c>
      <c r="V9" s="769" t="s">
        <v>17</v>
      </c>
      <c r="W9" s="770">
        <f t="shared" si="2"/>
        <v>100</v>
      </c>
      <c r="X9" s="771"/>
      <c r="Y9" s="3063" t="s">
        <v>2516</v>
      </c>
      <c r="Z9" s="55" t="str">
        <f t="shared" ref="Z9:Z15" si="7">Q9</f>
        <v>用途</v>
      </c>
      <c r="AA9" s="772">
        <f t="shared" si="3"/>
        <v>1</v>
      </c>
      <c r="AB9" s="772">
        <f t="shared" si="4"/>
        <v>1</v>
      </c>
      <c r="AC9" s="772">
        <f t="shared" si="5"/>
        <v>1</v>
      </c>
    </row>
    <row r="10" spans="1:29" s="426" customFormat="1" ht="27">
      <c r="A10" s="420"/>
      <c r="B10" s="421" t="s">
        <v>2517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5"/>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421" t="s">
        <v>2518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5"/>
      <c r="Q11" s="1793"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5">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215"/>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5">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215"/>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215"/>
      <c r="Q14" s="1793">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57">
      <c r="A15" s="439" t="s">
        <v>2519</v>
      </c>
      <c r="B15" s="69" t="s">
        <v>2663</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2" t="s">
        <v>2520</v>
      </c>
      <c r="Q15" s="1808" t="str">
        <f t="shared" si="6"/>
        <v>产业集聚程度</v>
      </c>
      <c r="R15" s="773" t="s">
        <v>17</v>
      </c>
      <c r="S15" s="774">
        <f t="shared" si="0"/>
        <v>100</v>
      </c>
      <c r="T15" s="773" t="s">
        <v>17</v>
      </c>
      <c r="U15" s="774">
        <f t="shared" si="1"/>
        <v>100</v>
      </c>
      <c r="V15" s="773" t="s">
        <v>17</v>
      </c>
      <c r="W15" s="774">
        <f t="shared" si="2"/>
        <v>100</v>
      </c>
      <c r="X15" s="1811"/>
      <c r="Y15" s="3222" t="s">
        <v>2520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3"/>
      <c r="Q16" s="1808"/>
      <c r="R16" s="773"/>
      <c r="S16" s="774"/>
      <c r="T16" s="773"/>
      <c r="U16" s="774"/>
      <c r="V16" s="773"/>
      <c r="W16" s="774"/>
      <c r="X16" s="1811"/>
      <c r="Y16" s="3223"/>
      <c r="Z16" s="1812"/>
      <c r="AA16" s="1809">
        <v>1</v>
      </c>
      <c r="AB16" s="1809">
        <v>1</v>
      </c>
      <c r="AC16" s="1809">
        <v>1</v>
      </c>
    </row>
    <row r="17" spans="1:29" ht="85.5">
      <c r="A17" s="427"/>
      <c r="B17" s="450" t="s">
        <v>2058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8"/>
      <c r="M18" s="1129"/>
      <c r="N18" s="1129"/>
      <c r="O18" s="1137"/>
      <c r="P18" s="3223"/>
      <c r="Q18" s="1808"/>
      <c r="R18" s="773"/>
      <c r="S18" s="774"/>
      <c r="T18" s="773"/>
      <c r="U18" s="774"/>
      <c r="V18" s="773"/>
      <c r="W18" s="774"/>
      <c r="X18" s="1811"/>
      <c r="Y18" s="3223"/>
      <c r="Z18" s="1812"/>
      <c r="AA18" s="1809">
        <v>1</v>
      </c>
      <c r="AB18" s="1809">
        <v>1</v>
      </c>
      <c r="AC18" s="1809">
        <v>1</v>
      </c>
    </row>
    <row r="19" spans="1:29" ht="42.75">
      <c r="A19" s="427"/>
      <c r="B19" s="450" t="s">
        <v>2648</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3"/>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8"/>
      <c r="M20" s="1129"/>
      <c r="N20" s="1129"/>
      <c r="O20" s="1137"/>
      <c r="P20" s="3223"/>
      <c r="Q20" s="1808"/>
      <c r="R20" s="773"/>
      <c r="S20" s="774"/>
      <c r="T20" s="773"/>
      <c r="U20" s="774"/>
      <c r="V20" s="773"/>
      <c r="W20" s="774"/>
      <c r="X20" s="1811"/>
      <c r="Y20" s="3223"/>
      <c r="Z20" s="1812"/>
      <c r="AA20" s="1809">
        <v>1</v>
      </c>
      <c r="AB20" s="1809">
        <v>1</v>
      </c>
      <c r="AC20" s="1809">
        <v>1</v>
      </c>
    </row>
    <row r="21" spans="1:29" ht="28.5">
      <c r="A21" s="427"/>
      <c r="B21" s="1382" t="s">
        <v>2649</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3"/>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2"/>
      <c r="C22" s="2603"/>
      <c r="D22" s="447"/>
      <c r="E22" s="446"/>
      <c r="F22" s="448"/>
      <c r="G22" s="446"/>
      <c r="H22" s="447"/>
      <c r="I22" s="446"/>
      <c r="J22" s="447"/>
      <c r="K22" s="1381"/>
      <c r="L22" s="1138"/>
      <c r="M22" s="1129"/>
      <c r="N22" s="1129"/>
      <c r="O22" s="1137"/>
      <c r="P22" s="3223"/>
      <c r="Q22" s="1808"/>
      <c r="R22" s="773"/>
      <c r="S22" s="774"/>
      <c r="T22" s="773"/>
      <c r="U22" s="774"/>
      <c r="V22" s="773"/>
      <c r="W22" s="774"/>
      <c r="X22" s="1811"/>
      <c r="Y22" s="3223"/>
      <c r="Z22" s="1812"/>
      <c r="AA22" s="1809">
        <v>1</v>
      </c>
      <c r="AB22" s="1809">
        <v>1</v>
      </c>
      <c r="AC22" s="1809">
        <v>1</v>
      </c>
    </row>
    <row r="23" spans="1:29" ht="71.25">
      <c r="A23" s="427"/>
      <c r="B23" s="450" t="s">
        <v>2650</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3"/>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1809">
        <f t="shared" si="5"/>
        <v>1</v>
      </c>
    </row>
    <row r="24" spans="1:29" ht="15">
      <c r="A24" s="427"/>
      <c r="B24" s="1382"/>
      <c r="C24" s="446"/>
      <c r="D24" s="447"/>
      <c r="E24" s="2600"/>
      <c r="F24" s="448"/>
      <c r="G24" s="2599"/>
      <c r="H24" s="447"/>
      <c r="I24" s="2600"/>
      <c r="J24" s="447"/>
      <c r="K24" s="614"/>
      <c r="L24" s="1138"/>
      <c r="M24" s="1129"/>
      <c r="N24" s="1129"/>
      <c r="O24" s="1137"/>
      <c r="P24" s="3223"/>
      <c r="Q24" s="1808"/>
      <c r="R24" s="773"/>
      <c r="S24" s="774"/>
      <c r="T24" s="773"/>
      <c r="U24" s="774"/>
      <c r="V24" s="773"/>
      <c r="W24" s="774"/>
      <c r="X24" s="1811"/>
      <c r="Y24" s="322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3"/>
      <c r="Q25" s="1808">
        <f>B25</f>
        <v>111</v>
      </c>
      <c r="R25" s="773" t="s">
        <v>17</v>
      </c>
      <c r="S25" s="774">
        <f>F25</f>
        <v>100</v>
      </c>
      <c r="T25" s="773" t="s">
        <v>17</v>
      </c>
      <c r="U25" s="774">
        <f>H25</f>
        <v>100</v>
      </c>
      <c r="V25" s="773" t="s">
        <v>17</v>
      </c>
      <c r="W25" s="774">
        <f>J25</f>
        <v>100</v>
      </c>
      <c r="X25" s="1811"/>
      <c r="Y25" s="322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3"/>
      <c r="Q26" s="1808">
        <f t="shared" ref="Q26:Q40" si="11">B26</f>
        <v>111</v>
      </c>
      <c r="R26" s="773" t="s">
        <v>17</v>
      </c>
      <c r="S26" s="774">
        <f>F26</f>
        <v>100</v>
      </c>
      <c r="T26" s="773" t="s">
        <v>17</v>
      </c>
      <c r="U26" s="774">
        <f>H26</f>
        <v>100</v>
      </c>
      <c r="V26" s="773" t="s">
        <v>17</v>
      </c>
      <c r="W26" s="774">
        <f>J26</f>
        <v>100</v>
      </c>
      <c r="X26" s="1811"/>
      <c r="Y26" s="3223"/>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3"/>
      <c r="Q27" s="1793">
        <f t="shared" si="11"/>
        <v>111</v>
      </c>
      <c r="R27" s="769" t="s">
        <v>17</v>
      </c>
      <c r="S27" s="770">
        <f>F27</f>
        <v>100</v>
      </c>
      <c r="T27" s="769" t="s">
        <v>17</v>
      </c>
      <c r="U27" s="770">
        <f>H27</f>
        <v>100</v>
      </c>
      <c r="V27" s="769" t="s">
        <v>17</v>
      </c>
      <c r="W27" s="770">
        <f>J27</f>
        <v>100</v>
      </c>
      <c r="X27" s="771"/>
      <c r="Y27" s="3223"/>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3"/>
      <c r="Q28" s="1808">
        <f t="shared" si="11"/>
        <v>111</v>
      </c>
      <c r="R28" s="773" t="s">
        <v>17</v>
      </c>
      <c r="S28" s="774">
        <f t="shared" ref="S28:S40" si="12">F28</f>
        <v>100</v>
      </c>
      <c r="T28" s="773" t="s">
        <v>17</v>
      </c>
      <c r="U28" s="774">
        <f t="shared" ref="U28:U40" si="13">H28</f>
        <v>100</v>
      </c>
      <c r="V28" s="773" t="s">
        <v>17</v>
      </c>
      <c r="W28" s="774">
        <f t="shared" ref="W28:W40" si="14">J28</f>
        <v>100</v>
      </c>
      <c r="X28" s="1811"/>
      <c r="Y28" s="3223"/>
      <c r="Z28" s="1812">
        <f t="shared" ref="Z28:Z40" si="15">Q28</f>
        <v>111</v>
      </c>
      <c r="AA28" s="1809">
        <f t="shared" si="3"/>
        <v>1</v>
      </c>
      <c r="AB28" s="1809">
        <f t="shared" si="4"/>
        <v>1</v>
      </c>
      <c r="AC28" s="1809">
        <f t="shared" si="5"/>
        <v>1</v>
      </c>
    </row>
    <row r="29" spans="1:29" ht="28.5">
      <c r="A29" s="465" t="s">
        <v>2523</v>
      </c>
      <c r="B29" s="71" t="s">
        <v>2653</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78" t="s">
        <v>2525</v>
      </c>
      <c r="Q29" s="1808" t="str">
        <f t="shared" si="11"/>
        <v>建筑类型</v>
      </c>
      <c r="R29" s="773" t="s">
        <v>17</v>
      </c>
      <c r="S29" s="774">
        <f t="shared" si="12"/>
        <v>100</v>
      </c>
      <c r="T29" s="773" t="s">
        <v>17</v>
      </c>
      <c r="U29" s="774">
        <f t="shared" si="13"/>
        <v>100</v>
      </c>
      <c r="V29" s="773" t="s">
        <v>17</v>
      </c>
      <c r="W29" s="774">
        <f t="shared" si="14"/>
        <v>100</v>
      </c>
      <c r="X29" s="1811"/>
      <c r="Y29" s="3227" t="s">
        <v>2525</v>
      </c>
      <c r="Z29" s="1812" t="str">
        <f t="shared" si="15"/>
        <v>建筑类型</v>
      </c>
      <c r="AA29" s="1809">
        <f t="shared" si="3"/>
        <v>1</v>
      </c>
      <c r="AB29" s="1809">
        <f t="shared" si="4"/>
        <v>1</v>
      </c>
      <c r="AC29" s="1809">
        <f t="shared" si="5"/>
        <v>1</v>
      </c>
    </row>
    <row r="30" spans="1:29" s="470" customFormat="1" ht="15">
      <c r="A30" s="467"/>
      <c r="B30" s="421" t="s">
        <v>2526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09" t="e">
        <f t="shared" si="3"/>
        <v>#N/A</v>
      </c>
      <c r="AB30" s="1809" t="e">
        <f t="shared" si="4"/>
        <v>#N/A</v>
      </c>
      <c r="AC30" s="1809" t="e">
        <f t="shared" si="5"/>
        <v>#N/A</v>
      </c>
    </row>
    <row r="31" spans="1:29" ht="15">
      <c r="A31" s="471"/>
      <c r="B31" s="421" t="s">
        <v>2527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7"/>
      <c r="Q31" s="1808" t="str">
        <f t="shared" si="11"/>
        <v>建筑结构</v>
      </c>
      <c r="R31" s="773" t="s">
        <v>17</v>
      </c>
      <c r="S31" s="774">
        <f t="shared" si="12"/>
        <v>100</v>
      </c>
      <c r="T31" s="773" t="s">
        <v>17</v>
      </c>
      <c r="U31" s="774">
        <f t="shared" si="13"/>
        <v>100</v>
      </c>
      <c r="V31" s="773" t="s">
        <v>17</v>
      </c>
      <c r="W31" s="774">
        <f t="shared" si="14"/>
        <v>100</v>
      </c>
      <c r="X31" s="1811"/>
      <c r="Y31" s="3227"/>
      <c r="Z31" s="1812" t="str">
        <f t="shared" si="15"/>
        <v>建筑结构</v>
      </c>
      <c r="AA31" s="1809">
        <f t="shared" si="3"/>
        <v>1</v>
      </c>
      <c r="AB31" s="1809">
        <f t="shared" si="4"/>
        <v>1</v>
      </c>
      <c r="AC31" s="1809">
        <f t="shared" si="5"/>
        <v>1</v>
      </c>
    </row>
    <row r="32" spans="1:29" ht="15">
      <c r="A32" s="471"/>
      <c r="B32" s="421" t="s">
        <v>2621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7"/>
      <c r="Q32" s="1808" t="str">
        <f t="shared" si="11"/>
        <v>公共部分装修</v>
      </c>
      <c r="R32" s="773" t="s">
        <v>17</v>
      </c>
      <c r="S32" s="774">
        <f t="shared" si="12"/>
        <v>100</v>
      </c>
      <c r="T32" s="773" t="s">
        <v>17</v>
      </c>
      <c r="U32" s="774">
        <f t="shared" si="13"/>
        <v>100</v>
      </c>
      <c r="V32" s="773" t="s">
        <v>17</v>
      </c>
      <c r="W32" s="774">
        <f t="shared" si="14"/>
        <v>100</v>
      </c>
      <c r="X32" s="1811"/>
      <c r="Y32" s="3227"/>
      <c r="Z32" s="1812" t="str">
        <f t="shared" si="15"/>
        <v>公共部分装修</v>
      </c>
      <c r="AA32" s="1809">
        <f t="shared" si="3"/>
        <v>1</v>
      </c>
      <c r="AB32" s="1809">
        <f t="shared" si="4"/>
        <v>1</v>
      </c>
      <c r="AC32" s="1809">
        <f t="shared" si="5"/>
        <v>1</v>
      </c>
    </row>
    <row r="33" spans="1:29" ht="15">
      <c r="A33" s="471"/>
      <c r="B33" s="421" t="s">
        <v>2622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7"/>
      <c r="Q33" s="1808" t="str">
        <f t="shared" si="11"/>
        <v>成新度</v>
      </c>
      <c r="R33" s="773" t="s">
        <v>17</v>
      </c>
      <c r="S33" s="774" t="e">
        <f t="shared" si="12"/>
        <v>#N/A</v>
      </c>
      <c r="T33" s="773" t="s">
        <v>17</v>
      </c>
      <c r="U33" s="774" t="e">
        <f t="shared" si="13"/>
        <v>#N/A</v>
      </c>
      <c r="V33" s="773" t="s">
        <v>17</v>
      </c>
      <c r="W33" s="774" t="e">
        <f t="shared" si="14"/>
        <v>#N/A</v>
      </c>
      <c r="X33" s="1811"/>
      <c r="Y33" s="3227"/>
      <c r="Z33" s="1812" t="str">
        <f t="shared" si="15"/>
        <v>成新度</v>
      </c>
      <c r="AA33" s="1809" t="e">
        <f t="shared" si="3"/>
        <v>#N/A</v>
      </c>
      <c r="AB33" s="1809" t="e">
        <f t="shared" si="4"/>
        <v>#N/A</v>
      </c>
      <c r="AC33" s="1809" t="e">
        <f t="shared" si="5"/>
        <v>#N/A</v>
      </c>
    </row>
    <row r="34" spans="1:29" s="116" customFormat="1" ht="15">
      <c r="A34" s="472"/>
      <c r="B34" s="421" t="s">
        <v>2655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7"/>
      <c r="Q34" s="1793" t="str">
        <f t="shared" si="11"/>
        <v>物业管理</v>
      </c>
      <c r="R34" s="769" t="s">
        <v>17</v>
      </c>
      <c r="S34" s="770">
        <f t="shared" si="12"/>
        <v>100</v>
      </c>
      <c r="T34" s="769" t="s">
        <v>17</v>
      </c>
      <c r="U34" s="770">
        <f t="shared" si="13"/>
        <v>100</v>
      </c>
      <c r="V34" s="769" t="s">
        <v>17</v>
      </c>
      <c r="W34" s="770">
        <f t="shared" si="14"/>
        <v>100</v>
      </c>
      <c r="X34" s="771"/>
      <c r="Y34" s="3227"/>
      <c r="Z34" s="55" t="str">
        <f t="shared" si="15"/>
        <v>物业管理</v>
      </c>
      <c r="AA34" s="772">
        <f t="shared" si="3"/>
        <v>1</v>
      </c>
      <c r="AB34" s="772">
        <f t="shared" si="4"/>
        <v>1</v>
      </c>
      <c r="AC34" s="772">
        <f t="shared" si="5"/>
        <v>1</v>
      </c>
    </row>
    <row r="35" spans="1:29" ht="15">
      <c r="A35" s="471"/>
      <c r="B35" s="421" t="s">
        <v>2623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7" t="s">
        <v>2525</v>
      </c>
      <c r="Q35" s="1808" t="str">
        <f t="shared" si="11"/>
        <v>市政基础设施</v>
      </c>
      <c r="R35" s="773" t="s">
        <v>17</v>
      </c>
      <c r="S35" s="774">
        <f t="shared" si="12"/>
        <v>100</v>
      </c>
      <c r="T35" s="773" t="s">
        <v>17</v>
      </c>
      <c r="U35" s="774">
        <f t="shared" si="13"/>
        <v>100</v>
      </c>
      <c r="V35" s="773" t="s">
        <v>17</v>
      </c>
      <c r="W35" s="774">
        <f t="shared" si="14"/>
        <v>100</v>
      </c>
      <c r="X35" s="1811"/>
      <c r="Y35" s="3227" t="s">
        <v>2525</v>
      </c>
      <c r="Z35" s="1812" t="str">
        <f t="shared" si="15"/>
        <v>市政基础设施</v>
      </c>
      <c r="AA35" s="1809">
        <f t="shared" si="3"/>
        <v>1</v>
      </c>
      <c r="AB35" s="1809">
        <f t="shared" si="4"/>
        <v>1</v>
      </c>
      <c r="AC35" s="1809">
        <f t="shared" si="5"/>
        <v>1</v>
      </c>
    </row>
    <row r="36" spans="1:29" ht="15">
      <c r="A36" s="471"/>
      <c r="B36" s="421" t="s">
        <v>2628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7"/>
      <c r="Q36" s="1808" t="str">
        <f t="shared" si="11"/>
        <v>内部装修</v>
      </c>
      <c r="R36" s="773" t="s">
        <v>17</v>
      </c>
      <c r="S36" s="774">
        <f t="shared" si="12"/>
        <v>100</v>
      </c>
      <c r="T36" s="773" t="s">
        <v>17</v>
      </c>
      <c r="U36" s="774">
        <f t="shared" si="13"/>
        <v>100</v>
      </c>
      <c r="V36" s="773" t="s">
        <v>17</v>
      </c>
      <c r="W36" s="774">
        <f t="shared" si="14"/>
        <v>100</v>
      </c>
      <c r="X36" s="1811"/>
      <c r="Y36" s="3227"/>
      <c r="Z36" s="1812" t="str">
        <f t="shared" si="15"/>
        <v>内部装修</v>
      </c>
      <c r="AA36" s="1809">
        <f t="shared" si="3"/>
        <v>1</v>
      </c>
      <c r="AB36" s="1809">
        <f t="shared" si="4"/>
        <v>1</v>
      </c>
      <c r="AC36" s="1809">
        <f t="shared" si="5"/>
        <v>1</v>
      </c>
    </row>
    <row r="37" spans="1:29" ht="15">
      <c r="A37" s="471"/>
      <c r="B37" s="421" t="s">
        <v>2664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7"/>
      <c r="Q37" s="1808" t="str">
        <f t="shared" si="11"/>
        <v>内部装修状况</v>
      </c>
      <c r="R37" s="773" t="s">
        <v>17</v>
      </c>
      <c r="S37" s="774">
        <f t="shared" si="12"/>
        <v>100</v>
      </c>
      <c r="T37" s="773" t="s">
        <v>17</v>
      </c>
      <c r="U37" s="774">
        <f t="shared" si="13"/>
        <v>100</v>
      </c>
      <c r="V37" s="773" t="s">
        <v>17</v>
      </c>
      <c r="W37" s="774">
        <f t="shared" si="14"/>
        <v>100</v>
      </c>
      <c r="X37" s="1811"/>
      <c r="Y37" s="322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7"/>
      <c r="Q39" s="1808">
        <f t="shared" si="11"/>
        <v>111</v>
      </c>
      <c r="R39" s="773" t="s">
        <v>17</v>
      </c>
      <c r="S39" s="774">
        <f t="shared" si="12"/>
        <v>100</v>
      </c>
      <c r="T39" s="773" t="s">
        <v>17</v>
      </c>
      <c r="U39" s="774">
        <f t="shared" si="13"/>
        <v>100</v>
      </c>
      <c r="V39" s="773" t="s">
        <v>17</v>
      </c>
      <c r="W39" s="774">
        <f t="shared" si="14"/>
        <v>100</v>
      </c>
      <c r="X39" s="1811"/>
      <c r="Y39" s="3227"/>
      <c r="Z39" s="1812">
        <f t="shared" si="15"/>
        <v>111</v>
      </c>
      <c r="AA39" s="1809">
        <f t="shared" si="3"/>
        <v>1</v>
      </c>
      <c r="AB39" s="1809">
        <f t="shared" si="4"/>
        <v>1</v>
      </c>
      <c r="AC39" s="1809">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8"/>
      <c r="Q40" s="1808">
        <f t="shared" si="11"/>
        <v>111</v>
      </c>
      <c r="R40" s="773" t="s">
        <v>17</v>
      </c>
      <c r="S40" s="774">
        <f t="shared" si="12"/>
        <v>100</v>
      </c>
      <c r="T40" s="773" t="s">
        <v>17</v>
      </c>
      <c r="U40" s="774">
        <f t="shared" si="13"/>
        <v>100</v>
      </c>
      <c r="V40" s="773" t="s">
        <v>17</v>
      </c>
      <c r="W40" s="774">
        <f t="shared" si="14"/>
        <v>100</v>
      </c>
      <c r="X40" s="1811"/>
      <c r="Y40" s="3228"/>
      <c r="Z40" s="1812">
        <f t="shared" si="15"/>
        <v>111</v>
      </c>
      <c r="AA40" s="1809">
        <f t="shared" si="3"/>
        <v>1</v>
      </c>
      <c r="AB40" s="1809">
        <f t="shared" si="4"/>
        <v>1</v>
      </c>
      <c r="AC40" s="1809">
        <f t="shared" si="5"/>
        <v>1</v>
      </c>
    </row>
    <row r="41" spans="1:29" ht="15">
      <c r="A41" s="478" t="s">
        <v>2537</v>
      </c>
      <c r="B41" s="479"/>
      <c r="C41" s="1405" t="s">
        <v>1</v>
      </c>
      <c r="D41" s="1406"/>
      <c r="E41" s="1407"/>
      <c r="F41" s="1408"/>
      <c r="G41" s="1409"/>
      <c r="H41" s="1410"/>
      <c r="I41" s="1407"/>
      <c r="J41" s="1410"/>
      <c r="K41" s="782"/>
      <c r="L41" s="1141"/>
      <c r="M41" s="1142"/>
      <c r="N41" s="1129"/>
      <c r="O41" s="1142"/>
      <c r="P41" s="3215" t="str">
        <f>A41</f>
        <v>成交单价（元/平方米）</v>
      </c>
      <c r="Q41" s="3215"/>
      <c r="R41" s="3216">
        <f>E41</f>
        <v>0</v>
      </c>
      <c r="S41" s="3216"/>
      <c r="T41" s="3216">
        <f>G41</f>
        <v>0</v>
      </c>
      <c r="U41" s="3216"/>
      <c r="V41" s="3216">
        <f>I41</f>
        <v>0</v>
      </c>
      <c r="W41" s="3216"/>
      <c r="X41" s="758"/>
      <c r="Y41" s="780"/>
      <c r="Z41" s="758"/>
      <c r="AA41" s="758"/>
      <c r="AB41" s="758"/>
      <c r="AC41" s="758"/>
    </row>
    <row r="42" spans="1:29" ht="15.75" thickBot="1">
      <c r="A42" s="485" t="s">
        <v>2629</v>
      </c>
      <c r="B42" s="486"/>
      <c r="C42" s="1411" t="e">
        <f>R43</f>
        <v>#DIV/0!</v>
      </c>
      <c r="D42" s="1412"/>
      <c r="E42" s="1413" t="e">
        <f>R42</f>
        <v>#DIV/0!</v>
      </c>
      <c r="F42" s="1413"/>
      <c r="G42" s="1411" t="e">
        <f>T42</f>
        <v>#DIV/0!</v>
      </c>
      <c r="H42" s="1412"/>
      <c r="I42" s="1413" t="e">
        <f>V42</f>
        <v>#DIV/0!</v>
      </c>
      <c r="J42" s="1412"/>
      <c r="K42" s="783"/>
      <c r="L42" s="1141"/>
      <c r="M42" s="1142"/>
      <c r="N42" s="1129"/>
      <c r="O42" s="1142"/>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1" t="s">
        <v>2630</v>
      </c>
      <c r="B43" s="492"/>
      <c r="C43" s="1415" t="e">
        <f>R43</f>
        <v>#DIV/0!</v>
      </c>
      <c r="D43" s="1415"/>
      <c r="E43" s="1415"/>
      <c r="F43" s="1415"/>
      <c r="G43" s="1415"/>
      <c r="H43" s="1415"/>
      <c r="I43" s="1415"/>
      <c r="J43" s="1415"/>
      <c r="K43" s="784"/>
      <c r="L43" s="1141"/>
      <c r="M43" s="1142"/>
      <c r="N43" s="1142"/>
      <c r="O43" s="1142"/>
      <c r="P43" s="3217" t="str">
        <f>A43</f>
        <v>估价对象XX用房的比较价值（楼面单价，元/平方米）</v>
      </c>
      <c r="Q43" s="3218"/>
      <c r="R43" s="3219" t="e">
        <f>IF(F1="售价",ROUND(AVERAGE(R42:V42),0),ROUND(AVERAGE(R42:V42),1))</f>
        <v>#DIV/0!</v>
      </c>
      <c r="S43" s="3219"/>
      <c r="T43" s="3219"/>
      <c r="U43" s="3219"/>
      <c r="V43" s="3219"/>
      <c r="W43" s="321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2631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2632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2633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2634</v>
      </c>
      <c r="B51" s="758"/>
      <c r="C51" s="763"/>
      <c r="D51" s="763"/>
      <c r="E51" s="763"/>
      <c r="F51" s="764"/>
      <c r="G51" s="764"/>
      <c r="H51" s="763"/>
      <c r="I51" s="763"/>
      <c r="J51" s="763"/>
      <c r="K51" s="1158"/>
      <c r="L51" s="1159"/>
      <c r="M51" s="1157"/>
      <c r="N51" s="1157"/>
      <c r="O51" s="1157"/>
      <c r="P51" s="502"/>
      <c r="Q51" s="503"/>
    </row>
    <row r="52" spans="1:17" s="507" customFormat="1" ht="15">
      <c r="A52" s="504" t="s">
        <v>2508</v>
      </c>
      <c r="B52" s="505"/>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2545</v>
      </c>
      <c r="B54" s="515"/>
      <c r="C54" s="516"/>
      <c r="D54" s="517"/>
      <c r="E54" s="517"/>
      <c r="F54" s="517"/>
      <c r="G54" s="517"/>
      <c r="H54" s="517"/>
      <c r="I54" s="517"/>
      <c r="J54" s="517"/>
      <c r="K54" s="517"/>
      <c r="L54" s="517"/>
      <c r="M54" s="518"/>
      <c r="N54" s="517"/>
      <c r="O54" s="519"/>
      <c r="P54" s="503"/>
      <c r="Q54" s="503"/>
    </row>
    <row r="55" spans="1:17" s="116" customFormat="1" ht="15">
      <c r="A55" s="520" t="s">
        <v>2510</v>
      </c>
      <c r="B55" s="509"/>
      <c r="C55" s="521" t="s">
        <v>2612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2548</v>
      </c>
      <c r="B57" s="527" t="s">
        <v>2514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2517</v>
      </c>
      <c r="C59" s="538" t="s">
        <v>2549</v>
      </c>
      <c r="D59" s="538" t="s">
        <v>2550</v>
      </c>
      <c r="E59" s="538" t="s">
        <v>2551</v>
      </c>
      <c r="F59" s="538" t="s">
        <v>2552</v>
      </c>
      <c r="G59" s="538" t="s">
        <v>2553</v>
      </c>
      <c r="H59" s="538" t="s">
        <v>2554</v>
      </c>
      <c r="I59" s="538" t="s">
        <v>2555</v>
      </c>
      <c r="J59" s="538"/>
      <c r="K59" s="539"/>
      <c r="L59" s="540"/>
      <c r="M59" s="541"/>
      <c r="N59" s="1150"/>
      <c r="O59" s="1150"/>
      <c r="P59" s="45"/>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2518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2519</v>
      </c>
      <c r="B70" s="527" t="s">
        <v>2665</v>
      </c>
      <c r="C70" s="572" t="s">
        <v>2557</v>
      </c>
      <c r="D70" s="572" t="s">
        <v>2558</v>
      </c>
      <c r="E70" s="572" t="s">
        <v>2559</v>
      </c>
      <c r="F70" s="572" t="s">
        <v>2560</v>
      </c>
      <c r="G70" s="572" t="s">
        <v>2561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2562</v>
      </c>
      <c r="C72" s="577" t="s">
        <v>2557</v>
      </c>
      <c r="D72" s="577" t="s">
        <v>2558</v>
      </c>
      <c r="E72" s="577" t="s">
        <v>2559</v>
      </c>
      <c r="F72" s="577" t="s">
        <v>2560</v>
      </c>
      <c r="G72" s="577" t="s">
        <v>2561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2563</v>
      </c>
      <c r="C74" s="577" t="s">
        <v>2557</v>
      </c>
      <c r="D74" s="577" t="s">
        <v>2558</v>
      </c>
      <c r="E74" s="577" t="s">
        <v>2559</v>
      </c>
      <c r="F74" s="577" t="s">
        <v>2560</v>
      </c>
      <c r="G74" s="577" t="s">
        <v>2561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2649</v>
      </c>
      <c r="C76" s="659" t="s">
        <v>2635</v>
      </c>
      <c r="D76" s="659" t="s">
        <v>2636</v>
      </c>
      <c r="E76" s="659" t="s">
        <v>2637</v>
      </c>
      <c r="F76" s="659" t="s">
        <v>2638</v>
      </c>
      <c r="G76" s="659" t="s">
        <v>2639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2658</v>
      </c>
      <c r="C78" s="577" t="s">
        <v>2557</v>
      </c>
      <c r="D78" s="577" t="s">
        <v>2558</v>
      </c>
      <c r="E78" s="577" t="s">
        <v>2559</v>
      </c>
      <c r="F78" s="577" t="s">
        <v>2560</v>
      </c>
      <c r="G78" s="577" t="s">
        <v>2561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2523</v>
      </c>
      <c r="B88" s="527" t="s">
        <v>2572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2573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2574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2576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1966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2577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2578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2580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2666</v>
      </c>
      <c r="C106" s="577" t="s">
        <v>2557</v>
      </c>
      <c r="D106" s="577" t="s">
        <v>2558</v>
      </c>
      <c r="E106" s="577" t="s">
        <v>2559</v>
      </c>
      <c r="F106" s="577" t="s">
        <v>2560</v>
      </c>
      <c r="G106" s="577" t="s">
        <v>2561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2667</v>
      </c>
      <c r="B1" s="1617"/>
      <c r="C1" s="1618" t="s">
        <v>2490</v>
      </c>
      <c r="D1" s="1619"/>
      <c r="E1" s="1620"/>
      <c r="F1" s="2579"/>
      <c r="G1" s="1621" t="s">
        <v>2603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2290</v>
      </c>
      <c r="B2" s="1416" t="e">
        <f ca="1">IF(C2="——",IF(B37="元/平方米",ROUND(C39*D3/10000,0),ROUND(F3*C39/10000,0)),IF(B37="元/平方米",ROUND(C39*D3/10000,0),ROUND(F3*C39/10000,0))-D2)</f>
        <v>#DIV/0!</v>
      </c>
      <c r="C2" s="2581"/>
      <c r="D2" s="1122" t="e">
        <f ca="1">SUMIF(INDIRECT("'"&amp;F2&amp;"'"&amp;"!A:A"),"承租人权益价值",INDIRECT("'"&amp;F2&amp;"'"&amp;"!c:c"))</f>
        <v>#REF!</v>
      </c>
      <c r="E2" s="2582" t="s">
        <v>2291</v>
      </c>
      <c r="F2" s="2583"/>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2292</v>
      </c>
      <c r="B3" s="608" t="e">
        <f ca="1">IF(AND(C2="——",B37="元/平方米"),C39,ROUND(B2*10000/D3,0))</f>
        <v>#DIV/0!</v>
      </c>
      <c r="C3" s="399" t="s">
        <v>2604</v>
      </c>
      <c r="D3" s="398">
        <f>SUMIF('数据-汇总表'!$C19:$C33,D1,'数据-汇总表'!$E19:$E33)</f>
        <v>0</v>
      </c>
      <c r="E3" s="399" t="s">
        <v>2668</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40" t="s">
        <v>2608</v>
      </c>
      <c r="AC4" s="3239" t="s">
        <v>2609</v>
      </c>
    </row>
    <row r="5" spans="1:29" ht="15">
      <c r="A5" s="403"/>
      <c r="B5" s="404"/>
      <c r="C5" s="3262" t="s">
        <v>2502</v>
      </c>
      <c r="D5" s="3254"/>
      <c r="E5" s="3261" t="s">
        <v>2503</v>
      </c>
      <c r="F5" s="3256"/>
      <c r="G5" s="3262" t="s">
        <v>2504</v>
      </c>
      <c r="H5" s="3254"/>
      <c r="I5" s="3262" t="s">
        <v>2505</v>
      </c>
      <c r="J5" s="3254"/>
      <c r="K5" s="609"/>
      <c r="L5" s="1128"/>
      <c r="M5" s="1129"/>
      <c r="N5" s="1129"/>
      <c r="O5" s="1129"/>
      <c r="P5" s="3249"/>
      <c r="Q5" s="3250"/>
      <c r="R5" s="3235"/>
      <c r="S5" s="3236"/>
      <c r="T5" s="3235"/>
      <c r="U5" s="3236"/>
      <c r="V5" s="3232"/>
      <c r="W5" s="3232"/>
      <c r="X5" s="1811"/>
      <c r="Y5" s="3235"/>
      <c r="Z5" s="3236"/>
      <c r="AA5" s="3240"/>
      <c r="AB5" s="3240"/>
      <c r="AC5" s="3240"/>
    </row>
    <row r="6" spans="1:29" ht="15.75" thickBot="1">
      <c r="A6" s="405"/>
      <c r="B6" s="406"/>
      <c r="C6" s="3257" t="s">
        <v>2506</v>
      </c>
      <c r="D6" s="3258"/>
      <c r="E6" s="3259" t="s">
        <v>2506</v>
      </c>
      <c r="F6" s="3260"/>
      <c r="G6" s="3257" t="s">
        <v>2506</v>
      </c>
      <c r="H6" s="3258"/>
      <c r="I6" s="3257" t="s">
        <v>2506</v>
      </c>
      <c r="J6" s="3258"/>
      <c r="K6" s="609" t="s">
        <v>2507</v>
      </c>
      <c r="L6" s="1128"/>
      <c r="M6" s="1129"/>
      <c r="N6" s="1129"/>
      <c r="O6" s="1129"/>
      <c r="P6" s="3251"/>
      <c r="Q6" s="3252"/>
      <c r="R6" s="3235"/>
      <c r="S6" s="3236"/>
      <c r="T6" s="3237"/>
      <c r="U6" s="3238"/>
      <c r="V6" s="3232"/>
      <c r="W6" s="3232"/>
      <c r="X6" s="1811"/>
      <c r="Y6" s="3237"/>
      <c r="Z6" s="3238"/>
      <c r="AA6" s="3241"/>
      <c r="AB6" s="3241"/>
      <c r="AC6" s="3241"/>
    </row>
    <row r="7" spans="1:29" s="116" customFormat="1" ht="15.75" thickBot="1">
      <c r="A7" s="407" t="s">
        <v>2508</v>
      </c>
      <c r="B7" s="408"/>
      <c r="C7" s="409">
        <f>'数据-取费表'!B2</f>
        <v>43906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9" t="s">
        <v>2509</v>
      </c>
      <c r="Q7" s="3242"/>
      <c r="R7" s="769" t="s">
        <v>17</v>
      </c>
      <c r="S7" s="770">
        <f t="shared" ref="S7:S14" si="0">F7</f>
        <v>0</v>
      </c>
      <c r="T7" s="769" t="s">
        <v>17</v>
      </c>
      <c r="U7" s="770">
        <f t="shared" ref="U7:U14" si="1">H7</f>
        <v>0</v>
      </c>
      <c r="V7" s="769" t="s">
        <v>17</v>
      </c>
      <c r="W7" s="770">
        <f t="shared" ref="W7:W14" si="2">J7</f>
        <v>0</v>
      </c>
      <c r="X7" s="771"/>
      <c r="Y7" s="3229" t="s">
        <v>2509</v>
      </c>
      <c r="Z7" s="3230"/>
      <c r="AA7" s="772" t="e">
        <f>D7/F7</f>
        <v>#DIV/0!</v>
      </c>
      <c r="AB7" s="772" t="e">
        <f>D7/H7</f>
        <v>#DIV/0!</v>
      </c>
      <c r="AC7" s="772" t="e">
        <f>D7/J7</f>
        <v>#DIV/0!</v>
      </c>
    </row>
    <row r="8" spans="1:29" s="116" customFormat="1" ht="15.75" thickBot="1">
      <c r="A8" s="407" t="s">
        <v>2510</v>
      </c>
      <c r="B8" s="408"/>
      <c r="C8" s="413" t="s">
        <v>2612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9" t="s">
        <v>2512</v>
      </c>
      <c r="Q8" s="3230"/>
      <c r="R8" s="769" t="s">
        <v>17</v>
      </c>
      <c r="S8" s="770">
        <f t="shared" si="0"/>
        <v>0</v>
      </c>
      <c r="T8" s="769" t="s">
        <v>17</v>
      </c>
      <c r="U8" s="770">
        <f t="shared" si="1"/>
        <v>0</v>
      </c>
      <c r="V8" s="769" t="s">
        <v>17</v>
      </c>
      <c r="W8" s="770">
        <f t="shared" si="2"/>
        <v>0</v>
      </c>
      <c r="X8" s="771"/>
      <c r="Y8" s="3229" t="s">
        <v>2512</v>
      </c>
      <c r="Z8" s="3230"/>
      <c r="AA8" s="772" t="e">
        <f t="shared" ref="AA8:AA36" si="3">D8/F8</f>
        <v>#DIV/0!</v>
      </c>
      <c r="AB8" s="772" t="e">
        <f t="shared" ref="AB8:AB36" si="4">D8/H8</f>
        <v>#DIV/0!</v>
      </c>
      <c r="AC8" s="772" t="e">
        <f t="shared" ref="AC8:AC36" si="5">D8/J8</f>
        <v>#DIV/0!</v>
      </c>
    </row>
    <row r="9" spans="1:29" s="116" customFormat="1">
      <c r="A9" s="68" t="s">
        <v>2513</v>
      </c>
      <c r="B9" s="639" t="s">
        <v>2514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5" t="s">
        <v>2515</v>
      </c>
      <c r="Q9" s="1793" t="str">
        <f t="shared" ref="Q9:Q14" si="6">B9</f>
        <v>用途</v>
      </c>
      <c r="R9" s="769" t="s">
        <v>17</v>
      </c>
      <c r="S9" s="770">
        <f t="shared" si="0"/>
        <v>100</v>
      </c>
      <c r="T9" s="769" t="s">
        <v>17</v>
      </c>
      <c r="U9" s="770">
        <f t="shared" si="1"/>
        <v>100</v>
      </c>
      <c r="V9" s="769" t="s">
        <v>17</v>
      </c>
      <c r="W9" s="770">
        <f t="shared" si="2"/>
        <v>100</v>
      </c>
      <c r="X9" s="771"/>
      <c r="Y9" s="3063" t="s">
        <v>2516</v>
      </c>
      <c r="Z9" s="55" t="str">
        <f t="shared" ref="Z9:Z14" si="7">Q9</f>
        <v>用途</v>
      </c>
      <c r="AA9" s="772">
        <f t="shared" si="3"/>
        <v>1</v>
      </c>
      <c r="AB9" s="772">
        <f t="shared" si="4"/>
        <v>1</v>
      </c>
      <c r="AC9" s="772">
        <f t="shared" si="5"/>
        <v>1</v>
      </c>
    </row>
    <row r="10" spans="1:29" s="426" customFormat="1" ht="27">
      <c r="A10" s="640"/>
      <c r="B10" s="641" t="s">
        <v>2517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5"/>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5"/>
      <c r="Q11" s="1793">
        <f t="shared" si="6"/>
        <v>111</v>
      </c>
      <c r="R11" s="769" t="s">
        <v>17</v>
      </c>
      <c r="S11" s="770">
        <f t="shared" si="0"/>
        <v>100</v>
      </c>
      <c r="T11" s="769" t="s">
        <v>17</v>
      </c>
      <c r="U11" s="770">
        <f t="shared" si="1"/>
        <v>100</v>
      </c>
      <c r="V11" s="769" t="s">
        <v>17</v>
      </c>
      <c r="W11" s="770">
        <f t="shared" si="2"/>
        <v>100</v>
      </c>
      <c r="X11" s="771"/>
      <c r="Y11" s="3063"/>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5"/>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5"/>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85.5">
      <c r="A14" s="400" t="s">
        <v>2519</v>
      </c>
      <c r="B14" s="628" t="s">
        <v>2669</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2" t="s">
        <v>2520</v>
      </c>
      <c r="Q14" s="1808" t="str">
        <f t="shared" si="6"/>
        <v>交通便捷度</v>
      </c>
      <c r="R14" s="773" t="s">
        <v>17</v>
      </c>
      <c r="S14" s="774">
        <f t="shared" si="0"/>
        <v>100</v>
      </c>
      <c r="T14" s="773" t="s">
        <v>17</v>
      </c>
      <c r="U14" s="774">
        <f t="shared" si="1"/>
        <v>100</v>
      </c>
      <c r="V14" s="773" t="s">
        <v>17</v>
      </c>
      <c r="W14" s="774">
        <f t="shared" si="2"/>
        <v>100</v>
      </c>
      <c r="X14" s="1811"/>
      <c r="Y14" s="3222" t="s">
        <v>2520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3"/>
      <c r="Q15" s="1808"/>
      <c r="R15" s="773"/>
      <c r="S15" s="774"/>
      <c r="T15" s="773"/>
      <c r="U15" s="774"/>
      <c r="V15" s="773"/>
      <c r="W15" s="774"/>
      <c r="X15" s="1811"/>
      <c r="Y15" s="3223"/>
      <c r="Z15" s="1812"/>
      <c r="AA15" s="1809">
        <v>1</v>
      </c>
      <c r="AB15" s="1809">
        <v>1</v>
      </c>
      <c r="AC15" s="1809">
        <v>1</v>
      </c>
    </row>
    <row r="16" spans="1:29" ht="42.75">
      <c r="A16" s="403"/>
      <c r="B16" s="630" t="s">
        <v>2648</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03"/>
      <c r="B17" s="631"/>
      <c r="C17" s="2603"/>
      <c r="D17" s="447"/>
      <c r="E17" s="446"/>
      <c r="F17" s="448"/>
      <c r="G17" s="446"/>
      <c r="H17" s="447"/>
      <c r="I17" s="446"/>
      <c r="J17" s="447"/>
      <c r="K17" s="614"/>
      <c r="L17" s="1138"/>
      <c r="M17" s="1129"/>
      <c r="N17" s="1129"/>
      <c r="O17" s="1129"/>
      <c r="P17" s="3223"/>
      <c r="Q17" s="1808"/>
      <c r="R17" s="773"/>
      <c r="S17" s="774"/>
      <c r="T17" s="773"/>
      <c r="U17" s="774"/>
      <c r="V17" s="773"/>
      <c r="W17" s="774"/>
      <c r="X17" s="1811"/>
      <c r="Y17" s="3223"/>
      <c r="Z17" s="1812"/>
      <c r="AA17" s="1809">
        <v>1</v>
      </c>
      <c r="AB17" s="1809">
        <v>1</v>
      </c>
      <c r="AC17" s="1809">
        <v>1</v>
      </c>
    </row>
    <row r="18" spans="1:29" ht="28.5">
      <c r="A18" s="403"/>
      <c r="B18" s="632" t="s">
        <v>2649</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03"/>
      <c r="B19" s="632"/>
      <c r="C19" s="2603"/>
      <c r="D19" s="449"/>
      <c r="E19" s="2603"/>
      <c r="F19" s="452"/>
      <c r="G19" s="2603"/>
      <c r="H19" s="447"/>
      <c r="I19" s="446"/>
      <c r="J19" s="447"/>
      <c r="K19" s="1381"/>
      <c r="L19" s="1138"/>
      <c r="M19" s="1129"/>
      <c r="N19" s="1129"/>
      <c r="O19" s="1129"/>
      <c r="P19" s="3223"/>
      <c r="Q19" s="1808"/>
      <c r="R19" s="773"/>
      <c r="S19" s="774"/>
      <c r="T19" s="773"/>
      <c r="U19" s="774"/>
      <c r="V19" s="773"/>
      <c r="W19" s="774"/>
      <c r="X19" s="1811"/>
      <c r="Y19" s="3223"/>
      <c r="Z19" s="1812"/>
      <c r="AA19" s="1809">
        <v>1</v>
      </c>
      <c r="AB19" s="1809">
        <v>1</v>
      </c>
      <c r="AC19" s="1809">
        <v>1</v>
      </c>
    </row>
    <row r="20" spans="1:29" ht="57">
      <c r="A20" s="403"/>
      <c r="B20" s="630" t="s">
        <v>2670</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3"/>
      <c r="Q21" s="1808"/>
      <c r="R21" s="773"/>
      <c r="S21" s="774"/>
      <c r="T21" s="773"/>
      <c r="U21" s="774"/>
      <c r="V21" s="773"/>
      <c r="W21" s="774"/>
      <c r="X21" s="1811"/>
      <c r="Y21" s="3223"/>
      <c r="Z21" s="1812"/>
      <c r="AA21" s="1809">
        <v>1</v>
      </c>
      <c r="AB21" s="1809">
        <v>1</v>
      </c>
      <c r="AC21" s="1809">
        <v>1</v>
      </c>
    </row>
    <row r="22" spans="1:29" ht="15">
      <c r="A22" s="403"/>
      <c r="B22" s="630" t="s">
        <v>2671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3"/>
      <c r="Q24" s="1808">
        <f t="shared" ref="Q24:Q36"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28.5">
      <c r="A26" s="651" t="s">
        <v>2523</v>
      </c>
      <c r="B26" s="70" t="s">
        <v>2672</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78" t="s">
        <v>2525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7" t="s">
        <v>2525</v>
      </c>
      <c r="Z26" s="1812" t="str">
        <f t="shared" ref="Z26:Z36" si="15">Q26</f>
        <v>配套类型</v>
      </c>
      <c r="AA26" s="1809">
        <f t="shared" si="3"/>
        <v>1</v>
      </c>
      <c r="AB26" s="1809">
        <f t="shared" si="4"/>
        <v>1</v>
      </c>
      <c r="AC26" s="1809">
        <f t="shared" si="5"/>
        <v>1</v>
      </c>
    </row>
    <row r="27" spans="1:29" s="470" customFormat="1" ht="15">
      <c r="A27" s="652"/>
      <c r="B27" s="653" t="s">
        <v>2673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09">
        <f t="shared" si="3"/>
        <v>1</v>
      </c>
      <c r="AB27" s="1809">
        <f t="shared" si="4"/>
        <v>1</v>
      </c>
      <c r="AC27" s="1809">
        <f t="shared" si="5"/>
        <v>1</v>
      </c>
    </row>
    <row r="28" spans="1:29" ht="15">
      <c r="A28" s="655"/>
      <c r="B28" s="653" t="s">
        <v>2674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7"/>
      <c r="Q28" s="1808" t="str">
        <f t="shared" si="11"/>
        <v>公共部分装修</v>
      </c>
      <c r="R28" s="773" t="s">
        <v>17</v>
      </c>
      <c r="S28" s="774">
        <f t="shared" si="12"/>
        <v>100</v>
      </c>
      <c r="T28" s="773" t="s">
        <v>17</v>
      </c>
      <c r="U28" s="774">
        <f t="shared" si="13"/>
        <v>100</v>
      </c>
      <c r="V28" s="773" t="s">
        <v>17</v>
      </c>
      <c r="W28" s="774">
        <f t="shared" si="14"/>
        <v>100</v>
      </c>
      <c r="X28" s="1811"/>
      <c r="Y28" s="3227"/>
      <c r="Z28" s="1812" t="str">
        <f t="shared" si="15"/>
        <v>公共部分装修</v>
      </c>
      <c r="AA28" s="1809">
        <f t="shared" si="3"/>
        <v>1</v>
      </c>
      <c r="AB28" s="1809">
        <f t="shared" si="4"/>
        <v>1</v>
      </c>
      <c r="AC28" s="1809">
        <f t="shared" si="5"/>
        <v>1</v>
      </c>
    </row>
    <row r="29" spans="1:29" ht="15">
      <c r="A29" s="655"/>
      <c r="B29" s="653" t="s">
        <v>2675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7"/>
      <c r="Q29" s="1808" t="str">
        <f t="shared" si="11"/>
        <v>成新率</v>
      </c>
      <c r="R29" s="773" t="s">
        <v>17</v>
      </c>
      <c r="S29" s="774" t="e">
        <f t="shared" si="12"/>
        <v>#N/A</v>
      </c>
      <c r="T29" s="773" t="s">
        <v>17</v>
      </c>
      <c r="U29" s="774" t="e">
        <f t="shared" si="13"/>
        <v>#N/A</v>
      </c>
      <c r="V29" s="773" t="s">
        <v>17</v>
      </c>
      <c r="W29" s="774" t="e">
        <f t="shared" si="14"/>
        <v>#N/A</v>
      </c>
      <c r="X29" s="1811"/>
      <c r="Y29" s="3227"/>
      <c r="Z29" s="1812" t="str">
        <f t="shared" si="15"/>
        <v>成新率</v>
      </c>
      <c r="AA29" s="1809" t="e">
        <f t="shared" si="3"/>
        <v>#N/A</v>
      </c>
      <c r="AB29" s="1809" t="e">
        <f t="shared" si="4"/>
        <v>#N/A</v>
      </c>
      <c r="AC29" s="1809" t="e">
        <f t="shared" si="5"/>
        <v>#N/A</v>
      </c>
    </row>
    <row r="30" spans="1:29" ht="15">
      <c r="A30" s="655"/>
      <c r="B30" s="653" t="s">
        <v>2676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7"/>
      <c r="Q30" s="1808" t="str">
        <f t="shared" si="11"/>
        <v>物业等级</v>
      </c>
      <c r="R30" s="773" t="s">
        <v>17</v>
      </c>
      <c r="S30" s="774">
        <f t="shared" si="12"/>
        <v>100</v>
      </c>
      <c r="T30" s="773" t="s">
        <v>17</v>
      </c>
      <c r="U30" s="774">
        <f t="shared" si="13"/>
        <v>100</v>
      </c>
      <c r="V30" s="773" t="s">
        <v>17</v>
      </c>
      <c r="W30" s="774">
        <f t="shared" si="14"/>
        <v>100</v>
      </c>
      <c r="X30" s="1811"/>
      <c r="Y30" s="3227"/>
      <c r="Z30" s="1812" t="str">
        <f t="shared" si="15"/>
        <v>物业等级</v>
      </c>
      <c r="AA30" s="1809">
        <f t="shared" si="3"/>
        <v>1</v>
      </c>
      <c r="AB30" s="1809">
        <f t="shared" si="4"/>
        <v>1</v>
      </c>
      <c r="AC30" s="1809">
        <f t="shared" si="5"/>
        <v>1</v>
      </c>
    </row>
    <row r="31" spans="1:29" s="116" customFormat="1" ht="15">
      <c r="A31" s="657"/>
      <c r="B31" s="653" t="s">
        <v>2677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7"/>
      <c r="Q31" s="1793" t="str">
        <f t="shared" si="11"/>
        <v>停车位面积</v>
      </c>
      <c r="R31" s="769" t="s">
        <v>17</v>
      </c>
      <c r="S31" s="770" t="e">
        <f t="shared" si="12"/>
        <v>#N/A</v>
      </c>
      <c r="T31" s="769" t="s">
        <v>17</v>
      </c>
      <c r="U31" s="770" t="e">
        <f t="shared" si="13"/>
        <v>#N/A</v>
      </c>
      <c r="V31" s="769" t="s">
        <v>17</v>
      </c>
      <c r="W31" s="770" t="e">
        <f t="shared" si="14"/>
        <v>#N/A</v>
      </c>
      <c r="X31" s="771"/>
      <c r="Y31" s="3227"/>
      <c r="Z31" s="55" t="str">
        <f t="shared" si="15"/>
        <v>停车位面积</v>
      </c>
      <c r="AA31" s="772" t="e">
        <f t="shared" si="3"/>
        <v>#N/A</v>
      </c>
      <c r="AB31" s="772" t="e">
        <f t="shared" si="4"/>
        <v>#N/A</v>
      </c>
      <c r="AC31" s="772" t="e">
        <f t="shared" si="5"/>
        <v>#N/A</v>
      </c>
    </row>
    <row r="32" spans="1:29" ht="15">
      <c r="A32" s="655"/>
      <c r="B32" s="653" t="s">
        <v>2678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7" t="s">
        <v>2525</v>
      </c>
      <c r="Q32" s="1808" t="str">
        <f t="shared" si="11"/>
        <v>车位类型</v>
      </c>
      <c r="R32" s="773" t="s">
        <v>17</v>
      </c>
      <c r="S32" s="774">
        <f t="shared" si="12"/>
        <v>100</v>
      </c>
      <c r="T32" s="773" t="s">
        <v>17</v>
      </c>
      <c r="U32" s="774">
        <f t="shared" si="13"/>
        <v>100</v>
      </c>
      <c r="V32" s="773" t="s">
        <v>17</v>
      </c>
      <c r="W32" s="774">
        <f t="shared" si="14"/>
        <v>100</v>
      </c>
      <c r="X32" s="1811"/>
      <c r="Y32" s="3227" t="s">
        <v>2525</v>
      </c>
      <c r="Z32" s="1812" t="str">
        <f t="shared" si="15"/>
        <v>车位类型</v>
      </c>
      <c r="AA32" s="1809">
        <f t="shared" si="3"/>
        <v>1</v>
      </c>
      <c r="AB32" s="1809">
        <f t="shared" si="4"/>
        <v>1</v>
      </c>
      <c r="AC32" s="1809">
        <f t="shared" si="5"/>
        <v>1</v>
      </c>
    </row>
    <row r="33" spans="1:29" ht="15">
      <c r="A33" s="655"/>
      <c r="B33" s="653" t="s">
        <v>2679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7"/>
      <c r="Q33" s="1808" t="str">
        <f t="shared" si="11"/>
        <v>是否直接入户</v>
      </c>
      <c r="R33" s="773" t="s">
        <v>17</v>
      </c>
      <c r="S33" s="774">
        <f t="shared" si="12"/>
        <v>100</v>
      </c>
      <c r="T33" s="773" t="s">
        <v>17</v>
      </c>
      <c r="U33" s="774">
        <f t="shared" si="13"/>
        <v>100</v>
      </c>
      <c r="V33" s="773" t="s">
        <v>17</v>
      </c>
      <c r="W33" s="774">
        <f t="shared" si="14"/>
        <v>100</v>
      </c>
      <c r="X33" s="1811"/>
      <c r="Y33" s="322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7"/>
      <c r="Q34" s="1808">
        <f t="shared" si="11"/>
        <v>111</v>
      </c>
      <c r="R34" s="773" t="s">
        <v>17</v>
      </c>
      <c r="S34" s="774">
        <f t="shared" si="12"/>
        <v>100</v>
      </c>
      <c r="T34" s="773" t="s">
        <v>17</v>
      </c>
      <c r="U34" s="774">
        <f t="shared" si="13"/>
        <v>100</v>
      </c>
      <c r="V34" s="773" t="s">
        <v>17</v>
      </c>
      <c r="W34" s="774">
        <f t="shared" si="14"/>
        <v>100</v>
      </c>
      <c r="X34" s="1811"/>
      <c r="Y34" s="322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7"/>
      <c r="Q36" s="1808">
        <f t="shared" si="11"/>
        <v>111</v>
      </c>
      <c r="R36" s="773" t="s">
        <v>17</v>
      </c>
      <c r="S36" s="774">
        <f t="shared" si="12"/>
        <v>100</v>
      </c>
      <c r="T36" s="773" t="s">
        <v>17</v>
      </c>
      <c r="U36" s="774">
        <f t="shared" si="13"/>
        <v>100</v>
      </c>
      <c r="V36" s="773" t="s">
        <v>17</v>
      </c>
      <c r="W36" s="774">
        <f t="shared" si="14"/>
        <v>100</v>
      </c>
      <c r="X36" s="1811"/>
      <c r="Y36" s="3227"/>
      <c r="Z36" s="1812">
        <f t="shared" si="15"/>
        <v>111</v>
      </c>
      <c r="AA36" s="1809">
        <f t="shared" si="3"/>
        <v>1</v>
      </c>
      <c r="AB36" s="1809">
        <f t="shared" si="4"/>
        <v>1</v>
      </c>
      <c r="AC36" s="1809">
        <f t="shared" si="5"/>
        <v>1</v>
      </c>
    </row>
    <row r="37" spans="1:29" ht="15">
      <c r="A37" s="478" t="s">
        <v>2680</v>
      </c>
      <c r="B37" s="2689" t="s">
        <v>2681</v>
      </c>
      <c r="C37" s="1405" t="s">
        <v>1</v>
      </c>
      <c r="D37" s="1406"/>
      <c r="E37" s="1407"/>
      <c r="F37" s="1408"/>
      <c r="G37" s="1409"/>
      <c r="H37" s="1410"/>
      <c r="I37" s="1407"/>
      <c r="J37" s="1410"/>
      <c r="K37" s="618"/>
      <c r="L37" s="1141"/>
      <c r="M37" s="1142"/>
      <c r="N37" s="1129"/>
      <c r="O37" s="1142"/>
      <c r="P37" s="3215" t="str">
        <f>A37</f>
        <v>成交单价</v>
      </c>
      <c r="Q37" s="3215"/>
      <c r="R37" s="3216">
        <f>E37</f>
        <v>0</v>
      </c>
      <c r="S37" s="3216"/>
      <c r="T37" s="3216">
        <f>G37</f>
        <v>0</v>
      </c>
      <c r="U37" s="3216"/>
      <c r="V37" s="3216">
        <f>I37</f>
        <v>0</v>
      </c>
      <c r="W37" s="3216"/>
      <c r="X37" s="758"/>
      <c r="Y37" s="780"/>
      <c r="Z37" s="758"/>
      <c r="AA37" s="758"/>
      <c r="AB37" s="758"/>
      <c r="AC37" s="758"/>
    </row>
    <row r="38" spans="1:29" ht="15.75" thickBot="1">
      <c r="A38" s="485" t="s">
        <v>2682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8"/>
      <c r="Y38" s="758"/>
      <c r="Z38" s="758"/>
      <c r="AA38" s="758"/>
      <c r="AB38" s="758"/>
      <c r="AC38" s="758"/>
    </row>
    <row r="39" spans="1:29" ht="15.75" thickBot="1">
      <c r="A39" s="491" t="s">
        <v>2683</v>
      </c>
      <c r="B39" s="492"/>
      <c r="C39" s="1415" t="e">
        <f>R39</f>
        <v>#DIV/0!</v>
      </c>
      <c r="D39" s="1415"/>
      <c r="E39" s="1415"/>
      <c r="F39" s="1415"/>
      <c r="G39" s="1415"/>
      <c r="H39" s="1415"/>
      <c r="I39" s="1415"/>
      <c r="J39" s="1415"/>
      <c r="K39" s="620"/>
      <c r="L39" s="1141"/>
      <c r="M39" s="1142"/>
      <c r="N39" s="1142"/>
      <c r="O39" s="1142"/>
      <c r="P39" s="3217" t="str">
        <f>A39</f>
        <v>估价对象XX用房的比较价值（楼面单价，元/平方米）</v>
      </c>
      <c r="Q39" s="3218"/>
      <c r="R39" s="3219" t="e">
        <f>IF(F1="售价",ROUND(AVERAGE(R38:V38),0),ROUND(AVERAGE(R38:V38),1))</f>
        <v>#DIV/0!</v>
      </c>
      <c r="S39" s="3219"/>
      <c r="T39" s="3219"/>
      <c r="U39" s="3219"/>
      <c r="V39" s="3219"/>
      <c r="W39" s="321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2684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2685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2686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2687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2688</v>
      </c>
      <c r="B48" s="505"/>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2545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2510</v>
      </c>
      <c r="B51" s="509"/>
      <c r="C51" s="521" t="s">
        <v>2612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2548</v>
      </c>
      <c r="B53" s="527" t="s">
        <v>2514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2517</v>
      </c>
      <c r="C55" s="538" t="s">
        <v>2549</v>
      </c>
      <c r="D55" s="538" t="s">
        <v>2550</v>
      </c>
      <c r="E55" s="538" t="s">
        <v>2551</v>
      </c>
      <c r="F55" s="538" t="s">
        <v>2552</v>
      </c>
      <c r="G55" s="538" t="s">
        <v>2553</v>
      </c>
      <c r="H55" s="538" t="s">
        <v>2554</v>
      </c>
      <c r="I55" s="538" t="s">
        <v>2555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2519</v>
      </c>
      <c r="B63" s="527" t="s">
        <v>2562</v>
      </c>
      <c r="C63" s="572" t="s">
        <v>2557</v>
      </c>
      <c r="D63" s="572" t="s">
        <v>2558</v>
      </c>
      <c r="E63" s="572" t="s">
        <v>2559</v>
      </c>
      <c r="F63" s="572" t="s">
        <v>2560</v>
      </c>
      <c r="G63" s="572" t="s">
        <v>2561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2563</v>
      </c>
      <c r="C65" s="577" t="s">
        <v>2557</v>
      </c>
      <c r="D65" s="577" t="s">
        <v>2558</v>
      </c>
      <c r="E65" s="577" t="s">
        <v>2559</v>
      </c>
      <c r="F65" s="577" t="s">
        <v>2560</v>
      </c>
      <c r="G65" s="577" t="s">
        <v>2561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2649</v>
      </c>
      <c r="C67" s="659" t="s">
        <v>2635</v>
      </c>
      <c r="D67" s="659" t="s">
        <v>2636</v>
      </c>
      <c r="E67" s="659" t="s">
        <v>2637</v>
      </c>
      <c r="F67" s="659" t="s">
        <v>2638</v>
      </c>
      <c r="G67" s="659" t="s">
        <v>2639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2569</v>
      </c>
      <c r="C69" s="577" t="s">
        <v>2557</v>
      </c>
      <c r="D69" s="577" t="s">
        <v>2558</v>
      </c>
      <c r="E69" s="577" t="s">
        <v>2559</v>
      </c>
      <c r="F69" s="577" t="s">
        <v>2560</v>
      </c>
      <c r="G69" s="577" t="s">
        <v>2561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2689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2523</v>
      </c>
      <c r="B79" s="527" t="s">
        <v>2690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2691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2576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2692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2693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2694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2695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2696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2667</v>
      </c>
      <c r="B1" s="1617"/>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IF(C2="——",ROUND(C37*D3/10000,0),ROUND(C37*D3/10000,0)-D2)</f>
        <v>#DIV/0!</v>
      </c>
      <c r="C2" s="2581"/>
      <c r="D2" s="1122" t="e">
        <f ca="1">SUMIF(INDIRECT("'"&amp;F2&amp;"'"&amp;"!A:A"),"承租人权益价值",INDIRECT("'"&amp;F2&amp;"'"&amp;"!c:c"))</f>
        <v>#REF!</v>
      </c>
      <c r="E2" s="2582" t="s">
        <v>2291</v>
      </c>
      <c r="F2" s="2583"/>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 ca="1">IF(C2="——",C37,ROUND(B2*10000/D3,0))</f>
        <v>#DIV/0!</v>
      </c>
      <c r="C3" s="399" t="s">
        <v>2604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40" t="s">
        <v>2608</v>
      </c>
      <c r="AC4" s="3239" t="s">
        <v>2609</v>
      </c>
    </row>
    <row r="5" spans="1:29" ht="15">
      <c r="A5" s="403"/>
      <c r="B5" s="404"/>
      <c r="C5" s="3262" t="s">
        <v>2502</v>
      </c>
      <c r="D5" s="3254"/>
      <c r="E5" s="3261" t="s">
        <v>2503</v>
      </c>
      <c r="F5" s="3256"/>
      <c r="G5" s="3262" t="s">
        <v>2504</v>
      </c>
      <c r="H5" s="3254"/>
      <c r="I5" s="3262" t="s">
        <v>2505</v>
      </c>
      <c r="J5" s="3254"/>
      <c r="K5" s="609"/>
      <c r="L5" s="1128"/>
      <c r="M5" s="1129"/>
      <c r="N5" s="1129"/>
      <c r="O5" s="1129"/>
      <c r="P5" s="3249"/>
      <c r="Q5" s="3250"/>
      <c r="R5" s="3235"/>
      <c r="S5" s="3236"/>
      <c r="T5" s="3235"/>
      <c r="U5" s="3236"/>
      <c r="V5" s="3232"/>
      <c r="W5" s="3232"/>
      <c r="X5" s="1811"/>
      <c r="Y5" s="3235"/>
      <c r="Z5" s="3236"/>
      <c r="AA5" s="3240"/>
      <c r="AB5" s="3240"/>
      <c r="AC5" s="3240"/>
    </row>
    <row r="6" spans="1:29" ht="15.75" thickBot="1">
      <c r="A6" s="405"/>
      <c r="B6" s="406"/>
      <c r="C6" s="3257" t="s">
        <v>2506</v>
      </c>
      <c r="D6" s="3258"/>
      <c r="E6" s="3259" t="s">
        <v>2506</v>
      </c>
      <c r="F6" s="3260"/>
      <c r="G6" s="3257" t="s">
        <v>2506</v>
      </c>
      <c r="H6" s="3258"/>
      <c r="I6" s="3257" t="s">
        <v>2506</v>
      </c>
      <c r="J6" s="3258"/>
      <c r="K6" s="609" t="s">
        <v>2507</v>
      </c>
      <c r="L6" s="1128"/>
      <c r="M6" s="1129"/>
      <c r="N6" s="1129"/>
      <c r="O6" s="1129"/>
      <c r="P6" s="3251"/>
      <c r="Q6" s="3252"/>
      <c r="R6" s="3235"/>
      <c r="S6" s="3236"/>
      <c r="T6" s="3237"/>
      <c r="U6" s="3238"/>
      <c r="V6" s="3232"/>
      <c r="W6" s="3232"/>
      <c r="X6" s="1811"/>
      <c r="Y6" s="3237"/>
      <c r="Z6" s="3238"/>
      <c r="AA6" s="3241"/>
      <c r="AB6" s="3241"/>
      <c r="AC6" s="3241"/>
    </row>
    <row r="7" spans="1:29" s="116" customFormat="1" ht="15.75" thickBot="1">
      <c r="A7" s="407" t="s">
        <v>2508</v>
      </c>
      <c r="B7" s="408"/>
      <c r="C7" s="409">
        <f>'数据-取费表'!B2</f>
        <v>43906</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229" t="s">
        <v>2509</v>
      </c>
      <c r="Q7" s="3242"/>
      <c r="R7" s="769" t="s">
        <v>17</v>
      </c>
      <c r="S7" s="770">
        <f t="shared" ref="S7:S14" si="0">F7</f>
        <v>0</v>
      </c>
      <c r="T7" s="769" t="s">
        <v>17</v>
      </c>
      <c r="U7" s="770">
        <f t="shared" ref="U7:U14" si="1">H7</f>
        <v>0</v>
      </c>
      <c r="V7" s="769" t="s">
        <v>17</v>
      </c>
      <c r="W7" s="770">
        <f t="shared" ref="W7:W14" si="2">J7</f>
        <v>0</v>
      </c>
      <c r="X7" s="771"/>
      <c r="Y7" s="3229" t="s">
        <v>2509</v>
      </c>
      <c r="Z7" s="3230"/>
      <c r="AA7" s="772" t="e">
        <f>D7/F7</f>
        <v>#DIV/0!</v>
      </c>
      <c r="AB7" s="772" t="e">
        <f>D7/H7</f>
        <v>#DIV/0!</v>
      </c>
      <c r="AC7" s="772" t="e">
        <f>D7/J7</f>
        <v>#DIV/0!</v>
      </c>
    </row>
    <row r="8" spans="1:29" s="116" customFormat="1" ht="15.75" thickBot="1">
      <c r="A8" s="407" t="s">
        <v>2510</v>
      </c>
      <c r="B8" s="408"/>
      <c r="C8" s="413" t="s">
        <v>2612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9" t="s">
        <v>2512</v>
      </c>
      <c r="Q8" s="3230"/>
      <c r="R8" s="769" t="s">
        <v>17</v>
      </c>
      <c r="S8" s="770">
        <f t="shared" si="0"/>
        <v>0</v>
      </c>
      <c r="T8" s="769" t="s">
        <v>17</v>
      </c>
      <c r="U8" s="770">
        <f t="shared" si="1"/>
        <v>0</v>
      </c>
      <c r="V8" s="769" t="s">
        <v>17</v>
      </c>
      <c r="W8" s="770">
        <f t="shared" si="2"/>
        <v>0</v>
      </c>
      <c r="X8" s="771"/>
      <c r="Y8" s="3229" t="s">
        <v>2512</v>
      </c>
      <c r="Z8" s="3230"/>
      <c r="AA8" s="772" t="e">
        <f t="shared" ref="AA8:AA34" si="3">D8/F8</f>
        <v>#DIV/0!</v>
      </c>
      <c r="AB8" s="772" t="e">
        <f t="shared" ref="AB8:AB34" si="4">D8/H8</f>
        <v>#DIV/0!</v>
      </c>
      <c r="AC8" s="772" t="e">
        <f t="shared" ref="AC8:AC34" si="5">D8/J8</f>
        <v>#DIV/0!</v>
      </c>
    </row>
    <row r="9" spans="1:29" s="116" customFormat="1">
      <c r="A9" s="414" t="s">
        <v>2513</v>
      </c>
      <c r="B9" s="71" t="s">
        <v>2514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5" t="s">
        <v>2515</v>
      </c>
      <c r="Q9" s="1793" t="str">
        <f t="shared" ref="Q9:Q14" si="6">B9</f>
        <v>用途</v>
      </c>
      <c r="R9" s="769" t="s">
        <v>17</v>
      </c>
      <c r="S9" s="770">
        <f t="shared" si="0"/>
        <v>100</v>
      </c>
      <c r="T9" s="769" t="s">
        <v>17</v>
      </c>
      <c r="U9" s="770">
        <f t="shared" si="1"/>
        <v>100</v>
      </c>
      <c r="V9" s="769" t="s">
        <v>17</v>
      </c>
      <c r="W9" s="770">
        <f t="shared" si="2"/>
        <v>100</v>
      </c>
      <c r="X9" s="771"/>
      <c r="Y9" s="3063" t="s">
        <v>2516</v>
      </c>
      <c r="Z9" s="55" t="str">
        <f t="shared" ref="Z9:Z14" si="7">Q9</f>
        <v>用途</v>
      </c>
      <c r="AA9" s="772">
        <f t="shared" si="3"/>
        <v>1</v>
      </c>
      <c r="AB9" s="772">
        <f t="shared" si="4"/>
        <v>1</v>
      </c>
      <c r="AC9" s="772">
        <f t="shared" si="5"/>
        <v>1</v>
      </c>
    </row>
    <row r="10" spans="1:29" s="426" customFormat="1" ht="27">
      <c r="A10" s="420"/>
      <c r="B10" s="421" t="s">
        <v>2517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5"/>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5"/>
      <c r="Q11" s="1793">
        <f t="shared" si="6"/>
        <v>111</v>
      </c>
      <c r="R11" s="769" t="s">
        <v>17</v>
      </c>
      <c r="S11" s="770">
        <f t="shared" si="0"/>
        <v>100</v>
      </c>
      <c r="T11" s="769" t="s">
        <v>17</v>
      </c>
      <c r="U11" s="770">
        <f t="shared" si="1"/>
        <v>100</v>
      </c>
      <c r="V11" s="769" t="s">
        <v>17</v>
      </c>
      <c r="W11" s="770">
        <f t="shared" si="2"/>
        <v>100</v>
      </c>
      <c r="X11" s="771"/>
      <c r="Y11" s="3063"/>
      <c r="Z11" s="55">
        <f t="shared" si="7"/>
        <v>111</v>
      </c>
      <c r="AA11" s="772">
        <f t="shared" si="3"/>
        <v>1</v>
      </c>
      <c r="AB11" s="772">
        <f t="shared" si="4"/>
        <v>1</v>
      </c>
      <c r="AC11" s="772">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5"/>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215"/>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85.5">
      <c r="A14" s="439" t="s">
        <v>2519</v>
      </c>
      <c r="B14" s="69" t="s">
        <v>2669</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2" t="s">
        <v>2520</v>
      </c>
      <c r="Q14" s="1808" t="str">
        <f t="shared" si="6"/>
        <v>交通便捷度</v>
      </c>
      <c r="R14" s="773" t="s">
        <v>17</v>
      </c>
      <c r="S14" s="774">
        <f t="shared" si="0"/>
        <v>100</v>
      </c>
      <c r="T14" s="773" t="s">
        <v>17</v>
      </c>
      <c r="U14" s="774">
        <f t="shared" si="1"/>
        <v>100</v>
      </c>
      <c r="V14" s="773" t="s">
        <v>17</v>
      </c>
      <c r="W14" s="774">
        <f t="shared" si="2"/>
        <v>100</v>
      </c>
      <c r="X14" s="1811"/>
      <c r="Y14" s="3222" t="s">
        <v>2520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3"/>
      <c r="Q15" s="1808"/>
      <c r="R15" s="773"/>
      <c r="S15" s="774"/>
      <c r="T15" s="773"/>
      <c r="U15" s="774"/>
      <c r="V15" s="773"/>
      <c r="W15" s="774"/>
      <c r="X15" s="1811"/>
      <c r="Y15" s="3223"/>
      <c r="Z15" s="1812"/>
      <c r="AA15" s="1809">
        <v>1</v>
      </c>
      <c r="AB15" s="1809">
        <v>1</v>
      </c>
      <c r="AC15" s="1809">
        <v>1</v>
      </c>
    </row>
    <row r="16" spans="1:29" ht="42.75">
      <c r="A16" s="427"/>
      <c r="B16" s="450" t="s">
        <v>2648</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27"/>
      <c r="B17" s="455"/>
      <c r="C17" s="2603"/>
      <c r="D17" s="447"/>
      <c r="E17" s="446"/>
      <c r="F17" s="448"/>
      <c r="G17" s="446"/>
      <c r="H17" s="447"/>
      <c r="I17" s="446"/>
      <c r="J17" s="447"/>
      <c r="K17" s="614"/>
      <c r="L17" s="1138"/>
      <c r="M17" s="1129"/>
      <c r="N17" s="1129"/>
      <c r="O17" s="1137"/>
      <c r="P17" s="3223"/>
      <c r="Q17" s="1808"/>
      <c r="R17" s="773"/>
      <c r="S17" s="774"/>
      <c r="T17" s="773"/>
      <c r="U17" s="774"/>
      <c r="V17" s="773"/>
      <c r="W17" s="774"/>
      <c r="X17" s="1811"/>
      <c r="Y17" s="3223"/>
      <c r="Z17" s="1812"/>
      <c r="AA17" s="1809">
        <v>1</v>
      </c>
      <c r="AB17" s="1809">
        <v>1</v>
      </c>
      <c r="AC17" s="1809">
        <v>1</v>
      </c>
    </row>
    <row r="18" spans="1:29" ht="28.5">
      <c r="A18" s="427"/>
      <c r="B18" s="1382" t="s">
        <v>2649</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27"/>
      <c r="B19" s="1382"/>
      <c r="C19" s="2603"/>
      <c r="D19" s="449"/>
      <c r="E19" s="2603"/>
      <c r="F19" s="452"/>
      <c r="G19" s="2603"/>
      <c r="H19" s="447"/>
      <c r="I19" s="446"/>
      <c r="J19" s="447"/>
      <c r="K19" s="1381"/>
      <c r="L19" s="1138"/>
      <c r="M19" s="1129"/>
      <c r="N19" s="1129"/>
      <c r="O19" s="1137"/>
      <c r="P19" s="3223"/>
      <c r="Q19" s="1808"/>
      <c r="R19" s="773"/>
      <c r="S19" s="774"/>
      <c r="T19" s="773"/>
      <c r="U19" s="774"/>
      <c r="V19" s="773"/>
      <c r="W19" s="774"/>
      <c r="X19" s="1811"/>
      <c r="Y19" s="3223"/>
      <c r="Z19" s="1812"/>
      <c r="AA19" s="1809">
        <v>1</v>
      </c>
      <c r="AB19" s="1809">
        <v>1</v>
      </c>
      <c r="AC19" s="1809">
        <v>1</v>
      </c>
    </row>
    <row r="20" spans="1:29" ht="57">
      <c r="A20" s="427"/>
      <c r="B20" s="450" t="s">
        <v>2670</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3"/>
      <c r="Q21" s="1808"/>
      <c r="R21" s="773"/>
      <c r="S21" s="774"/>
      <c r="T21" s="773"/>
      <c r="U21" s="774"/>
      <c r="V21" s="773"/>
      <c r="W21" s="774"/>
      <c r="X21" s="1811"/>
      <c r="Y21" s="3223"/>
      <c r="Z21" s="1812"/>
      <c r="AA21" s="1809">
        <v>1</v>
      </c>
      <c r="AB21" s="1809">
        <v>1</v>
      </c>
      <c r="AC21" s="1809">
        <v>1</v>
      </c>
    </row>
    <row r="22" spans="1:29" ht="15">
      <c r="A22" s="427"/>
      <c r="B22" s="450" t="s">
        <v>2671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3"/>
      <c r="Q24" s="1808">
        <f t="shared" ref="Q24:Q34"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6" customFormat="1" ht="15.75" thickBot="1">
      <c r="A25" s="430"/>
      <c r="B25" s="2595">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28.5">
      <c r="A26" s="465" t="s">
        <v>2523</v>
      </c>
      <c r="B26" s="71" t="s">
        <v>2674</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78" t="s">
        <v>2525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7" t="s">
        <v>2525</v>
      </c>
      <c r="Z26" s="1812" t="str">
        <f t="shared" ref="Z26:Z34" si="15">Q26</f>
        <v>公共部分装修</v>
      </c>
      <c r="AA26" s="1809">
        <f t="shared" si="3"/>
        <v>1</v>
      </c>
      <c r="AB26" s="1809">
        <f t="shared" si="4"/>
        <v>1</v>
      </c>
      <c r="AC26" s="1809">
        <f t="shared" si="5"/>
        <v>1</v>
      </c>
    </row>
    <row r="27" spans="1:29" s="470" customFormat="1" ht="15">
      <c r="A27" s="467"/>
      <c r="B27" s="421" t="s">
        <v>2675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09" t="e">
        <f t="shared" si="3"/>
        <v>#N/A</v>
      </c>
      <c r="AB27" s="1809" t="e">
        <f t="shared" si="4"/>
        <v>#N/A</v>
      </c>
      <c r="AC27" s="1809" t="e">
        <f t="shared" si="5"/>
        <v>#N/A</v>
      </c>
    </row>
    <row r="28" spans="1:29" ht="15">
      <c r="A28" s="471"/>
      <c r="B28" s="421" t="s">
        <v>2676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7"/>
      <c r="Q28" s="1808" t="str">
        <f t="shared" si="11"/>
        <v>物业等级</v>
      </c>
      <c r="R28" s="773" t="s">
        <v>17</v>
      </c>
      <c r="S28" s="774">
        <f t="shared" si="12"/>
        <v>100</v>
      </c>
      <c r="T28" s="773" t="s">
        <v>17</v>
      </c>
      <c r="U28" s="774">
        <f t="shared" si="13"/>
        <v>100</v>
      </c>
      <c r="V28" s="773" t="s">
        <v>17</v>
      </c>
      <c r="W28" s="774">
        <f t="shared" si="14"/>
        <v>100</v>
      </c>
      <c r="X28" s="1811"/>
      <c r="Y28" s="3227"/>
      <c r="Z28" s="1812" t="str">
        <f t="shared" si="15"/>
        <v>物业等级</v>
      </c>
      <c r="AA28" s="1809">
        <f t="shared" si="3"/>
        <v>1</v>
      </c>
      <c r="AB28" s="1809">
        <f t="shared" si="4"/>
        <v>1</v>
      </c>
      <c r="AC28" s="1809">
        <f t="shared" si="5"/>
        <v>1</v>
      </c>
    </row>
    <row r="29" spans="1:29" ht="15">
      <c r="A29" s="471"/>
      <c r="B29" s="421" t="s">
        <v>2697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7"/>
      <c r="Q29" s="1808" t="str">
        <f t="shared" si="11"/>
        <v>有无电梯</v>
      </c>
      <c r="R29" s="773" t="s">
        <v>17</v>
      </c>
      <c r="S29" s="774">
        <f t="shared" si="12"/>
        <v>100</v>
      </c>
      <c r="T29" s="773" t="s">
        <v>17</v>
      </c>
      <c r="U29" s="774">
        <f t="shared" si="13"/>
        <v>100</v>
      </c>
      <c r="V29" s="773" t="s">
        <v>17</v>
      </c>
      <c r="W29" s="774">
        <f t="shared" si="14"/>
        <v>100</v>
      </c>
      <c r="X29" s="1811"/>
      <c r="Y29" s="3227"/>
      <c r="Z29" s="1812" t="str">
        <f t="shared" si="15"/>
        <v>有无电梯</v>
      </c>
      <c r="AA29" s="1809">
        <f t="shared" si="3"/>
        <v>1</v>
      </c>
      <c r="AB29" s="1809">
        <f t="shared" si="4"/>
        <v>1</v>
      </c>
      <c r="AC29" s="1809">
        <f t="shared" si="5"/>
        <v>1</v>
      </c>
    </row>
    <row r="30" spans="1:29" ht="15">
      <c r="A30" s="471"/>
      <c r="B30" s="421" t="s">
        <v>2698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7"/>
      <c r="Q30" s="1808" t="str">
        <f t="shared" si="11"/>
        <v>建筑面积</v>
      </c>
      <c r="R30" s="773" t="s">
        <v>17</v>
      </c>
      <c r="S30" s="774" t="e">
        <f t="shared" si="12"/>
        <v>#N/A</v>
      </c>
      <c r="T30" s="773" t="s">
        <v>17</v>
      </c>
      <c r="U30" s="774" t="e">
        <f t="shared" si="13"/>
        <v>#N/A</v>
      </c>
      <c r="V30" s="773" t="s">
        <v>17</v>
      </c>
      <c r="W30" s="774" t="e">
        <f t="shared" si="14"/>
        <v>#N/A</v>
      </c>
      <c r="X30" s="1811"/>
      <c r="Y30" s="3227"/>
      <c r="Z30" s="1812" t="str">
        <f t="shared" si="15"/>
        <v>建筑面积</v>
      </c>
      <c r="AA30" s="1809" t="e">
        <f t="shared" si="3"/>
        <v>#N/A</v>
      </c>
      <c r="AB30" s="1809" t="e">
        <f t="shared" si="4"/>
        <v>#N/A</v>
      </c>
      <c r="AC30" s="1809" t="e">
        <f t="shared" si="5"/>
        <v>#N/A</v>
      </c>
    </row>
    <row r="31" spans="1:29" s="116" customFormat="1" ht="15">
      <c r="A31" s="472"/>
      <c r="B31" s="421" t="s">
        <v>2699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7"/>
      <c r="Q31" s="1793" t="str">
        <f t="shared" si="11"/>
        <v>是否封闭</v>
      </c>
      <c r="R31" s="769" t="s">
        <v>17</v>
      </c>
      <c r="S31" s="770">
        <f t="shared" si="12"/>
        <v>100</v>
      </c>
      <c r="T31" s="769" t="s">
        <v>17</v>
      </c>
      <c r="U31" s="770">
        <f t="shared" si="13"/>
        <v>100</v>
      </c>
      <c r="V31" s="769" t="s">
        <v>17</v>
      </c>
      <c r="W31" s="770">
        <f t="shared" si="14"/>
        <v>100</v>
      </c>
      <c r="X31" s="771"/>
      <c r="Y31" s="3227"/>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7" t="s">
        <v>2525</v>
      </c>
      <c r="Q32" s="1808">
        <f t="shared" si="11"/>
        <v>111</v>
      </c>
      <c r="R32" s="773" t="s">
        <v>17</v>
      </c>
      <c r="S32" s="774">
        <f t="shared" si="12"/>
        <v>100</v>
      </c>
      <c r="T32" s="773" t="s">
        <v>17</v>
      </c>
      <c r="U32" s="774">
        <f t="shared" si="13"/>
        <v>100</v>
      </c>
      <c r="V32" s="773" t="s">
        <v>17</v>
      </c>
      <c r="W32" s="774">
        <f t="shared" si="14"/>
        <v>100</v>
      </c>
      <c r="X32" s="1811"/>
      <c r="Y32" s="3227" t="s">
        <v>2525</v>
      </c>
      <c r="Z32" s="1812">
        <f t="shared" si="15"/>
        <v>111</v>
      </c>
      <c r="AA32" s="1809">
        <f t="shared" si="3"/>
        <v>1</v>
      </c>
      <c r="AB32" s="1809">
        <f t="shared" si="4"/>
        <v>1</v>
      </c>
      <c r="AC32" s="1809">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7"/>
      <c r="Q33" s="1808">
        <f t="shared" si="11"/>
        <v>111</v>
      </c>
      <c r="R33" s="773" t="s">
        <v>17</v>
      </c>
      <c r="S33" s="774">
        <f t="shared" si="12"/>
        <v>100</v>
      </c>
      <c r="T33" s="773" t="s">
        <v>17</v>
      </c>
      <c r="U33" s="774">
        <f t="shared" si="13"/>
        <v>100</v>
      </c>
      <c r="V33" s="773" t="s">
        <v>17</v>
      </c>
      <c r="W33" s="774">
        <f t="shared" si="14"/>
        <v>100</v>
      </c>
      <c r="X33" s="1811"/>
      <c r="Y33" s="3227"/>
      <c r="Z33" s="1812">
        <f t="shared" si="15"/>
        <v>111</v>
      </c>
      <c r="AA33" s="1809">
        <f t="shared" si="3"/>
        <v>1</v>
      </c>
      <c r="AB33" s="1809">
        <f t="shared" si="4"/>
        <v>1</v>
      </c>
      <c r="AC33" s="1809">
        <f t="shared" si="5"/>
        <v>1</v>
      </c>
    </row>
    <row r="34" spans="1:29" ht="15.75" thickBot="1">
      <c r="A34" s="477"/>
      <c r="B34" s="2597">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27"/>
      <c r="Q34" s="1808">
        <f t="shared" si="11"/>
        <v>111</v>
      </c>
      <c r="R34" s="773" t="s">
        <v>17</v>
      </c>
      <c r="S34" s="774">
        <f t="shared" si="12"/>
        <v>100</v>
      </c>
      <c r="T34" s="773" t="s">
        <v>17</v>
      </c>
      <c r="U34" s="774">
        <f t="shared" si="13"/>
        <v>100</v>
      </c>
      <c r="V34" s="773" t="s">
        <v>17</v>
      </c>
      <c r="W34" s="774">
        <f t="shared" si="14"/>
        <v>100</v>
      </c>
      <c r="X34" s="1811"/>
      <c r="Y34" s="3227"/>
      <c r="Z34" s="1812">
        <f t="shared" si="15"/>
        <v>111</v>
      </c>
      <c r="AA34" s="1809">
        <f t="shared" si="3"/>
        <v>1</v>
      </c>
      <c r="AB34" s="1809">
        <f t="shared" si="4"/>
        <v>1</v>
      </c>
      <c r="AC34" s="1809">
        <f t="shared" si="5"/>
        <v>1</v>
      </c>
    </row>
    <row r="35" spans="1:29" ht="15">
      <c r="A35" s="478" t="s">
        <v>2537</v>
      </c>
      <c r="B35" s="479"/>
      <c r="C35" s="1405" t="s">
        <v>1</v>
      </c>
      <c r="D35" s="1406"/>
      <c r="E35" s="1407"/>
      <c r="F35" s="1408"/>
      <c r="G35" s="1409"/>
      <c r="H35" s="1410"/>
      <c r="I35" s="1407"/>
      <c r="J35" s="1410"/>
      <c r="K35" s="782"/>
      <c r="L35" s="1141"/>
      <c r="M35" s="1142"/>
      <c r="N35" s="1129"/>
      <c r="O35" s="1142"/>
      <c r="P35" s="3215" t="str">
        <f>A35</f>
        <v>成交单价（元/平方米）</v>
      </c>
      <c r="Q35" s="3215"/>
      <c r="R35" s="3216">
        <f>E35</f>
        <v>0</v>
      </c>
      <c r="S35" s="3216"/>
      <c r="T35" s="3216">
        <f>G35</f>
        <v>0</v>
      </c>
      <c r="U35" s="3216"/>
      <c r="V35" s="3216">
        <f>I35</f>
        <v>0</v>
      </c>
      <c r="W35" s="3216"/>
      <c r="X35" s="758"/>
      <c r="Y35" s="780"/>
      <c r="Z35" s="758"/>
      <c r="AA35" s="758"/>
      <c r="AB35" s="758"/>
      <c r="AC35" s="758"/>
    </row>
    <row r="36" spans="1:29" ht="15.75" thickBot="1">
      <c r="A36" s="485" t="s">
        <v>2629</v>
      </c>
      <c r="B36" s="486"/>
      <c r="C36" s="1411" t="e">
        <f>R37</f>
        <v>#DIV/0!</v>
      </c>
      <c r="D36" s="1412"/>
      <c r="E36" s="1413" t="e">
        <f>R36</f>
        <v>#DIV/0!</v>
      </c>
      <c r="F36" s="1413"/>
      <c r="G36" s="1411" t="e">
        <f>T36</f>
        <v>#DIV/0!</v>
      </c>
      <c r="H36" s="1412"/>
      <c r="I36" s="1413" t="e">
        <f>V36</f>
        <v>#DIV/0!</v>
      </c>
      <c r="J36" s="1412"/>
      <c r="K36" s="783"/>
      <c r="L36" s="1141"/>
      <c r="M36" s="1142"/>
      <c r="N36" s="1129"/>
      <c r="O36" s="1142"/>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75" thickBot="1">
      <c r="A37" s="491" t="s">
        <v>2630</v>
      </c>
      <c r="B37" s="492"/>
      <c r="C37" s="1415" t="e">
        <f>R37</f>
        <v>#DIV/0!</v>
      </c>
      <c r="D37" s="1415"/>
      <c r="E37" s="1415"/>
      <c r="F37" s="1415"/>
      <c r="G37" s="1415"/>
      <c r="H37" s="1415"/>
      <c r="I37" s="1415"/>
      <c r="J37" s="1415"/>
      <c r="K37" s="784"/>
      <c r="L37" s="1141"/>
      <c r="M37" s="1142"/>
      <c r="N37" s="1142"/>
      <c r="O37" s="1142"/>
      <c r="P37" s="3217" t="str">
        <f>A37</f>
        <v>估价对象XX用房的比较价值（楼面单价，元/平方米）</v>
      </c>
      <c r="Q37" s="3218"/>
      <c r="R37" s="3219" t="e">
        <f>IF(F1="售价",ROUND(AVERAGE(R36:V36),0),ROUND(AVERAGE(R36:V36),1))</f>
        <v>#DIV/0!</v>
      </c>
      <c r="S37" s="3219"/>
      <c r="T37" s="3219"/>
      <c r="U37" s="3219"/>
      <c r="V37" s="3219"/>
      <c r="W37" s="321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2631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2632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2633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2634</v>
      </c>
      <c r="B45" s="758"/>
      <c r="C45" s="763"/>
      <c r="D45" s="763"/>
      <c r="E45" s="763"/>
      <c r="F45" s="764"/>
      <c r="G45" s="764"/>
      <c r="H45" s="763"/>
      <c r="I45" s="763"/>
      <c r="J45" s="763"/>
      <c r="K45" s="765"/>
      <c r="L45" s="766"/>
      <c r="M45" s="763"/>
      <c r="N45" s="763"/>
      <c r="O45" s="763"/>
      <c r="P45" s="502"/>
      <c r="Q45" s="503"/>
    </row>
    <row r="46" spans="1:29" s="507" customFormat="1" ht="15">
      <c r="A46" s="504" t="s">
        <v>2508</v>
      </c>
      <c r="B46" s="505"/>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2545</v>
      </c>
      <c r="B48" s="515"/>
      <c r="C48" s="516"/>
      <c r="D48" s="517"/>
      <c r="E48" s="517"/>
      <c r="F48" s="517"/>
      <c r="G48" s="517"/>
      <c r="H48" s="517"/>
      <c r="I48" s="517"/>
      <c r="J48" s="517"/>
      <c r="K48" s="517"/>
      <c r="L48" s="517"/>
      <c r="M48" s="518"/>
      <c r="N48" s="517"/>
      <c r="O48" s="519"/>
      <c r="P48" s="503"/>
      <c r="Q48" s="503"/>
    </row>
    <row r="49" spans="1:17" s="116" customFormat="1" ht="15">
      <c r="A49" s="520" t="s">
        <v>2510</v>
      </c>
      <c r="B49" s="509"/>
      <c r="C49" s="521" t="s">
        <v>2612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2548</v>
      </c>
      <c r="B51" s="527" t="s">
        <v>2514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2517</v>
      </c>
      <c r="C53" s="538" t="s">
        <v>2549</v>
      </c>
      <c r="D53" s="538" t="s">
        <v>2550</v>
      </c>
      <c r="E53" s="538" t="s">
        <v>2551</v>
      </c>
      <c r="F53" s="538" t="s">
        <v>2552</v>
      </c>
      <c r="G53" s="538" t="s">
        <v>2553</v>
      </c>
      <c r="H53" s="538" t="s">
        <v>2554</v>
      </c>
      <c r="I53" s="538" t="s">
        <v>2555</v>
      </c>
      <c r="J53" s="538"/>
      <c r="K53" s="539"/>
      <c r="L53" s="540"/>
      <c r="M53" s="541"/>
      <c r="N53" s="1150"/>
      <c r="O53" s="1150"/>
      <c r="P53" s="45"/>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2519</v>
      </c>
      <c r="B61" s="527" t="s">
        <v>2562</v>
      </c>
      <c r="C61" s="572" t="s">
        <v>2557</v>
      </c>
      <c r="D61" s="572" t="s">
        <v>2558</v>
      </c>
      <c r="E61" s="572" t="s">
        <v>2559</v>
      </c>
      <c r="F61" s="572" t="s">
        <v>2560</v>
      </c>
      <c r="G61" s="572" t="s">
        <v>2561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2700</v>
      </c>
      <c r="C63" s="577" t="s">
        <v>2557</v>
      </c>
      <c r="D63" s="577" t="s">
        <v>2558</v>
      </c>
      <c r="E63" s="577" t="s">
        <v>2559</v>
      </c>
      <c r="F63" s="577" t="s">
        <v>2560</v>
      </c>
      <c r="G63" s="577" t="s">
        <v>2561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2649</v>
      </c>
      <c r="C65" s="659" t="s">
        <v>2635</v>
      </c>
      <c r="D65" s="659" t="s">
        <v>2636</v>
      </c>
      <c r="E65" s="659" t="s">
        <v>2637</v>
      </c>
      <c r="F65" s="659" t="s">
        <v>2638</v>
      </c>
      <c r="G65" s="659" t="s">
        <v>2639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2569</v>
      </c>
      <c r="C67" s="577" t="s">
        <v>2557</v>
      </c>
      <c r="D67" s="577" t="s">
        <v>2558</v>
      </c>
      <c r="E67" s="577" t="s">
        <v>2559</v>
      </c>
      <c r="F67" s="577" t="s">
        <v>2560</v>
      </c>
      <c r="G67" s="577" t="s">
        <v>2561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2689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2523</v>
      </c>
      <c r="B77" s="527" t="s">
        <v>2576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2692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2693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2701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2702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2703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C11" sqref="C1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2704</v>
      </c>
      <c r="B1" s="394"/>
      <c r="C1" s="395" t="s">
        <v>2705</v>
      </c>
      <c r="D1" s="754"/>
      <c r="E1" s="754"/>
      <c r="F1" s="753" t="s">
        <v>2603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2290</v>
      </c>
      <c r="B2" s="670">
        <f>F66</f>
        <v>239</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2292</v>
      </c>
      <c r="B3" s="608">
        <f>ROUND(IF(D3="",B2*10000/'数据-汇总表'!E3,B2*10000/D3),0)</f>
        <v>10802</v>
      </c>
      <c r="C3" s="246" t="s">
        <v>2706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40" t="s">
        <v>2608</v>
      </c>
      <c r="AC4" s="3239" t="s">
        <v>2609</v>
      </c>
    </row>
    <row r="5" spans="1:30" ht="15">
      <c r="A5" s="403"/>
      <c r="B5" s="404"/>
      <c r="C5" s="3262" t="s">
        <v>2502</v>
      </c>
      <c r="D5" s="3254"/>
      <c r="E5" s="3261" t="str">
        <f>Sheet2!$A$3</f>
        <v>惠山区利市路与惠宁路交叉口东南侧</v>
      </c>
      <c r="F5" s="3256"/>
      <c r="G5" s="3262" t="str">
        <f>Sheet2!$A$4</f>
        <v>惠山区天丰路与西元路交叉口西北侧</v>
      </c>
      <c r="H5" s="3254"/>
      <c r="I5" s="3262" t="str">
        <f>Sheet2!$A$5</f>
        <v>惠山区凤宾路与林新路交叉口</v>
      </c>
      <c r="J5" s="3254"/>
      <c r="K5" s="609"/>
      <c r="L5" s="1128"/>
      <c r="M5" s="1129"/>
      <c r="N5" s="1129"/>
      <c r="O5" s="1129"/>
      <c r="P5" s="3249"/>
      <c r="Q5" s="3250"/>
      <c r="R5" s="3235"/>
      <c r="S5" s="3236"/>
      <c r="T5" s="3235"/>
      <c r="U5" s="3236"/>
      <c r="V5" s="3232"/>
      <c r="W5" s="3232"/>
      <c r="X5" s="1811"/>
      <c r="Y5" s="3235"/>
      <c r="Z5" s="3236"/>
      <c r="AA5" s="3240"/>
      <c r="AB5" s="3240"/>
      <c r="AC5" s="3240"/>
    </row>
    <row r="6" spans="1:30" ht="15.75" thickBot="1">
      <c r="A6" s="405"/>
      <c r="B6" s="406"/>
      <c r="C6" s="3257" t="s">
        <v>2506</v>
      </c>
      <c r="D6" s="3258"/>
      <c r="E6" s="3259" t="s">
        <v>2506</v>
      </c>
      <c r="F6" s="3260"/>
      <c r="G6" s="3257" t="s">
        <v>2506</v>
      </c>
      <c r="H6" s="3258"/>
      <c r="I6" s="3257" t="s">
        <v>2506</v>
      </c>
      <c r="J6" s="3258"/>
      <c r="K6" s="609" t="s">
        <v>2507</v>
      </c>
      <c r="L6" s="1128"/>
      <c r="M6" s="1129"/>
      <c r="N6" s="1129"/>
      <c r="O6" s="1129"/>
      <c r="P6" s="3251"/>
      <c r="Q6" s="3252"/>
      <c r="R6" s="3235"/>
      <c r="S6" s="3236"/>
      <c r="T6" s="3237"/>
      <c r="U6" s="3238"/>
      <c r="V6" s="3232"/>
      <c r="W6" s="3232"/>
      <c r="X6" s="1811"/>
      <c r="Y6" s="3237"/>
      <c r="Z6" s="3238"/>
      <c r="AA6" s="3241"/>
      <c r="AB6" s="3241"/>
      <c r="AC6" s="3241"/>
    </row>
    <row r="7" spans="1:30" s="116" customFormat="1" ht="15.75" thickBot="1">
      <c r="A7" s="407" t="s">
        <v>2508</v>
      </c>
      <c r="B7" s="408"/>
      <c r="C7" s="409">
        <f>'数据-取费表'!B2</f>
        <v>43906</v>
      </c>
      <c r="D7" s="410">
        <v>100</v>
      </c>
      <c r="E7" s="411" t="str">
        <f>Sheet2!H3</f>
        <v>2019-10-10</v>
      </c>
      <c r="F7" s="412">
        <f>SUMIF(70:70,YEAR(E7)&amp;"-"&amp;INT((MONTH(E7)+2)/3),71:71)</f>
        <v>99.5</v>
      </c>
      <c r="G7" s="2690" t="str">
        <f>Sheet2!H4</f>
        <v>2019-05-30</v>
      </c>
      <c r="H7" s="410">
        <f>SUMIF(70:70,YEAR(G7)&amp;"-"&amp;INT((MONTH(G7)+2)/3),71:71)</f>
        <v>98.5</v>
      </c>
      <c r="I7" s="2690" t="str">
        <f>Sheet2!H5</f>
        <v>2019-05-30</v>
      </c>
      <c r="J7" s="410">
        <f>SUMIF(70:70,YEAR(I7)&amp;"-"&amp;INT((MONTH(I7)+2)/3),71:71)</f>
        <v>98.5</v>
      </c>
      <c r="K7" s="610"/>
      <c r="L7" s="1130"/>
      <c r="M7" s="1131"/>
      <c r="N7" s="1131"/>
      <c r="O7" s="1131"/>
      <c r="P7" s="3229" t="s">
        <v>2509</v>
      </c>
      <c r="Q7" s="3242"/>
      <c r="R7" s="769" t="s">
        <v>17</v>
      </c>
      <c r="S7" s="770">
        <f t="shared" ref="S7:S15" si="0">F7</f>
        <v>99.5</v>
      </c>
      <c r="T7" s="769" t="s">
        <v>17</v>
      </c>
      <c r="U7" s="770">
        <f t="shared" ref="U7:U15" si="1">H7</f>
        <v>98.5</v>
      </c>
      <c r="V7" s="769" t="s">
        <v>17</v>
      </c>
      <c r="W7" s="770">
        <f t="shared" ref="W7:W15" si="2">J7</f>
        <v>98.5</v>
      </c>
      <c r="X7" s="771"/>
      <c r="Y7" s="3229" t="s">
        <v>2509</v>
      </c>
      <c r="Z7" s="3230"/>
      <c r="AA7" s="772">
        <f>D7/F7</f>
        <v>1.0050251256281406</v>
      </c>
      <c r="AB7" s="772">
        <f>D7/H7</f>
        <v>1.015228426395939</v>
      </c>
      <c r="AC7" s="772">
        <f>D7/J7</f>
        <v>1.015228426395939</v>
      </c>
    </row>
    <row r="8" spans="1:30" s="116" customFormat="1" ht="15.75" thickBot="1">
      <c r="A8" s="407" t="s">
        <v>2510</v>
      </c>
      <c r="B8" s="408"/>
      <c r="C8" s="413" t="s">
        <v>2511</v>
      </c>
      <c r="D8" s="410">
        <v>100</v>
      </c>
      <c r="E8" s="413" t="s">
        <v>3107</v>
      </c>
      <c r="F8" s="412">
        <f>SUMIF(73:73,E8,74:74)-SUMIF(73:73,C8,74:74)+100</f>
        <v>100</v>
      </c>
      <c r="G8" s="413" t="s">
        <v>3107</v>
      </c>
      <c r="H8" s="410">
        <f>SUMIF(73:73,G8,74:74)-SUMIF(73:73,C8,74:74)+100</f>
        <v>100</v>
      </c>
      <c r="I8" s="413" t="s">
        <v>3107</v>
      </c>
      <c r="J8" s="410">
        <f>SUMIF(73:73,I8,74:74)-SUMIF(73:73,C8,74:74)+100</f>
        <v>100</v>
      </c>
      <c r="K8" s="610"/>
      <c r="L8" s="1130"/>
      <c r="M8" s="1131"/>
      <c r="N8" s="1131"/>
      <c r="O8" s="1131"/>
      <c r="P8" s="3229" t="s">
        <v>2512</v>
      </c>
      <c r="Q8" s="3230"/>
      <c r="R8" s="769" t="s">
        <v>17</v>
      </c>
      <c r="S8" s="770">
        <f t="shared" si="0"/>
        <v>100</v>
      </c>
      <c r="T8" s="769" t="s">
        <v>17</v>
      </c>
      <c r="U8" s="770">
        <f t="shared" si="1"/>
        <v>100</v>
      </c>
      <c r="V8" s="769" t="s">
        <v>17</v>
      </c>
      <c r="W8" s="770">
        <f t="shared" si="2"/>
        <v>100</v>
      </c>
      <c r="X8" s="771"/>
      <c r="Y8" s="3229" t="s">
        <v>2512</v>
      </c>
      <c r="Z8" s="3230"/>
      <c r="AA8" s="772">
        <f t="shared" ref="AA8:AA45" si="3">D8/F8</f>
        <v>1</v>
      </c>
      <c r="AB8" s="772">
        <f t="shared" ref="AB8:AB45" si="4">D8/H8</f>
        <v>1</v>
      </c>
      <c r="AC8" s="772">
        <f t="shared" ref="AC8:AC45" si="5">D8/J8</f>
        <v>1</v>
      </c>
    </row>
    <row r="9" spans="1:30" s="116" customFormat="1">
      <c r="A9" s="414" t="s">
        <v>2513</v>
      </c>
      <c r="B9" s="71" t="s">
        <v>2514</v>
      </c>
      <c r="C9" s="2693" t="s">
        <v>3018</v>
      </c>
      <c r="D9" s="134">
        <v>100</v>
      </c>
      <c r="E9" s="2693" t="s">
        <v>3018</v>
      </c>
      <c r="F9" s="134">
        <f>SUMIF(75:75,E9,76:76)-SUMIF(75:75,C9,76:76)+100</f>
        <v>100</v>
      </c>
      <c r="G9" s="2693" t="s">
        <v>3224</v>
      </c>
      <c r="H9" s="134">
        <f>SUMIF(75:75,G9,76:76)-SUMIF(75:75,C9,76:76)+100</f>
        <v>90</v>
      </c>
      <c r="I9" s="2693" t="s">
        <v>3224</v>
      </c>
      <c r="J9" s="134">
        <f>SUMIF(75:75,I9,76:76)-SUMIF(75:75,C9,76:76)+100</f>
        <v>90</v>
      </c>
      <c r="K9" s="610"/>
      <c r="L9" s="1130"/>
      <c r="M9" s="1131"/>
      <c r="N9" s="1131"/>
      <c r="O9" s="1132"/>
      <c r="P9" s="3215" t="s">
        <v>2515</v>
      </c>
      <c r="Q9" s="1793" t="str">
        <f t="shared" ref="Q9:Q15" si="6">B9</f>
        <v>用途</v>
      </c>
      <c r="R9" s="769" t="s">
        <v>17</v>
      </c>
      <c r="S9" s="770">
        <f t="shared" si="0"/>
        <v>100</v>
      </c>
      <c r="T9" s="769" t="s">
        <v>17</v>
      </c>
      <c r="U9" s="770">
        <f t="shared" si="1"/>
        <v>90</v>
      </c>
      <c r="V9" s="769" t="s">
        <v>17</v>
      </c>
      <c r="W9" s="770">
        <f t="shared" si="2"/>
        <v>90</v>
      </c>
      <c r="X9" s="771"/>
      <c r="Y9" s="3063" t="s">
        <v>2516</v>
      </c>
      <c r="Z9" s="55" t="str">
        <f t="shared" ref="Z9:Z15" si="7">Q9</f>
        <v>用途</v>
      </c>
      <c r="AA9" s="772">
        <f t="shared" si="3"/>
        <v>1</v>
      </c>
      <c r="AB9" s="772">
        <f t="shared" si="4"/>
        <v>1.1111111111111112</v>
      </c>
      <c r="AC9" s="772">
        <f t="shared" si="5"/>
        <v>1.1111111111111112</v>
      </c>
    </row>
    <row r="10" spans="1:30" s="426" customFormat="1" ht="28.5">
      <c r="A10" s="420"/>
      <c r="B10" s="421" t="s">
        <v>2517</v>
      </c>
      <c r="C10" s="431">
        <f>项目基本情况!D15</f>
        <v>69.150000000000006</v>
      </c>
      <c r="D10" s="135">
        <v>100</v>
      </c>
      <c r="E10" s="464" t="s">
        <v>3228</v>
      </c>
      <c r="F10" s="135">
        <f>ROUND(100/'数据-取费表'!G16,0)</f>
        <v>100</v>
      </c>
      <c r="G10" s="462" t="s">
        <v>3226</v>
      </c>
      <c r="H10" s="135">
        <f>ROUND(100/'数据-取费表'!G16,0)</f>
        <v>100</v>
      </c>
      <c r="I10" s="462" t="s">
        <v>3227</v>
      </c>
      <c r="J10" s="135">
        <f>ROUND(100/'数据-取费表'!G16,0)</f>
        <v>100</v>
      </c>
      <c r="K10" s="671"/>
      <c r="L10" s="1133"/>
      <c r="M10" s="1134"/>
      <c r="N10" s="1134"/>
      <c r="O10" s="1135"/>
      <c r="P10" s="3215"/>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30" ht="15.75" thickBot="1">
      <c r="A11" s="427"/>
      <c r="B11" s="421" t="s">
        <v>2518</v>
      </c>
      <c r="C11" s="428">
        <f>'数据-汇总表'!I7</f>
        <v>2.2200000000000002</v>
      </c>
      <c r="D11" s="135">
        <v>100</v>
      </c>
      <c r="E11" s="428">
        <v>2.4</v>
      </c>
      <c r="F11" s="135">
        <f>LOOKUP(E11,80:80,81:81)-LOOKUP(C11,80:80,81:81)+100</f>
        <v>100</v>
      </c>
      <c r="G11" s="429">
        <v>2.5</v>
      </c>
      <c r="H11" s="135">
        <f>LOOKUP(G11,80:80,81:81)-LOOKUP(C11,80:80,81:81)+100</f>
        <v>100</v>
      </c>
      <c r="I11" s="428">
        <v>2.75</v>
      </c>
      <c r="J11" s="135">
        <f>LOOKUP(I11,80:80,81:81)-LOOKUP(C11,80:80,81:81)+100</f>
        <v>100</v>
      </c>
      <c r="K11" s="672">
        <v>1</v>
      </c>
      <c r="L11" s="1136"/>
      <c r="M11" s="1129"/>
      <c r="N11" s="1129"/>
      <c r="O11" s="1137"/>
      <c r="P11" s="3215"/>
      <c r="Q11" s="1793" t="str">
        <f t="shared" si="6"/>
        <v>容积率</v>
      </c>
      <c r="R11" s="769" t="s">
        <v>17</v>
      </c>
      <c r="S11" s="770">
        <f t="shared" si="0"/>
        <v>100</v>
      </c>
      <c r="T11" s="769" t="s">
        <v>17</v>
      </c>
      <c r="U11" s="770">
        <f t="shared" si="1"/>
        <v>100</v>
      </c>
      <c r="V11" s="769" t="s">
        <v>17</v>
      </c>
      <c r="W11" s="770">
        <f t="shared" si="2"/>
        <v>100</v>
      </c>
      <c r="X11" s="771"/>
      <c r="Y11" s="3063"/>
      <c r="Z11" s="55" t="str">
        <f t="shared" si="7"/>
        <v>容积率</v>
      </c>
      <c r="AA11" s="772">
        <f t="shared" si="3"/>
        <v>1</v>
      </c>
      <c r="AB11" s="772">
        <f t="shared" si="4"/>
        <v>1</v>
      </c>
      <c r="AC11" s="772">
        <f t="shared" si="5"/>
        <v>1</v>
      </c>
    </row>
    <row r="12" spans="1:30" s="116" customFormat="1" ht="15" hidden="1">
      <c r="A12" s="430"/>
      <c r="B12" s="2595" t="s">
        <v>2707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5"/>
      <c r="Q12" s="1793" t="str">
        <f t="shared" si="6"/>
        <v>配建</v>
      </c>
      <c r="R12" s="769" t="s">
        <v>17</v>
      </c>
      <c r="S12" s="770">
        <f t="shared" si="0"/>
        <v>100</v>
      </c>
      <c r="T12" s="769" t="s">
        <v>17</v>
      </c>
      <c r="U12" s="770">
        <f t="shared" si="1"/>
        <v>100</v>
      </c>
      <c r="V12" s="769" t="s">
        <v>17</v>
      </c>
      <c r="W12" s="770">
        <f t="shared" si="2"/>
        <v>100</v>
      </c>
      <c r="X12" s="771"/>
      <c r="Y12" s="3063"/>
      <c r="Z12" s="55" t="str">
        <f t="shared" si="7"/>
        <v>配建</v>
      </c>
      <c r="AA12" s="772">
        <f>D12/F12</f>
        <v>1</v>
      </c>
      <c r="AB12" s="772">
        <f>D12/H12</f>
        <v>1</v>
      </c>
      <c r="AC12" s="772">
        <f>D12/J12</f>
        <v>1</v>
      </c>
    </row>
    <row r="13" spans="1:30" ht="15" hidden="1">
      <c r="A13" s="427"/>
      <c r="B13" s="2595">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5"/>
      <c r="Q13" s="1793">
        <f t="shared" si="6"/>
        <v>111</v>
      </c>
      <c r="R13" s="769" t="s">
        <v>17</v>
      </c>
      <c r="S13" s="770">
        <f t="shared" si="0"/>
        <v>100</v>
      </c>
      <c r="T13" s="769" t="s">
        <v>17</v>
      </c>
      <c r="U13" s="770">
        <f t="shared" si="1"/>
        <v>100</v>
      </c>
      <c r="V13" s="769" t="s">
        <v>17</v>
      </c>
      <c r="W13" s="770">
        <f t="shared" si="2"/>
        <v>100</v>
      </c>
      <c r="X13" s="771"/>
      <c r="Y13" s="3063"/>
      <c r="Z13" s="55">
        <f t="shared" si="7"/>
        <v>111</v>
      </c>
      <c r="AA13" s="772">
        <f>D13/F13</f>
        <v>1</v>
      </c>
      <c r="AB13" s="772">
        <f>D13/H13</f>
        <v>1</v>
      </c>
      <c r="AC13" s="772">
        <f>D13/J13</f>
        <v>1</v>
      </c>
    </row>
    <row r="14" spans="1:30" ht="15.75" hidden="1"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5"/>
      <c r="Q14" s="1793">
        <f t="shared" si="6"/>
        <v>111</v>
      </c>
      <c r="R14" s="769" t="s">
        <v>17</v>
      </c>
      <c r="S14" s="770">
        <f t="shared" si="0"/>
        <v>100</v>
      </c>
      <c r="T14" s="769" t="s">
        <v>17</v>
      </c>
      <c r="U14" s="770">
        <f t="shared" si="1"/>
        <v>100</v>
      </c>
      <c r="V14" s="769" t="s">
        <v>17</v>
      </c>
      <c r="W14" s="770">
        <f t="shared" si="2"/>
        <v>100</v>
      </c>
      <c r="X14" s="771"/>
      <c r="Y14" s="3063"/>
      <c r="Z14" s="55">
        <f t="shared" si="7"/>
        <v>111</v>
      </c>
      <c r="AA14" s="772">
        <f>D14/F14</f>
        <v>1</v>
      </c>
      <c r="AB14" s="772">
        <f>D14/H14</f>
        <v>1</v>
      </c>
      <c r="AC14" s="772">
        <f>D14/J14</f>
        <v>1</v>
      </c>
    </row>
    <row r="15" spans="1:30" ht="99.75">
      <c r="A15" s="439" t="s">
        <v>2519</v>
      </c>
      <c r="B15" s="69" t="s">
        <v>2046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1</v>
      </c>
      <c r="L15" s="1138"/>
      <c r="M15" s="1129"/>
      <c r="N15" s="1129"/>
      <c r="O15" s="1137"/>
      <c r="P15" s="3222" t="s">
        <v>2520</v>
      </c>
      <c r="Q15" s="1808" t="str">
        <f t="shared" si="6"/>
        <v>居住社区成熟度</v>
      </c>
      <c r="R15" s="773" t="s">
        <v>17</v>
      </c>
      <c r="S15" s="774">
        <f t="shared" si="0"/>
        <v>100</v>
      </c>
      <c r="T15" s="773" t="s">
        <v>17</v>
      </c>
      <c r="U15" s="774">
        <f t="shared" si="1"/>
        <v>100</v>
      </c>
      <c r="V15" s="773" t="s">
        <v>17</v>
      </c>
      <c r="W15" s="774">
        <f t="shared" si="2"/>
        <v>100</v>
      </c>
      <c r="X15" s="1811"/>
      <c r="Y15" s="3222" t="s">
        <v>2520</v>
      </c>
      <c r="Z15" s="1812" t="str">
        <f t="shared" si="7"/>
        <v>居住社区成熟度</v>
      </c>
      <c r="AA15" s="1809">
        <f t="shared" si="3"/>
        <v>1</v>
      </c>
      <c r="AB15" s="1809">
        <f t="shared" si="4"/>
        <v>1</v>
      </c>
      <c r="AC15" s="1809">
        <f t="shared" si="5"/>
        <v>1</v>
      </c>
    </row>
    <row r="16" spans="1:30" ht="15">
      <c r="A16" s="427"/>
      <c r="B16" s="445"/>
      <c r="C16" s="446" t="s">
        <v>3229</v>
      </c>
      <c r="D16" s="447"/>
      <c r="E16" s="2600" t="s">
        <v>3229</v>
      </c>
      <c r="F16" s="447"/>
      <c r="G16" s="2600" t="s">
        <v>3229</v>
      </c>
      <c r="H16" s="449"/>
      <c r="I16" s="2599" t="s">
        <v>3229</v>
      </c>
      <c r="J16" s="447"/>
      <c r="K16" s="671"/>
      <c r="L16" s="1138"/>
      <c r="M16" s="1129"/>
      <c r="N16" s="1129"/>
      <c r="O16" s="1137"/>
      <c r="P16" s="3223"/>
      <c r="Q16" s="1808"/>
      <c r="R16" s="773"/>
      <c r="S16" s="774"/>
      <c r="T16" s="773"/>
      <c r="U16" s="774"/>
      <c r="V16" s="773"/>
      <c r="W16" s="774"/>
      <c r="X16" s="1811"/>
      <c r="Y16" s="3223"/>
      <c r="Z16" s="1812"/>
      <c r="AA16" s="1809">
        <v>1</v>
      </c>
      <c r="AB16" s="1809">
        <v>1</v>
      </c>
      <c r="AC16" s="1809">
        <v>1</v>
      </c>
    </row>
    <row r="17" spans="1:29" ht="71.25" hidden="1">
      <c r="A17" s="427"/>
      <c r="B17" s="450" t="s">
        <v>2613</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3"/>
      <c r="Q17" s="1808" t="str">
        <f>B17</f>
        <v>商业繁华度</v>
      </c>
      <c r="R17" s="773" t="s">
        <v>17</v>
      </c>
      <c r="S17" s="774">
        <f>F17</f>
        <v>100</v>
      </c>
      <c r="T17" s="773" t="s">
        <v>17</v>
      </c>
      <c r="U17" s="774">
        <f>H17</f>
        <v>100</v>
      </c>
      <c r="V17" s="773" t="s">
        <v>17</v>
      </c>
      <c r="W17" s="774">
        <f>J17</f>
        <v>100</v>
      </c>
      <c r="X17" s="1811"/>
      <c r="Y17" s="3223"/>
      <c r="Z17" s="1812" t="str">
        <f>Q17</f>
        <v>商业繁华度</v>
      </c>
      <c r="AA17" s="1809">
        <f t="shared" si="3"/>
        <v>1</v>
      </c>
      <c r="AB17" s="1809">
        <f t="shared" si="4"/>
        <v>1</v>
      </c>
      <c r="AC17" s="1809">
        <f t="shared" si="5"/>
        <v>1</v>
      </c>
    </row>
    <row r="18" spans="1:29" ht="15" hidden="1">
      <c r="A18" s="427"/>
      <c r="B18" s="455"/>
      <c r="C18" s="2603"/>
      <c r="D18" s="449"/>
      <c r="E18" s="2605"/>
      <c r="F18" s="449"/>
      <c r="G18" s="2605"/>
      <c r="H18" s="447"/>
      <c r="I18" s="2604"/>
      <c r="J18" s="447"/>
      <c r="K18" s="671"/>
      <c r="L18" s="1138"/>
      <c r="M18" s="1129"/>
      <c r="N18" s="1129"/>
      <c r="O18" s="1137"/>
      <c r="P18" s="3223"/>
      <c r="Q18" s="1808"/>
      <c r="R18" s="773"/>
      <c r="S18" s="774"/>
      <c r="T18" s="773"/>
      <c r="U18" s="774"/>
      <c r="V18" s="773"/>
      <c r="W18" s="774"/>
      <c r="X18" s="1811"/>
      <c r="Y18" s="3223"/>
      <c r="Z18" s="1812"/>
      <c r="AA18" s="1809">
        <v>1</v>
      </c>
      <c r="AB18" s="1809">
        <v>1</v>
      </c>
      <c r="AC18" s="1809">
        <v>1</v>
      </c>
    </row>
    <row r="19" spans="1:29" ht="71.25" hidden="1">
      <c r="A19" s="427"/>
      <c r="B19" s="450" t="s">
        <v>2647</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3"/>
      <c r="Q19" s="1808" t="str">
        <f>B19</f>
        <v>办公集聚程度</v>
      </c>
      <c r="R19" s="773" t="s">
        <v>17</v>
      </c>
      <c r="S19" s="774">
        <f>F19</f>
        <v>100</v>
      </c>
      <c r="T19" s="773" t="s">
        <v>17</v>
      </c>
      <c r="U19" s="774">
        <f>H19</f>
        <v>100</v>
      </c>
      <c r="V19" s="773" t="s">
        <v>17</v>
      </c>
      <c r="W19" s="774">
        <f>J19</f>
        <v>100</v>
      </c>
      <c r="X19" s="1811"/>
      <c r="Y19" s="3223"/>
      <c r="Z19" s="1812" t="str">
        <f>Q19</f>
        <v>办公集聚程度</v>
      </c>
      <c r="AA19" s="1809">
        <f t="shared" si="3"/>
        <v>1</v>
      </c>
      <c r="AB19" s="1809">
        <f t="shared" si="4"/>
        <v>1</v>
      </c>
      <c r="AC19" s="1809">
        <f t="shared" si="5"/>
        <v>1</v>
      </c>
    </row>
    <row r="20" spans="1:29" ht="15" hidden="1">
      <c r="A20" s="427"/>
      <c r="B20" s="455"/>
      <c r="C20" s="446"/>
      <c r="D20" s="447"/>
      <c r="E20" s="2600"/>
      <c r="F20" s="447"/>
      <c r="G20" s="2600"/>
      <c r="H20" s="447"/>
      <c r="I20" s="2599"/>
      <c r="J20" s="447"/>
      <c r="K20" s="671"/>
      <c r="L20" s="1138"/>
      <c r="M20" s="1129"/>
      <c r="N20" s="1129"/>
      <c r="O20" s="1137"/>
      <c r="P20" s="3223"/>
      <c r="Q20" s="1808"/>
      <c r="R20" s="773"/>
      <c r="S20" s="774"/>
      <c r="T20" s="773"/>
      <c r="U20" s="774"/>
      <c r="V20" s="773"/>
      <c r="W20" s="774"/>
      <c r="X20" s="1811"/>
      <c r="Y20" s="3223"/>
      <c r="Z20" s="1812"/>
      <c r="AA20" s="1809">
        <v>1</v>
      </c>
      <c r="AB20" s="1809">
        <v>1</v>
      </c>
      <c r="AC20" s="1809">
        <v>1</v>
      </c>
    </row>
    <row r="21" spans="1:29" ht="85.5">
      <c r="A21" s="427"/>
      <c r="B21" s="450" t="s">
        <v>2669</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8"/>
      <c r="M21" s="1129"/>
      <c r="N21" s="1129"/>
      <c r="O21" s="1137"/>
      <c r="P21" s="3223"/>
      <c r="Q21" s="1808" t="str">
        <f>B21</f>
        <v>交通便捷度</v>
      </c>
      <c r="R21" s="773" t="s">
        <v>17</v>
      </c>
      <c r="S21" s="774">
        <f>F21</f>
        <v>100</v>
      </c>
      <c r="T21" s="773" t="s">
        <v>17</v>
      </c>
      <c r="U21" s="774">
        <f>H21</f>
        <v>100</v>
      </c>
      <c r="V21" s="773" t="s">
        <v>17</v>
      </c>
      <c r="W21" s="774">
        <f>J21</f>
        <v>100</v>
      </c>
      <c r="X21" s="1811"/>
      <c r="Y21" s="3223"/>
      <c r="Z21" s="1812" t="str">
        <f>Q21</f>
        <v>交通便捷度</v>
      </c>
      <c r="AA21" s="1809">
        <f t="shared" si="3"/>
        <v>1</v>
      </c>
      <c r="AB21" s="1809">
        <f t="shared" si="4"/>
        <v>1</v>
      </c>
      <c r="AC21" s="1809">
        <f t="shared" si="5"/>
        <v>1</v>
      </c>
    </row>
    <row r="22" spans="1:29" ht="15">
      <c r="A22" s="427"/>
      <c r="B22" s="1382"/>
      <c r="C22" s="446" t="s">
        <v>3229</v>
      </c>
      <c r="D22" s="449"/>
      <c r="E22" s="2600" t="s">
        <v>3229</v>
      </c>
      <c r="F22" s="447"/>
      <c r="G22" s="2600" t="s">
        <v>3229</v>
      </c>
      <c r="H22" s="447"/>
      <c r="I22" s="2599" t="s">
        <v>3229</v>
      </c>
      <c r="J22" s="447"/>
      <c r="K22" s="671"/>
      <c r="L22" s="1138"/>
      <c r="M22" s="1129"/>
      <c r="N22" s="1129"/>
      <c r="O22" s="1137"/>
      <c r="P22" s="3223"/>
      <c r="Q22" s="1808"/>
      <c r="R22" s="773"/>
      <c r="S22" s="774"/>
      <c r="T22" s="773"/>
      <c r="U22" s="774"/>
      <c r="V22" s="773"/>
      <c r="W22" s="774"/>
      <c r="X22" s="1811"/>
      <c r="Y22" s="3223"/>
      <c r="Z22" s="1812"/>
      <c r="AA22" s="1809">
        <v>1</v>
      </c>
      <c r="AB22" s="1809">
        <v>1</v>
      </c>
      <c r="AC22" s="1809">
        <v>1</v>
      </c>
    </row>
    <row r="23" spans="1:29" ht="15">
      <c r="A23" s="403"/>
      <c r="B23" s="450" t="s">
        <v>2708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23"/>
      <c r="Q23" s="1808" t="str">
        <f t="shared" ref="Q23:Q37" si="8">B23</f>
        <v>区域土地利用方向</v>
      </c>
      <c r="R23" s="773" t="s">
        <v>17</v>
      </c>
      <c r="S23" s="774">
        <f>F23</f>
        <v>100</v>
      </c>
      <c r="T23" s="773" t="s">
        <v>17</v>
      </c>
      <c r="U23" s="774">
        <f>H23</f>
        <v>100</v>
      </c>
      <c r="V23" s="773" t="s">
        <v>17</v>
      </c>
      <c r="W23" s="774">
        <f>J23</f>
        <v>100</v>
      </c>
      <c r="X23" s="1811"/>
      <c r="Y23" s="3223"/>
      <c r="Z23" s="1812" t="str">
        <f>Q23</f>
        <v>区域土地利用方向</v>
      </c>
      <c r="AA23" s="1809">
        <f t="shared" si="3"/>
        <v>1</v>
      </c>
      <c r="AB23" s="1809">
        <f t="shared" si="4"/>
        <v>1</v>
      </c>
      <c r="AC23" s="1809">
        <f t="shared" si="5"/>
        <v>1</v>
      </c>
    </row>
    <row r="24" spans="1:29" ht="15">
      <c r="A24" s="403"/>
      <c r="B24" s="455"/>
      <c r="C24" s="615" t="s">
        <v>3229</v>
      </c>
      <c r="D24" s="447"/>
      <c r="E24" s="2600" t="s">
        <v>3229</v>
      </c>
      <c r="F24" s="447"/>
      <c r="G24" s="2599" t="s">
        <v>3229</v>
      </c>
      <c r="H24" s="447"/>
      <c r="I24" s="2599" t="s">
        <v>3229</v>
      </c>
      <c r="J24" s="447"/>
      <c r="K24" s="810"/>
      <c r="L24" s="1138"/>
      <c r="M24" s="1129"/>
      <c r="N24" s="1129"/>
      <c r="O24" s="1137"/>
      <c r="P24" s="3223"/>
      <c r="Q24" s="1808"/>
      <c r="R24" s="773"/>
      <c r="S24" s="774"/>
      <c r="T24" s="773"/>
      <c r="U24" s="774"/>
      <c r="V24" s="773"/>
      <c r="W24" s="774"/>
      <c r="X24" s="1811"/>
      <c r="Y24" s="3223"/>
      <c r="Z24" s="1812"/>
      <c r="AA24" s="1809"/>
      <c r="AB24" s="1809"/>
      <c r="AC24" s="1809"/>
    </row>
    <row r="25" spans="1:29" ht="57">
      <c r="A25" s="403"/>
      <c r="B25" s="1382" t="s">
        <v>2709</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8"/>
      <c r="M25" s="1129"/>
      <c r="N25" s="1129"/>
      <c r="O25" s="1137"/>
      <c r="P25" s="3223"/>
      <c r="Q25" s="1808" t="str">
        <f t="shared" si="8"/>
        <v>自然及人文环境状况</v>
      </c>
      <c r="R25" s="773" t="s">
        <v>17</v>
      </c>
      <c r="S25" s="774">
        <f>F25</f>
        <v>100</v>
      </c>
      <c r="T25" s="773" t="s">
        <v>17</v>
      </c>
      <c r="U25" s="774">
        <f>H25</f>
        <v>100</v>
      </c>
      <c r="V25" s="773" t="s">
        <v>17</v>
      </c>
      <c r="W25" s="774">
        <f>J25</f>
        <v>100</v>
      </c>
      <c r="X25" s="1811"/>
      <c r="Y25" s="3223"/>
      <c r="Z25" s="1812" t="str">
        <f>Q25</f>
        <v>自然及人文环境状况</v>
      </c>
      <c r="AA25" s="1809">
        <f t="shared" si="3"/>
        <v>1</v>
      </c>
      <c r="AB25" s="1809">
        <f t="shared" si="4"/>
        <v>1</v>
      </c>
      <c r="AC25" s="1809">
        <f t="shared" si="5"/>
        <v>1</v>
      </c>
    </row>
    <row r="26" spans="1:29" ht="15">
      <c r="A26" s="403"/>
      <c r="B26" s="455"/>
      <c r="C26" s="446" t="s">
        <v>3229</v>
      </c>
      <c r="D26" s="447"/>
      <c r="E26" s="2606" t="s">
        <v>3229</v>
      </c>
      <c r="F26" s="447"/>
      <c r="G26" s="2606" t="s">
        <v>3229</v>
      </c>
      <c r="H26" s="447"/>
      <c r="I26" s="446" t="s">
        <v>3229</v>
      </c>
      <c r="J26" s="447"/>
      <c r="K26" s="671"/>
      <c r="L26" s="1138"/>
      <c r="M26" s="1129"/>
      <c r="N26" s="1129"/>
      <c r="O26" s="1137"/>
      <c r="P26" s="3223"/>
      <c r="Q26" s="1808"/>
      <c r="R26" s="773"/>
      <c r="S26" s="774"/>
      <c r="T26" s="773"/>
      <c r="U26" s="774"/>
      <c r="V26" s="773"/>
      <c r="W26" s="774"/>
      <c r="X26" s="1811"/>
      <c r="Y26" s="3223"/>
      <c r="Z26" s="1812"/>
      <c r="AA26" s="1809">
        <v>1</v>
      </c>
      <c r="AB26" s="1809">
        <v>1</v>
      </c>
      <c r="AC26" s="1809">
        <v>1</v>
      </c>
    </row>
    <row r="27" spans="1:29" s="116" customFormat="1" ht="42.75">
      <c r="A27" s="648"/>
      <c r="B27" s="1382" t="s">
        <v>2614</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99</v>
      </c>
      <c r="I27" s="453"/>
      <c r="J27" s="449">
        <f>SUMIF(100:100,I28,101:101)-SUMIF(100:100,C28,101:101)+100</f>
        <v>100</v>
      </c>
      <c r="K27" s="672">
        <v>1</v>
      </c>
      <c r="L27" s="1130"/>
      <c r="M27" s="1131"/>
      <c r="N27" s="1131"/>
      <c r="O27" s="1132"/>
      <c r="P27" s="3223"/>
      <c r="Q27" s="1793" t="str">
        <f t="shared" si="8"/>
        <v>公共配套设施</v>
      </c>
      <c r="R27" s="769" t="s">
        <v>17</v>
      </c>
      <c r="S27" s="770">
        <f>F27</f>
        <v>100</v>
      </c>
      <c r="T27" s="769" t="s">
        <v>17</v>
      </c>
      <c r="U27" s="770">
        <f>H27</f>
        <v>99</v>
      </c>
      <c r="V27" s="769" t="s">
        <v>17</v>
      </c>
      <c r="W27" s="770">
        <f>J27</f>
        <v>100</v>
      </c>
      <c r="X27" s="771"/>
      <c r="Y27" s="3223"/>
      <c r="Z27" s="55" t="str">
        <f>Q27</f>
        <v>公共配套设施</v>
      </c>
      <c r="AA27" s="1809">
        <f>D27/F27</f>
        <v>1</v>
      </c>
      <c r="AB27" s="1809">
        <f>D27/H27</f>
        <v>1.0101010101010102</v>
      </c>
      <c r="AC27" s="1809">
        <f>D27/J27</f>
        <v>1</v>
      </c>
    </row>
    <row r="28" spans="1:29" s="116" customFormat="1" ht="15">
      <c r="A28" s="648"/>
      <c r="B28" s="455"/>
      <c r="C28" s="2694" t="s">
        <v>3229</v>
      </c>
      <c r="D28" s="447"/>
      <c r="E28" s="2606" t="s">
        <v>3229</v>
      </c>
      <c r="F28" s="447"/>
      <c r="G28" s="2606" t="s">
        <v>3230</v>
      </c>
      <c r="H28" s="447"/>
      <c r="I28" s="446" t="s">
        <v>3229</v>
      </c>
      <c r="J28" s="447"/>
      <c r="K28" s="671"/>
      <c r="L28" s="1130"/>
      <c r="M28" s="1131"/>
      <c r="N28" s="1131"/>
      <c r="O28" s="1132"/>
      <c r="P28" s="3223"/>
      <c r="Q28" s="1793"/>
      <c r="R28" s="769"/>
      <c r="S28" s="770"/>
      <c r="T28" s="769"/>
      <c r="U28" s="770"/>
      <c r="V28" s="769"/>
      <c r="W28" s="770"/>
      <c r="X28" s="771"/>
      <c r="Y28" s="3223"/>
      <c r="Z28" s="55"/>
      <c r="AA28" s="1809">
        <v>1</v>
      </c>
      <c r="AB28" s="1809">
        <v>1</v>
      </c>
      <c r="AC28" s="1809">
        <v>1</v>
      </c>
    </row>
    <row r="29" spans="1:29" s="116" customFormat="1" ht="28.5">
      <c r="A29" s="648"/>
      <c r="B29" s="1382" t="s">
        <v>2615</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23"/>
      <c r="Q29" s="1793" t="str">
        <f t="shared" ref="Q29" si="9">B29</f>
        <v>基础设施水平</v>
      </c>
      <c r="R29" s="769" t="s">
        <v>17</v>
      </c>
      <c r="S29" s="770">
        <f>F29</f>
        <v>100</v>
      </c>
      <c r="T29" s="769" t="s">
        <v>17</v>
      </c>
      <c r="U29" s="770">
        <f>H29</f>
        <v>100</v>
      </c>
      <c r="V29" s="769" t="s">
        <v>17</v>
      </c>
      <c r="W29" s="770">
        <f>J29</f>
        <v>100</v>
      </c>
      <c r="X29" s="771"/>
      <c r="Y29" s="3223"/>
      <c r="Z29" s="55" t="str">
        <f>Q29</f>
        <v>基础设施水平</v>
      </c>
      <c r="AA29" s="1809">
        <f>D29/F29</f>
        <v>1</v>
      </c>
      <c r="AB29" s="1809">
        <f>D29/H29</f>
        <v>1</v>
      </c>
      <c r="AC29" s="1809">
        <f>D29/J29</f>
        <v>1</v>
      </c>
    </row>
    <row r="30" spans="1:29" s="116" customFormat="1" ht="15">
      <c r="A30" s="648"/>
      <c r="B30" s="455"/>
      <c r="C30" s="2694" t="s">
        <v>3231</v>
      </c>
      <c r="D30" s="447"/>
      <c r="E30" s="2695" t="s">
        <v>3231</v>
      </c>
      <c r="F30" s="447"/>
      <c r="G30" s="2695" t="s">
        <v>3231</v>
      </c>
      <c r="H30" s="447"/>
      <c r="I30" s="2695" t="s">
        <v>3231</v>
      </c>
      <c r="J30" s="447"/>
      <c r="K30" s="671"/>
      <c r="L30" s="1130"/>
      <c r="M30" s="1131"/>
      <c r="N30" s="1131"/>
      <c r="O30" s="1132"/>
      <c r="P30" s="3223"/>
      <c r="Q30" s="1793"/>
      <c r="R30" s="769"/>
      <c r="S30" s="770"/>
      <c r="T30" s="769"/>
      <c r="U30" s="770"/>
      <c r="V30" s="769"/>
      <c r="W30" s="770"/>
      <c r="X30" s="771"/>
      <c r="Y30" s="3223"/>
      <c r="Z30" s="55"/>
      <c r="AA30" s="1809">
        <v>1</v>
      </c>
      <c r="AB30" s="1809">
        <v>1</v>
      </c>
      <c r="AC30" s="1809">
        <v>1</v>
      </c>
    </row>
    <row r="31" spans="1:29" ht="15">
      <c r="A31" s="427"/>
      <c r="B31" s="455" t="s">
        <v>2616</v>
      </c>
      <c r="C31" s="615" t="s">
        <v>3232</v>
      </c>
      <c r="D31" s="434">
        <v>100</v>
      </c>
      <c r="E31" s="633" t="s">
        <v>3232</v>
      </c>
      <c r="F31" s="434">
        <f>SUMIF(104:104,E31,105:105)-SUMIF(104:104,C31,105:105)+100</f>
        <v>100</v>
      </c>
      <c r="G31" s="633" t="s">
        <v>3233</v>
      </c>
      <c r="H31" s="434">
        <f>SUMIF(104:104,G31,105:105)-SUMIF(104:104,C31,105:105)+100</f>
        <v>99</v>
      </c>
      <c r="I31" s="633" t="s">
        <v>3232</v>
      </c>
      <c r="J31" s="434">
        <f>SUMIF(104:104,I31,105:105)-SUMIF(104:104,C31,105:105)+100</f>
        <v>100</v>
      </c>
      <c r="K31" s="672">
        <v>0.5</v>
      </c>
      <c r="L31" s="1138"/>
      <c r="M31" s="1129"/>
      <c r="N31" s="1129"/>
      <c r="O31" s="1137"/>
      <c r="P31" s="3223"/>
      <c r="Q31" s="1808" t="str">
        <f t="shared" si="8"/>
        <v>临街状况</v>
      </c>
      <c r="R31" s="773" t="s">
        <v>17</v>
      </c>
      <c r="S31" s="774">
        <f t="shared" ref="S31:S45" si="10">F31</f>
        <v>100</v>
      </c>
      <c r="T31" s="773" t="s">
        <v>17</v>
      </c>
      <c r="U31" s="774">
        <f t="shared" ref="U31:U45" si="11">H31</f>
        <v>99</v>
      </c>
      <c r="V31" s="773" t="s">
        <v>17</v>
      </c>
      <c r="W31" s="774">
        <f t="shared" ref="W31:W45" si="12">J31</f>
        <v>100</v>
      </c>
      <c r="X31" s="1811"/>
      <c r="Y31" s="3223"/>
      <c r="Z31" s="1812" t="str">
        <f t="shared" ref="Z31:Z45" si="13">Q31</f>
        <v>临街状况</v>
      </c>
      <c r="AA31" s="1809">
        <f t="shared" si="3"/>
        <v>1</v>
      </c>
      <c r="AB31" s="1809">
        <f t="shared" si="4"/>
        <v>1.0101010101010102</v>
      </c>
      <c r="AC31" s="1809">
        <f t="shared" si="5"/>
        <v>1</v>
      </c>
    </row>
    <row r="32" spans="1:29" ht="27">
      <c r="A32" s="427"/>
      <c r="B32" s="1382" t="s">
        <v>2651</v>
      </c>
      <c r="C32" s="453"/>
      <c r="D32" s="449">
        <v>100</v>
      </c>
      <c r="E32" s="451"/>
      <c r="F32" s="449">
        <f>SUMIF(106:106,E33,107:107)-SUMIF(106:106,C33,107:107)+100</f>
        <v>100</v>
      </c>
      <c r="G32" s="451"/>
      <c r="H32" s="449">
        <f>SUMIF(106:106,G33,107:107)-SUMIF(106:106,C33,107:107)+100</f>
        <v>100</v>
      </c>
      <c r="I32" s="453"/>
      <c r="J32" s="449">
        <f>SUMIF(106:106,I33,107:107)-SUMIF(106:106,C33,107:107)+100</f>
        <v>101</v>
      </c>
      <c r="K32" s="672">
        <v>1</v>
      </c>
      <c r="L32" s="1138"/>
      <c r="M32" s="1129"/>
      <c r="N32" s="1129"/>
      <c r="O32" s="1137"/>
      <c r="P32" s="3223"/>
      <c r="Q32" s="1808" t="str">
        <f t="shared" si="8"/>
        <v>毗邻道路的类型与等级</v>
      </c>
      <c r="R32" s="773" t="s">
        <v>17</v>
      </c>
      <c r="S32" s="774">
        <f t="shared" si="10"/>
        <v>100</v>
      </c>
      <c r="T32" s="773" t="s">
        <v>17</v>
      </c>
      <c r="U32" s="774">
        <f t="shared" si="11"/>
        <v>100</v>
      </c>
      <c r="V32" s="773" t="s">
        <v>17</v>
      </c>
      <c r="W32" s="774">
        <f t="shared" si="12"/>
        <v>101</v>
      </c>
      <c r="X32" s="1811"/>
      <c r="Y32" s="3223"/>
      <c r="Z32" s="1812" t="str">
        <f t="shared" si="13"/>
        <v>毗邻道路的类型与等级</v>
      </c>
      <c r="AA32" s="1809">
        <f t="shared" si="3"/>
        <v>1</v>
      </c>
      <c r="AB32" s="1809">
        <f t="shared" si="4"/>
        <v>1</v>
      </c>
      <c r="AC32" s="1809">
        <f t="shared" si="5"/>
        <v>0.99009900990099009</v>
      </c>
    </row>
    <row r="33" spans="1:29" ht="15.75" thickBot="1">
      <c r="A33" s="427"/>
      <c r="B33" s="455"/>
      <c r="C33" s="446" t="s">
        <v>3259</v>
      </c>
      <c r="D33" s="447"/>
      <c r="E33" s="2606" t="s">
        <v>3259</v>
      </c>
      <c r="F33" s="447"/>
      <c r="G33" s="2606" t="s">
        <v>3259</v>
      </c>
      <c r="H33" s="447"/>
      <c r="I33" s="446" t="s">
        <v>3257</v>
      </c>
      <c r="J33" s="447"/>
      <c r="K33" s="612"/>
      <c r="L33" s="1138"/>
      <c r="M33" s="1129"/>
      <c r="N33" s="1129"/>
      <c r="O33" s="1137"/>
      <c r="P33" s="3223"/>
      <c r="Q33" s="1808"/>
      <c r="R33" s="773"/>
      <c r="S33" s="774"/>
      <c r="T33" s="773"/>
      <c r="U33" s="774"/>
      <c r="V33" s="773"/>
      <c r="W33" s="774"/>
      <c r="X33" s="1811"/>
      <c r="Y33" s="3223"/>
      <c r="Z33" s="1812"/>
      <c r="AA33" s="1809">
        <v>1</v>
      </c>
      <c r="AB33" s="1809">
        <v>1</v>
      </c>
      <c r="AC33" s="1809">
        <v>1</v>
      </c>
    </row>
    <row r="34" spans="1:29" ht="15" hidden="1">
      <c r="A34" s="427"/>
      <c r="B34" s="421" t="s">
        <v>2710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3"/>
      <c r="Q34" s="1808" t="str">
        <f t="shared" si="8"/>
        <v>土地级别</v>
      </c>
      <c r="R34" s="773" t="s">
        <v>17</v>
      </c>
      <c r="S34" s="774">
        <f t="shared" si="10"/>
        <v>100</v>
      </c>
      <c r="T34" s="773" t="s">
        <v>17</v>
      </c>
      <c r="U34" s="774">
        <f t="shared" si="11"/>
        <v>100</v>
      </c>
      <c r="V34" s="773" t="s">
        <v>17</v>
      </c>
      <c r="W34" s="774">
        <f t="shared" si="12"/>
        <v>100</v>
      </c>
      <c r="X34" s="1811"/>
      <c r="Y34" s="3223"/>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3"/>
      <c r="Q35" s="1808">
        <f t="shared" si="8"/>
        <v>111</v>
      </c>
      <c r="R35" s="773" t="s">
        <v>17</v>
      </c>
      <c r="S35" s="774">
        <f t="shared" si="10"/>
        <v>100</v>
      </c>
      <c r="T35" s="773" t="s">
        <v>17</v>
      </c>
      <c r="U35" s="774">
        <f t="shared" si="11"/>
        <v>100</v>
      </c>
      <c r="V35" s="773" t="s">
        <v>17</v>
      </c>
      <c r="W35" s="774">
        <f t="shared" si="12"/>
        <v>100</v>
      </c>
      <c r="X35" s="1811"/>
      <c r="Y35" s="3223"/>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78" t="s">
        <v>2525</v>
      </c>
      <c r="Q36" s="1808">
        <f t="shared" si="8"/>
        <v>111</v>
      </c>
      <c r="R36" s="773" t="s">
        <v>17</v>
      </c>
      <c r="S36" s="774">
        <f t="shared" si="10"/>
        <v>100</v>
      </c>
      <c r="T36" s="773" t="s">
        <v>17</v>
      </c>
      <c r="U36" s="774">
        <f t="shared" si="11"/>
        <v>100</v>
      </c>
      <c r="V36" s="773" t="s">
        <v>17</v>
      </c>
      <c r="W36" s="774">
        <f t="shared" si="12"/>
        <v>100</v>
      </c>
      <c r="X36" s="1811"/>
      <c r="Y36" s="3227" t="s">
        <v>2525</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7"/>
      <c r="Q37" s="1808">
        <f t="shared" si="8"/>
        <v>111</v>
      </c>
      <c r="R37" s="776" t="s">
        <v>17</v>
      </c>
      <c r="S37" s="777">
        <f t="shared" si="10"/>
        <v>100</v>
      </c>
      <c r="T37" s="776" t="s">
        <v>17</v>
      </c>
      <c r="U37" s="777">
        <f t="shared" si="11"/>
        <v>100</v>
      </c>
      <c r="V37" s="776" t="s">
        <v>17</v>
      </c>
      <c r="W37" s="777">
        <f t="shared" si="12"/>
        <v>100</v>
      </c>
      <c r="X37" s="778"/>
      <c r="Y37" s="3227"/>
      <c r="Z37" s="779">
        <f t="shared" si="13"/>
        <v>111</v>
      </c>
      <c r="AA37" s="1809">
        <f t="shared" si="3"/>
        <v>1</v>
      </c>
      <c r="AB37" s="1809">
        <f t="shared" si="4"/>
        <v>1</v>
      </c>
      <c r="AC37" s="1809">
        <f t="shared" si="5"/>
        <v>1</v>
      </c>
    </row>
    <row r="38" spans="1:29" ht="15">
      <c r="A38" s="471" t="s">
        <v>2523</v>
      </c>
      <c r="B38" s="455" t="s">
        <v>2711</v>
      </c>
      <c r="C38" s="678">
        <f>面积!B4</f>
        <v>21972.2</v>
      </c>
      <c r="D38" s="466">
        <v>100</v>
      </c>
      <c r="E38" s="678">
        <f>Sheet2!D3</f>
        <v>78876.899999999994</v>
      </c>
      <c r="F38" s="466">
        <f>LOOKUP(E38,117:117,118:118)-LOOKUP(C38,117:117,118:118)+100</f>
        <v>104</v>
      </c>
      <c r="G38" s="678">
        <f>Sheet2!D4</f>
        <v>28063.599999999999</v>
      </c>
      <c r="H38" s="466">
        <f>LOOKUP(G38,117:117,118:118)-LOOKUP(C38,117:117,118:118)+100</f>
        <v>100</v>
      </c>
      <c r="I38" s="529">
        <f>Sheet2!D5</f>
        <v>85998.2</v>
      </c>
      <c r="J38" s="466">
        <f>LOOKUP(I38,117:117,118:118)-LOOKUP(C38,117:117,118:118)+100</f>
        <v>104</v>
      </c>
      <c r="K38" s="612"/>
      <c r="L38" s="1138"/>
      <c r="M38" s="1129"/>
      <c r="N38" s="1129"/>
      <c r="O38" s="1137"/>
      <c r="P38" s="3227"/>
      <c r="Q38" s="1808" t="str">
        <f>B38</f>
        <v>宗地面积</v>
      </c>
      <c r="R38" s="773" t="s">
        <v>17</v>
      </c>
      <c r="S38" s="774">
        <f t="shared" si="10"/>
        <v>104</v>
      </c>
      <c r="T38" s="773" t="s">
        <v>17</v>
      </c>
      <c r="U38" s="774">
        <f t="shared" si="11"/>
        <v>100</v>
      </c>
      <c r="V38" s="773" t="s">
        <v>17</v>
      </c>
      <c r="W38" s="774">
        <f t="shared" si="12"/>
        <v>104</v>
      </c>
      <c r="X38" s="1811"/>
      <c r="Y38" s="3227"/>
      <c r="Z38" s="1812" t="str">
        <f t="shared" si="13"/>
        <v>宗地面积</v>
      </c>
      <c r="AA38" s="1809">
        <f t="shared" si="3"/>
        <v>0.96153846153846156</v>
      </c>
      <c r="AB38" s="1809">
        <f t="shared" si="4"/>
        <v>1</v>
      </c>
      <c r="AC38" s="1809">
        <f t="shared" si="5"/>
        <v>0.96153846153846156</v>
      </c>
    </row>
    <row r="39" spans="1:29" ht="15">
      <c r="A39" s="471"/>
      <c r="B39" s="421" t="s">
        <v>2712</v>
      </c>
      <c r="C39" s="2608" t="s">
        <v>3235</v>
      </c>
      <c r="D39" s="434">
        <v>100</v>
      </c>
      <c r="E39" s="2608" t="s">
        <v>3235</v>
      </c>
      <c r="F39" s="434">
        <f>SUMIF(119:119,E39,120:120)-SUMIF(119:119,C39,120:120)+100</f>
        <v>100</v>
      </c>
      <c r="G39" s="2608" t="s">
        <v>3235</v>
      </c>
      <c r="H39" s="434">
        <f>SUMIF(119:119,G39,120:120)-SUMIF(119:119,C39,120:120)+100</f>
        <v>100</v>
      </c>
      <c r="I39" s="2608" t="s">
        <v>3237</v>
      </c>
      <c r="J39" s="434">
        <f>SUMIF(119:119,I39,120:120)-SUMIF(119:119,C39,120:120)+100</f>
        <v>98</v>
      </c>
      <c r="K39" s="611">
        <v>2</v>
      </c>
      <c r="L39" s="1138"/>
      <c r="M39" s="1129"/>
      <c r="N39" s="1129"/>
      <c r="O39" s="1137"/>
      <c r="P39" s="3227"/>
      <c r="Q39" s="1808" t="str">
        <f t="shared" ref="Q39:Q45" si="14">B39</f>
        <v>宗地形状</v>
      </c>
      <c r="R39" s="773" t="s">
        <v>17</v>
      </c>
      <c r="S39" s="774">
        <f t="shared" si="10"/>
        <v>100</v>
      </c>
      <c r="T39" s="773" t="s">
        <v>17</v>
      </c>
      <c r="U39" s="774">
        <f t="shared" si="11"/>
        <v>100</v>
      </c>
      <c r="V39" s="773" t="s">
        <v>17</v>
      </c>
      <c r="W39" s="774">
        <f t="shared" si="12"/>
        <v>98</v>
      </c>
      <c r="X39" s="1811"/>
      <c r="Y39" s="3227"/>
      <c r="Z39" s="1812" t="str">
        <f t="shared" si="13"/>
        <v>宗地形状</v>
      </c>
      <c r="AA39" s="1809">
        <f t="shared" si="3"/>
        <v>1</v>
      </c>
      <c r="AB39" s="1809">
        <f t="shared" si="4"/>
        <v>1</v>
      </c>
      <c r="AC39" s="1809">
        <f t="shared" si="5"/>
        <v>1.0204081632653061</v>
      </c>
    </row>
    <row r="40" spans="1:29" ht="15">
      <c r="A40" s="471"/>
      <c r="B40" s="421" t="s">
        <v>2713</v>
      </c>
      <c r="C40" s="2608" t="s">
        <v>3241</v>
      </c>
      <c r="D40" s="434">
        <v>100</v>
      </c>
      <c r="E40" s="2608" t="s">
        <v>3241</v>
      </c>
      <c r="F40" s="434">
        <f>SUMIF(121:121,E40,122:122)-SUMIF(121:121,C40,122:122)+100</f>
        <v>100</v>
      </c>
      <c r="G40" s="2608" t="s">
        <v>3241</v>
      </c>
      <c r="H40" s="434">
        <f>SUMIF(121:121,G40,122:122)-SUMIF(121:121,C40,122:122)+100</f>
        <v>100</v>
      </c>
      <c r="I40" s="2608" t="s">
        <v>3241</v>
      </c>
      <c r="J40" s="434">
        <f>SUMIF(121:121,I40,122:122)-SUMIF(121:121,C40,122:122)+100</f>
        <v>100</v>
      </c>
      <c r="K40" s="611">
        <v>2</v>
      </c>
      <c r="L40" s="1138"/>
      <c r="M40" s="1129"/>
      <c r="N40" s="1129"/>
      <c r="O40" s="1137"/>
      <c r="P40" s="3227"/>
      <c r="Q40" s="1808" t="str">
        <f t="shared" si="14"/>
        <v>临街宽度及深度</v>
      </c>
      <c r="R40" s="773" t="s">
        <v>17</v>
      </c>
      <c r="S40" s="774">
        <f t="shared" si="10"/>
        <v>100</v>
      </c>
      <c r="T40" s="773" t="s">
        <v>17</v>
      </c>
      <c r="U40" s="774">
        <f t="shared" si="11"/>
        <v>100</v>
      </c>
      <c r="V40" s="773" t="s">
        <v>17</v>
      </c>
      <c r="W40" s="774">
        <f t="shared" si="12"/>
        <v>100</v>
      </c>
      <c r="X40" s="1811"/>
      <c r="Y40" s="3227"/>
      <c r="Z40" s="1812" t="str">
        <f t="shared" si="13"/>
        <v>临街宽度及深度</v>
      </c>
      <c r="AA40" s="1809">
        <f t="shared" si="3"/>
        <v>1</v>
      </c>
      <c r="AB40" s="1809">
        <f t="shared" si="4"/>
        <v>1</v>
      </c>
      <c r="AC40" s="1809">
        <f t="shared" si="5"/>
        <v>1</v>
      </c>
    </row>
    <row r="41" spans="1:29" s="116" customFormat="1" ht="15">
      <c r="A41" s="472"/>
      <c r="B41" s="421" t="s">
        <v>2714</v>
      </c>
      <c r="C41" s="2696" t="s">
        <v>3262</v>
      </c>
      <c r="D41" s="135">
        <v>100</v>
      </c>
      <c r="E41" s="2696" t="s">
        <v>3262</v>
      </c>
      <c r="F41" s="434">
        <f>SUMIF(123:123,E41,124:124)-SUMIF(123:123,C41,124:124)+100</f>
        <v>100</v>
      </c>
      <c r="G41" s="2696" t="s">
        <v>3262</v>
      </c>
      <c r="H41" s="434">
        <f>SUMIF(123:123,G41,124:124)-SUMIF(123:123,C41,124:124)+100</f>
        <v>100</v>
      </c>
      <c r="I41" s="2696" t="s">
        <v>3262</v>
      </c>
      <c r="J41" s="434">
        <f>SUMIF(123:123,I41,124:124)-SUMIF(123:123,C41,124:124)+100</f>
        <v>100</v>
      </c>
      <c r="K41" s="611">
        <v>2</v>
      </c>
      <c r="L41" s="1130"/>
      <c r="M41" s="1131"/>
      <c r="N41" s="1131"/>
      <c r="O41" s="1132"/>
      <c r="P41" s="3227"/>
      <c r="Q41" s="1808" t="str">
        <f t="shared" si="14"/>
        <v>宗地开发程度</v>
      </c>
      <c r="R41" s="769" t="s">
        <v>17</v>
      </c>
      <c r="S41" s="770">
        <f t="shared" si="10"/>
        <v>100</v>
      </c>
      <c r="T41" s="769" t="s">
        <v>17</v>
      </c>
      <c r="U41" s="770">
        <f t="shared" si="11"/>
        <v>100</v>
      </c>
      <c r="V41" s="769" t="s">
        <v>17</v>
      </c>
      <c r="W41" s="770">
        <f t="shared" si="12"/>
        <v>100</v>
      </c>
      <c r="X41" s="771"/>
      <c r="Y41" s="3227"/>
      <c r="Z41" s="55" t="str">
        <f t="shared" si="13"/>
        <v>宗地开发程度</v>
      </c>
      <c r="AA41" s="772">
        <f t="shared" si="3"/>
        <v>1</v>
      </c>
      <c r="AB41" s="772">
        <f t="shared" si="4"/>
        <v>1</v>
      </c>
      <c r="AC41" s="772">
        <f t="shared" si="5"/>
        <v>1</v>
      </c>
    </row>
    <row r="42" spans="1:29" ht="15.75" thickBot="1">
      <c r="A42" s="471"/>
      <c r="B42" s="421" t="s">
        <v>2715</v>
      </c>
      <c r="C42" s="2608" t="s">
        <v>3229</v>
      </c>
      <c r="D42" s="434">
        <v>100</v>
      </c>
      <c r="E42" s="2608" t="s">
        <v>3229</v>
      </c>
      <c r="F42" s="434">
        <f>SUMIF(125:125,E42,126:126)-SUMIF(125:125,C42,126:126)+100</f>
        <v>100</v>
      </c>
      <c r="G42" s="2608" t="s">
        <v>3229</v>
      </c>
      <c r="H42" s="434">
        <f>SUMIF(125:125,G42,126:126)-SUMIF(125:125,C42,126:126)+100</f>
        <v>100</v>
      </c>
      <c r="I42" s="2608" t="s">
        <v>3229</v>
      </c>
      <c r="J42" s="434">
        <f>SUMIF(125:125,I42,126:126)-SUMIF(125:125,C42,126:126)+100</f>
        <v>100</v>
      </c>
      <c r="K42" s="611">
        <v>2</v>
      </c>
      <c r="L42" s="1138"/>
      <c r="M42" s="1129"/>
      <c r="N42" s="1129"/>
      <c r="O42" s="1137"/>
      <c r="P42" s="3227" t="s">
        <v>2525</v>
      </c>
      <c r="Q42" s="1808" t="str">
        <f t="shared" si="14"/>
        <v>工程地质条件</v>
      </c>
      <c r="R42" s="773" t="s">
        <v>17</v>
      </c>
      <c r="S42" s="774">
        <f t="shared" si="10"/>
        <v>100</v>
      </c>
      <c r="T42" s="773" t="s">
        <v>17</v>
      </c>
      <c r="U42" s="774">
        <f t="shared" si="11"/>
        <v>100</v>
      </c>
      <c r="V42" s="773" t="s">
        <v>17</v>
      </c>
      <c r="W42" s="774">
        <f t="shared" si="12"/>
        <v>100</v>
      </c>
      <c r="X42" s="1811"/>
      <c r="Y42" s="3227" t="s">
        <v>2525</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7"/>
      <c r="Q43" s="1808">
        <f t="shared" si="14"/>
        <v>111</v>
      </c>
      <c r="R43" s="773" t="s">
        <v>17</v>
      </c>
      <c r="S43" s="774">
        <f t="shared" si="10"/>
        <v>100</v>
      </c>
      <c r="T43" s="773" t="s">
        <v>17</v>
      </c>
      <c r="U43" s="774">
        <f t="shared" si="11"/>
        <v>100</v>
      </c>
      <c r="V43" s="773" t="s">
        <v>17</v>
      </c>
      <c r="W43" s="774">
        <f t="shared" si="12"/>
        <v>100</v>
      </c>
      <c r="X43" s="1811"/>
      <c r="Y43" s="3227"/>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7"/>
      <c r="Q44" s="1808">
        <f t="shared" si="14"/>
        <v>111</v>
      </c>
      <c r="R44" s="773" t="s">
        <v>17</v>
      </c>
      <c r="S44" s="774">
        <f t="shared" si="10"/>
        <v>100</v>
      </c>
      <c r="T44" s="773" t="s">
        <v>17</v>
      </c>
      <c r="U44" s="774">
        <f t="shared" si="11"/>
        <v>100</v>
      </c>
      <c r="V44" s="773" t="s">
        <v>17</v>
      </c>
      <c r="W44" s="774">
        <f t="shared" si="12"/>
        <v>100</v>
      </c>
      <c r="X44" s="1811"/>
      <c r="Y44" s="3227"/>
      <c r="Z44" s="1812">
        <f t="shared" si="13"/>
        <v>111</v>
      </c>
      <c r="AA44" s="1809">
        <f t="shared" si="3"/>
        <v>1</v>
      </c>
      <c r="AB44" s="1809">
        <f t="shared" si="4"/>
        <v>1</v>
      </c>
      <c r="AC44" s="1809">
        <f t="shared" si="5"/>
        <v>1</v>
      </c>
    </row>
    <row r="45" spans="1:29" s="470" customFormat="1" ht="15.75" hidden="1"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7"/>
      <c r="Q45" s="1808">
        <f t="shared" si="14"/>
        <v>111</v>
      </c>
      <c r="R45" s="776" t="s">
        <v>17</v>
      </c>
      <c r="S45" s="777">
        <f t="shared" si="10"/>
        <v>100</v>
      </c>
      <c r="T45" s="776" t="s">
        <v>17</v>
      </c>
      <c r="U45" s="777">
        <f t="shared" si="11"/>
        <v>100</v>
      </c>
      <c r="V45" s="776" t="s">
        <v>17</v>
      </c>
      <c r="W45" s="777">
        <f t="shared" si="12"/>
        <v>100</v>
      </c>
      <c r="X45" s="778"/>
      <c r="Y45" s="3227"/>
      <c r="Z45" s="779">
        <f t="shared" si="13"/>
        <v>111</v>
      </c>
      <c r="AA45" s="1809">
        <f t="shared" si="3"/>
        <v>1</v>
      </c>
      <c r="AB45" s="1809">
        <f t="shared" si="4"/>
        <v>1</v>
      </c>
      <c r="AC45" s="1809">
        <f t="shared" si="5"/>
        <v>1</v>
      </c>
    </row>
    <row r="46" spans="1:29" ht="15">
      <c r="A46" s="478" t="s">
        <v>2680</v>
      </c>
      <c r="B46" s="2698" t="s">
        <v>2716</v>
      </c>
      <c r="C46" s="681" t="s">
        <v>1</v>
      </c>
      <c r="D46" s="480"/>
      <c r="E46" s="481">
        <f>ROUND(Sheet2!K3,0)</f>
        <v>10350</v>
      </c>
      <c r="F46" s="482"/>
      <c r="G46" s="483">
        <f>ROUND(Sheet2!K4,0)</f>
        <v>10566</v>
      </c>
      <c r="H46" s="484"/>
      <c r="I46" s="481">
        <f>ROUND(Sheet2!K5,0)</f>
        <v>9298</v>
      </c>
      <c r="J46" s="484"/>
      <c r="K46" s="782"/>
      <c r="L46" s="1141"/>
      <c r="M46" s="1142"/>
      <c r="N46" s="1129"/>
      <c r="O46" s="1142"/>
      <c r="P46" s="3215" t="str">
        <f>A46</f>
        <v>成交单价</v>
      </c>
      <c r="Q46" s="3215"/>
      <c r="R46" s="3232">
        <f>E46</f>
        <v>10350</v>
      </c>
      <c r="S46" s="3232"/>
      <c r="T46" s="3232">
        <f>G46</f>
        <v>10566</v>
      </c>
      <c r="U46" s="3232"/>
      <c r="V46" s="3232">
        <f>I46</f>
        <v>9298</v>
      </c>
      <c r="W46" s="3232"/>
      <c r="X46" s="758"/>
      <c r="Y46" s="780"/>
      <c r="Z46" s="758"/>
      <c r="AA46" s="758"/>
      <c r="AB46" s="758"/>
      <c r="AC46" s="758"/>
    </row>
    <row r="47" spans="1:29" ht="15.75" thickBot="1">
      <c r="A47" s="485" t="s">
        <v>2629</v>
      </c>
      <c r="B47" s="682"/>
      <c r="C47" s="489">
        <f>R48</f>
        <v>10784</v>
      </c>
      <c r="D47" s="488"/>
      <c r="E47" s="489">
        <f>R47</f>
        <v>10002</v>
      </c>
      <c r="F47" s="490"/>
      <c r="G47" s="487">
        <f>T47</f>
        <v>12161</v>
      </c>
      <c r="H47" s="488"/>
      <c r="I47" s="489">
        <f>V47</f>
        <v>10189</v>
      </c>
      <c r="J47" s="488"/>
      <c r="K47" s="783"/>
      <c r="L47" s="1141"/>
      <c r="M47" s="1142"/>
      <c r="N47" s="1142"/>
      <c r="O47" s="1142"/>
      <c r="P47" s="3215" t="str">
        <f>A47</f>
        <v>比较价值（元/平方米）</v>
      </c>
      <c r="Q47" s="3215"/>
      <c r="R47" s="3279">
        <f>ROUND(PRODUCT(R46,AA7:AA45),0)</f>
        <v>10002</v>
      </c>
      <c r="S47" s="3279"/>
      <c r="T47" s="3279">
        <f>ROUND(PRODUCT(T46,AB7:AB45),0)</f>
        <v>12161</v>
      </c>
      <c r="U47" s="3279"/>
      <c r="V47" s="3279">
        <f>ROUND(PRODUCT(V46,AC7:AC45),0)</f>
        <v>10189</v>
      </c>
      <c r="W47" s="3279"/>
      <c r="X47" s="758"/>
      <c r="Y47" s="758"/>
      <c r="Z47" s="758"/>
      <c r="AA47" s="758"/>
      <c r="AB47" s="758"/>
      <c r="AC47" s="758"/>
    </row>
    <row r="48" spans="1:29" ht="15.75" thickBot="1">
      <c r="A48" s="491" t="s">
        <v>2717</v>
      </c>
      <c r="B48" s="492"/>
      <c r="C48" s="493">
        <f>R48</f>
        <v>10784</v>
      </c>
      <c r="D48" s="493"/>
      <c r="E48" s="493"/>
      <c r="F48" s="493"/>
      <c r="G48" s="493"/>
      <c r="H48" s="493"/>
      <c r="I48" s="493"/>
      <c r="J48" s="493"/>
      <c r="K48" s="784"/>
      <c r="L48" s="1141"/>
      <c r="M48" s="1142"/>
      <c r="N48" s="1142"/>
      <c r="O48" s="1142"/>
      <c r="P48" s="3217" t="str">
        <f>A48</f>
        <v>估价对象XX用房的比较价值（楼面单价，元/平方米）</v>
      </c>
      <c r="Q48" s="3218"/>
      <c r="R48" s="3280">
        <f>ROUND(AVERAGE(R47:V47),0)</f>
        <v>10784</v>
      </c>
      <c r="S48" s="3280"/>
      <c r="T48" s="3280"/>
      <c r="U48" s="3280"/>
      <c r="V48" s="3280"/>
      <c r="W48" s="328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2631</v>
      </c>
      <c r="D51" s="497"/>
      <c r="E51" s="498">
        <f>IF(E46&lt;E47,E47/E46-1,E46/E47-1)</f>
        <v>3.479304139172168E-2</v>
      </c>
      <c r="F51" s="499" t="str">
        <f>IF(OR(E51&gt;=0.3,E51&lt;=-0.3),"超过30%","")</f>
        <v/>
      </c>
      <c r="G51" s="498">
        <f>IF(G46&lt;G47,G47/G46-1,G46/G47-1)</f>
        <v>0.15095589627105821</v>
      </c>
      <c r="H51" s="499" t="str">
        <f>IF(OR(G51&gt;=0.3,G51&lt;=-0.3),"超过30%","")</f>
        <v/>
      </c>
      <c r="I51" s="498">
        <f>IF(I46&lt;I47,I47/I46-1,I46/I47-1)</f>
        <v>9.5827059582705987E-2</v>
      </c>
      <c r="J51" s="499" t="str">
        <f>IF(OR(I51&gt;=0.3,I51&lt;=-0.3),"超过30%","")</f>
        <v/>
      </c>
      <c r="K51" s="1103"/>
      <c r="L51" s="1104"/>
      <c r="M51" s="1142"/>
      <c r="N51" s="1142"/>
      <c r="O51" s="1142"/>
    </row>
    <row r="52" spans="1:15" ht="13.5" customHeight="1">
      <c r="A52" s="1142"/>
      <c r="B52" s="1142"/>
      <c r="C52" s="496" t="s">
        <v>2632</v>
      </c>
      <c r="D52" s="500"/>
      <c r="E52" s="498">
        <f>IF(E47&lt;G47,G47/E47-1,E47/G47-1)</f>
        <v>0.21585682863427325</v>
      </c>
      <c r="F52" s="499" t="str">
        <f>IF(OR(E52&gt;=0.2,E52&lt;=-0.2),"超过20%","")</f>
        <v>超过20%</v>
      </c>
      <c r="G52" s="498">
        <f>IF(G47&lt;I47,I47/G47-1,G47/I47-1)</f>
        <v>0.19354205515752287</v>
      </c>
      <c r="H52" s="499" t="str">
        <f>IF(OR(G52&gt;=0.2,G52&lt;=-0.2),"超过20%","")</f>
        <v/>
      </c>
      <c r="I52" s="498">
        <f>IF(I47&lt;E47,E47/I47-1,I47/E47-1)</f>
        <v>1.8696260747850468E-2</v>
      </c>
      <c r="J52" s="499" t="str">
        <f>IF(OR(I52&gt;=0.2,I52&lt;=-0.2),"超过20%","")</f>
        <v/>
      </c>
      <c r="K52" s="1103"/>
      <c r="L52" s="1104"/>
      <c r="M52" s="1142"/>
      <c r="N52" s="1142"/>
      <c r="O52" s="1142"/>
    </row>
    <row r="53" spans="1:15" s="501" customFormat="1" ht="13.5" customHeight="1">
      <c r="A53" s="1143"/>
      <c r="B53" s="1143"/>
      <c r="C53" s="496" t="s">
        <v>2633</v>
      </c>
      <c r="D53" s="500"/>
      <c r="E53" s="498">
        <f>IF(E46&lt;G46,G46/E46-1,E46/G46-1)</f>
        <v>2.0869565217391362E-2</v>
      </c>
      <c r="F53" s="499" t="str">
        <f>IF(OR(E53&gt;=0.3,E53&lt;=-0.3),"超过30%","")</f>
        <v/>
      </c>
      <c r="G53" s="498">
        <f>IF(G46&lt;I46,I46/G46-1,G46/I46-1)</f>
        <v>0.13637341363734135</v>
      </c>
      <c r="H53" s="499" t="str">
        <f>IF(OR(G53&gt;=0.3,G53&lt;=-0.3),"超过30%","")</f>
        <v/>
      </c>
      <c r="I53" s="498">
        <f>IF(I46&lt;E46,E46/I46-1,I46/E46-1)</f>
        <v>0.11314261131426107</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2718</v>
      </c>
      <c r="B55" s="684" t="s">
        <v>2719</v>
      </c>
      <c r="C55" s="2699" t="s">
        <v>2720</v>
      </c>
      <c r="D55" s="2700" t="s">
        <v>2721</v>
      </c>
      <c r="E55" s="685" t="s">
        <v>2722</v>
      </c>
      <c r="F55" s="1105" t="s">
        <v>2723</v>
      </c>
      <c r="G55" s="3243" t="s">
        <v>2724</v>
      </c>
      <c r="H55" s="3281"/>
      <c r="I55" s="143" t="s">
        <v>2725</v>
      </c>
      <c r="J55" s="2701" t="str">
        <f>项目基本情况!F35</f>
        <v>江苏省</v>
      </c>
      <c r="K55" s="2702" t="s">
        <v>2726</v>
      </c>
      <c r="L55" s="1104"/>
      <c r="M55" s="1142"/>
      <c r="N55" s="1142"/>
      <c r="O55" s="1142"/>
    </row>
    <row r="56" spans="1:15" s="691" customFormat="1">
      <c r="A56" s="687" t="s">
        <v>2727</v>
      </c>
      <c r="B56" s="688">
        <f>C48</f>
        <v>10784</v>
      </c>
      <c r="C56" s="689">
        <v>1</v>
      </c>
      <c r="D56" s="1161">
        <v>1</v>
      </c>
      <c r="E56" s="689">
        <f>'数据-汇总表'!E8+'数据-汇总表'!E9</f>
        <v>221.26</v>
      </c>
      <c r="F56" s="1101">
        <f t="shared" ref="F56:F65" si="15">ROUND(B56*E56/10000,0)</f>
        <v>239</v>
      </c>
      <c r="G56" s="3231"/>
      <c r="H56" s="3215"/>
      <c r="I56" s="1106">
        <v>1</v>
      </c>
      <c r="J56" s="1109">
        <v>1</v>
      </c>
      <c r="K56" s="1143"/>
      <c r="L56" s="939"/>
      <c r="M56" s="939"/>
      <c r="N56" s="939"/>
      <c r="O56" s="939"/>
    </row>
    <row r="57" spans="1:15" s="691" customFormat="1">
      <c r="A57" s="692" t="s">
        <v>2728</v>
      </c>
      <c r="B57" s="261">
        <f>ROUND($C$48*C57*D57,0)</f>
        <v>0</v>
      </c>
      <c r="C57" s="199">
        <f t="shared" ref="C57:C65" si="16">IF($C$55="北京市系数",I57,J57)</f>
        <v>0</v>
      </c>
      <c r="D57" s="1162">
        <v>0.25</v>
      </c>
      <c r="E57" s="693"/>
      <c r="F57" s="1101">
        <f t="shared" si="15"/>
        <v>0</v>
      </c>
      <c r="G57" s="3282" t="s">
        <v>2729</v>
      </c>
      <c r="H57" s="1102">
        <f>项目基本情况!B37</f>
        <v>0</v>
      </c>
      <c r="I57" s="1106">
        <f>SUMIF(修正!A45:A56,H57,修正!B45:B56)</f>
        <v>0</v>
      </c>
      <c r="J57" s="1110"/>
      <c r="K57" s="1142"/>
      <c r="L57" s="939"/>
      <c r="M57" s="939"/>
      <c r="N57" s="939"/>
      <c r="O57" s="939"/>
    </row>
    <row r="58" spans="1:15" s="691" customFormat="1">
      <c r="A58" s="692" t="s">
        <v>2730</v>
      </c>
      <c r="B58" s="261">
        <f t="shared" ref="B58:B65" si="17">ROUND($C$48*C58*D58,0)</f>
        <v>0</v>
      </c>
      <c r="C58" s="199">
        <f t="shared" si="16"/>
        <v>0</v>
      </c>
      <c r="D58" s="1162">
        <v>0.25</v>
      </c>
      <c r="E58" s="693"/>
      <c r="F58" s="1101">
        <f t="shared" si="15"/>
        <v>0</v>
      </c>
      <c r="G58" s="3282"/>
      <c r="H58" s="1102">
        <f>项目基本情况!B37</f>
        <v>0</v>
      </c>
      <c r="I58" s="1106">
        <f>SUMIF(修正!A45:A56,H58,修正!C45:C56)</f>
        <v>0</v>
      </c>
      <c r="J58" s="1110"/>
      <c r="K58" s="1143"/>
      <c r="L58" s="939"/>
      <c r="M58" s="939"/>
      <c r="N58" s="939"/>
      <c r="O58" s="939"/>
    </row>
    <row r="59" spans="1:15" s="691" customFormat="1">
      <c r="A59" s="692" t="s">
        <v>2731</v>
      </c>
      <c r="B59" s="261">
        <f t="shared" si="17"/>
        <v>0</v>
      </c>
      <c r="C59" s="199">
        <f t="shared" si="16"/>
        <v>0</v>
      </c>
      <c r="D59" s="1162">
        <v>0.25</v>
      </c>
      <c r="E59" s="693"/>
      <c r="F59" s="1101">
        <f t="shared" si="15"/>
        <v>0</v>
      </c>
      <c r="G59" s="3282"/>
      <c r="H59" s="1102">
        <f>项目基本情况!B37</f>
        <v>0</v>
      </c>
      <c r="I59" s="1106">
        <f>SUMIF(修正!A45:A56,H59,修正!D45:D56)</f>
        <v>0</v>
      </c>
      <c r="J59" s="1110"/>
      <c r="K59" s="1142"/>
      <c r="L59" s="939"/>
      <c r="M59" s="939"/>
      <c r="N59" s="939"/>
      <c r="O59" s="939"/>
    </row>
    <row r="60" spans="1:15" s="691" customFormat="1">
      <c r="A60" s="692" t="s">
        <v>2732</v>
      </c>
      <c r="B60" s="261">
        <f t="shared" si="17"/>
        <v>0</v>
      </c>
      <c r="C60" s="199">
        <f t="shared" si="16"/>
        <v>0</v>
      </c>
      <c r="D60" s="1162">
        <v>0.25</v>
      </c>
      <c r="E60" s="693"/>
      <c r="F60" s="1101">
        <f t="shared" si="15"/>
        <v>0</v>
      </c>
      <c r="G60" s="3282"/>
      <c r="H60" s="1102">
        <f>项目基本情况!B37</f>
        <v>0</v>
      </c>
      <c r="I60" s="1106">
        <f>SUMIF(修正!A45:A56,H60,修正!E45:E56)</f>
        <v>0</v>
      </c>
      <c r="J60" s="1110"/>
      <c r="K60" s="1143"/>
      <c r="L60" s="939"/>
      <c r="M60" s="939"/>
      <c r="N60" s="939"/>
      <c r="O60" s="939"/>
    </row>
    <row r="61" spans="1:15" s="691" customFormat="1">
      <c r="A61" s="692" t="s">
        <v>2733</v>
      </c>
      <c r="B61" s="261">
        <f t="shared" si="17"/>
        <v>0</v>
      </c>
      <c r="C61" s="199">
        <f t="shared" si="16"/>
        <v>0</v>
      </c>
      <c r="D61" s="1162">
        <v>0.25</v>
      </c>
      <c r="E61" s="260">
        <f>'数据-汇总表'!E11</f>
        <v>0</v>
      </c>
      <c r="F61" s="1101">
        <f t="shared" si="15"/>
        <v>0</v>
      </c>
      <c r="G61" s="2703" t="s">
        <v>2734</v>
      </c>
      <c r="H61" s="1102">
        <f>项目基本情况!C37</f>
        <v>0</v>
      </c>
      <c r="I61" s="1106">
        <f>SUMIF(修正!A45:A56,H61,修正!F45:F56)</f>
        <v>0</v>
      </c>
      <c r="J61" s="1110"/>
      <c r="K61" s="1142"/>
      <c r="L61" s="939"/>
      <c r="M61" s="939"/>
      <c r="N61" s="939"/>
      <c r="O61" s="939"/>
    </row>
    <row r="62" spans="1:15" s="691" customFormat="1">
      <c r="A62" s="692" t="s">
        <v>2735</v>
      </c>
      <c r="B62" s="261">
        <f t="shared" si="17"/>
        <v>0</v>
      </c>
      <c r="C62" s="199">
        <f t="shared" si="16"/>
        <v>0</v>
      </c>
      <c r="D62" s="1162">
        <v>0.25</v>
      </c>
      <c r="E62" s="260">
        <f>'数据-汇总表'!E12</f>
        <v>0</v>
      </c>
      <c r="F62" s="1101">
        <f t="shared" si="15"/>
        <v>0</v>
      </c>
      <c r="G62" s="1107" t="s">
        <v>2736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2737</v>
      </c>
      <c r="B63" s="261">
        <f t="shared" si="17"/>
        <v>0</v>
      </c>
      <c r="C63" s="199">
        <f t="shared" si="16"/>
        <v>0</v>
      </c>
      <c r="D63" s="1162">
        <v>0.25</v>
      </c>
      <c r="E63" s="260">
        <f>'数据-汇总表'!E13</f>
        <v>0</v>
      </c>
      <c r="F63" s="1101">
        <f t="shared" si="15"/>
        <v>0</v>
      </c>
      <c r="G63" s="1107" t="s">
        <v>2738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2739</v>
      </c>
      <c r="B64" s="261">
        <f t="shared" si="17"/>
        <v>0</v>
      </c>
      <c r="C64" s="199">
        <f t="shared" si="16"/>
        <v>0</v>
      </c>
      <c r="D64" s="1162">
        <v>0.25</v>
      </c>
      <c r="E64" s="260">
        <f>'数据-汇总表'!E14</f>
        <v>0</v>
      </c>
      <c r="F64" s="1101">
        <f t="shared" si="15"/>
        <v>0</v>
      </c>
      <c r="G64" s="2703" t="s">
        <v>2729</v>
      </c>
      <c r="H64" s="1102">
        <f>项目基本情况!B37</f>
        <v>0</v>
      </c>
      <c r="I64" s="1106">
        <f>SUMIF(修正!A45:A56,H64,修正!H45:H56)</f>
        <v>0</v>
      </c>
      <c r="J64" s="1110"/>
      <c r="K64" s="1143"/>
      <c r="L64" s="939"/>
      <c r="M64" s="939"/>
      <c r="N64" s="939"/>
      <c r="O64" s="939"/>
    </row>
    <row r="65" spans="1:17" s="691" customFormat="1" ht="15" thickBot="1">
      <c r="A65" s="692" t="s">
        <v>2740</v>
      </c>
      <c r="B65" s="261">
        <f t="shared" si="17"/>
        <v>0</v>
      </c>
      <c r="C65" s="199">
        <f t="shared" si="16"/>
        <v>0</v>
      </c>
      <c r="D65" s="1162">
        <v>0.25</v>
      </c>
      <c r="E65" s="260">
        <f>'数据-汇总表'!E15</f>
        <v>0</v>
      </c>
      <c r="F65" s="1101">
        <f t="shared" si="15"/>
        <v>0</v>
      </c>
      <c r="G65" s="2704" t="s">
        <v>2734</v>
      </c>
      <c r="H65" s="1112">
        <f>项目基本情况!C37</f>
        <v>0</v>
      </c>
      <c r="I65" s="1108">
        <f>SUMIF(修正!A45:A56,H65,修正!H45:H56)</f>
        <v>0</v>
      </c>
      <c r="J65" s="1111"/>
      <c r="K65" s="1142"/>
      <c r="L65" s="939"/>
      <c r="M65" s="939"/>
      <c r="N65" s="939"/>
      <c r="O65" s="939"/>
    </row>
    <row r="66" spans="1:17" s="691" customFormat="1" ht="13.5" thickBot="1">
      <c r="A66" s="694" t="s">
        <v>2741</v>
      </c>
      <c r="B66" s="695" t="s">
        <v>27</v>
      </c>
      <c r="C66" s="695" t="s">
        <v>28</v>
      </c>
      <c r="D66" s="695" t="s">
        <v>1024</v>
      </c>
      <c r="E66" s="695">
        <f>IF(B46="楼面地价",SUM(E56:E65),'数据-汇总表'!D3)</f>
        <v>221.26</v>
      </c>
      <c r="F66" s="696">
        <f>IF(B46="楼面地价",SUM(F56:F65),ROUND(C48*E66/10000,0))</f>
        <v>239</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2634</v>
      </c>
      <c r="B69" s="758"/>
      <c r="C69" s="763"/>
      <c r="D69" s="763"/>
      <c r="E69" s="763"/>
      <c r="F69" s="764"/>
      <c r="G69" s="764"/>
      <c r="H69" s="763"/>
      <c r="I69" s="763"/>
      <c r="J69" s="1157"/>
      <c r="K69" s="1158"/>
      <c r="L69" s="1159"/>
      <c r="M69" s="1157"/>
      <c r="N69" s="1157"/>
      <c r="O69" s="1157"/>
      <c r="P69" s="502"/>
      <c r="Q69" s="503"/>
    </row>
    <row r="70" spans="1:17" s="507" customFormat="1" ht="15">
      <c r="A70" s="2705" t="s">
        <v>2742</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6" customFormat="1" ht="30" customHeight="1">
      <c r="A71" s="2706" t="s">
        <v>2743</v>
      </c>
      <c r="B71" s="331" t="str">
        <f>"北京市平均增长率"&amp;TEXT(SUMIF(基准地价修正!N21:N25,A71,基准地价修正!P21:P25),"0.00%")</f>
        <v>北京市平均增长率2.08%</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6"/>
      <c r="P71" s="503"/>
    </row>
    <row r="72" spans="1:17" s="116" customFormat="1" ht="15.75" thickBot="1">
      <c r="A72" s="514" t="s">
        <v>2545</v>
      </c>
      <c r="B72" s="515"/>
      <c r="C72" s="516"/>
      <c r="D72" s="517"/>
      <c r="E72" s="517"/>
      <c r="F72" s="517"/>
      <c r="G72" s="517"/>
      <c r="H72" s="517"/>
      <c r="I72" s="517"/>
      <c r="J72" s="517"/>
      <c r="K72" s="517"/>
      <c r="L72" s="517"/>
      <c r="M72" s="518"/>
      <c r="N72" s="517"/>
      <c r="O72" s="1160"/>
      <c r="P72" s="503"/>
      <c r="Q72" s="503"/>
    </row>
    <row r="73" spans="1:17" s="116" customFormat="1" ht="15">
      <c r="A73" s="520" t="s">
        <v>2510</v>
      </c>
      <c r="B73" s="509"/>
      <c r="C73" s="521" t="s">
        <v>2612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2548</v>
      </c>
      <c r="B75" s="527" t="s">
        <v>2514</v>
      </c>
      <c r="C75" s="2986" t="s">
        <v>3223</v>
      </c>
      <c r="D75" s="2986" t="s">
        <v>3225</v>
      </c>
      <c r="E75" s="529"/>
      <c r="F75" s="529"/>
      <c r="G75" s="529"/>
      <c r="H75" s="529"/>
      <c r="I75" s="529"/>
      <c r="J75" s="529"/>
      <c r="K75" s="530"/>
      <c r="L75" s="531"/>
      <c r="M75" s="532"/>
      <c r="N75" s="1150"/>
      <c r="O75" s="1150"/>
      <c r="P75" s="45"/>
      <c r="Q75" s="503"/>
    </row>
    <row r="76" spans="1:17" ht="15.75" thickBot="1">
      <c r="A76" s="533"/>
      <c r="B76" s="534"/>
      <c r="C76" s="535">
        <v>100</v>
      </c>
      <c r="D76" s="535">
        <v>90</v>
      </c>
      <c r="E76" s="535"/>
      <c r="F76" s="535"/>
      <c r="G76" s="535"/>
      <c r="H76" s="535"/>
      <c r="I76" s="535"/>
      <c r="J76" s="535"/>
      <c r="K76" s="535"/>
      <c r="L76" s="535"/>
      <c r="M76" s="536"/>
      <c r="N76" s="1151"/>
      <c r="O76" s="1151"/>
      <c r="P76" s="45"/>
      <c r="Q76" s="503"/>
    </row>
    <row r="77" spans="1:17" ht="27.75" thickTop="1">
      <c r="A77" s="533"/>
      <c r="B77" s="537" t="s">
        <v>2517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2518</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c r="H80" s="548"/>
      <c r="I80" s="548"/>
      <c r="J80" s="548"/>
      <c r="K80" s="549"/>
      <c r="L80" s="550"/>
      <c r="M80" s="551"/>
      <c r="N80" s="1150"/>
      <c r="O80" s="1150"/>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2519</v>
      </c>
      <c r="B88" s="527" t="s">
        <v>2556</v>
      </c>
      <c r="C88" s="572" t="s">
        <v>2557</v>
      </c>
      <c r="D88" s="572" t="s">
        <v>2558</v>
      </c>
      <c r="E88" s="572" t="s">
        <v>2559</v>
      </c>
      <c r="F88" s="572" t="s">
        <v>2560</v>
      </c>
      <c r="G88" s="572" t="s">
        <v>2561</v>
      </c>
      <c r="H88" s="528"/>
      <c r="I88" s="528"/>
      <c r="J88" s="528"/>
      <c r="K88" s="573"/>
      <c r="L88" s="574"/>
      <c r="M88" s="575"/>
      <c r="N88" s="1150"/>
      <c r="O88" s="1150"/>
      <c r="P88" s="576"/>
      <c r="Q88" s="503"/>
    </row>
    <row r="89" spans="1:17" ht="15.75" thickBot="1">
      <c r="A89" s="533"/>
      <c r="B89" s="542"/>
      <c r="C89" s="543">
        <v>100</v>
      </c>
      <c r="D89" s="543">
        <f>C89-$K15</f>
        <v>99</v>
      </c>
      <c r="E89" s="543">
        <f>D89-$K15</f>
        <v>98</v>
      </c>
      <c r="F89" s="543">
        <f>E89-$K15</f>
        <v>97</v>
      </c>
      <c r="G89" s="543">
        <f>F89-$K15</f>
        <v>96</v>
      </c>
      <c r="H89" s="543"/>
      <c r="I89" s="543"/>
      <c r="J89" s="543"/>
      <c r="K89" s="543"/>
      <c r="L89" s="543"/>
      <c r="M89" s="544"/>
      <c r="N89" s="1151"/>
      <c r="O89" s="1151"/>
      <c r="P89" s="45"/>
      <c r="Q89" s="503"/>
    </row>
    <row r="90" spans="1:17" ht="15.75" thickTop="1">
      <c r="A90" s="533"/>
      <c r="B90" s="537" t="s">
        <v>2744</v>
      </c>
      <c r="C90" s="577" t="s">
        <v>2557</v>
      </c>
      <c r="D90" s="577" t="s">
        <v>2558</v>
      </c>
      <c r="E90" s="577" t="s">
        <v>2559</v>
      </c>
      <c r="F90" s="577" t="s">
        <v>2560</v>
      </c>
      <c r="G90" s="577" t="s">
        <v>2561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2657</v>
      </c>
      <c r="C92" s="577" t="s">
        <v>2557</v>
      </c>
      <c r="D92" s="577" t="s">
        <v>2558</v>
      </c>
      <c r="E92" s="577" t="s">
        <v>2559</v>
      </c>
      <c r="F92" s="577" t="s">
        <v>2560</v>
      </c>
      <c r="G92" s="577" t="s">
        <v>2561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2562</v>
      </c>
      <c r="C94" s="577" t="s">
        <v>2557</v>
      </c>
      <c r="D94" s="577" t="s">
        <v>2558</v>
      </c>
      <c r="E94" s="577" t="s">
        <v>2559</v>
      </c>
      <c r="F94" s="577" t="s">
        <v>2560</v>
      </c>
      <c r="G94" s="577" t="s">
        <v>2561</v>
      </c>
      <c r="H94" s="538"/>
      <c r="I94" s="538"/>
      <c r="J94" s="538"/>
      <c r="K94" s="539"/>
      <c r="L94" s="540"/>
      <c r="M94" s="541"/>
      <c r="N94" s="1150"/>
      <c r="O94" s="1150"/>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15.75" thickTop="1">
      <c r="A96" s="578"/>
      <c r="B96" s="537" t="s">
        <v>2745</v>
      </c>
      <c r="C96" s="577" t="s">
        <v>2557</v>
      </c>
      <c r="D96" s="577" t="s">
        <v>2558</v>
      </c>
      <c r="E96" s="577" t="s">
        <v>2559</v>
      </c>
      <c r="F96" s="577" t="s">
        <v>2560</v>
      </c>
      <c r="G96" s="577" t="s">
        <v>2561</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2746</v>
      </c>
      <c r="C98" s="572" t="s">
        <v>2557</v>
      </c>
      <c r="D98" s="572" t="s">
        <v>2558</v>
      </c>
      <c r="E98" s="572" t="s">
        <v>2559</v>
      </c>
      <c r="F98" s="572" t="s">
        <v>2560</v>
      </c>
      <c r="G98" s="572" t="s">
        <v>2561</v>
      </c>
      <c r="H98" s="577"/>
      <c r="I98" s="577"/>
      <c r="J98" s="577"/>
      <c r="K98" s="577"/>
      <c r="L98" s="577"/>
      <c r="M98" s="621"/>
      <c r="N98" s="1149"/>
      <c r="O98" s="1149"/>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2614</v>
      </c>
      <c r="C100" s="572" t="s">
        <v>2557</v>
      </c>
      <c r="D100" s="572" t="s">
        <v>2558</v>
      </c>
      <c r="E100" s="572" t="s">
        <v>2559</v>
      </c>
      <c r="F100" s="572" t="s">
        <v>2560</v>
      </c>
      <c r="G100" s="572" t="s">
        <v>2561</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2615</v>
      </c>
      <c r="C102" s="659" t="s">
        <v>2635</v>
      </c>
      <c r="D102" s="659" t="s">
        <v>2636</v>
      </c>
      <c r="E102" s="659" t="s">
        <v>2637</v>
      </c>
      <c r="F102" s="659" t="s">
        <v>2638</v>
      </c>
      <c r="G102" s="659" t="s">
        <v>2639</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2747</v>
      </c>
      <c r="D104" s="538" t="s">
        <v>2748</v>
      </c>
      <c r="E104" s="538" t="s">
        <v>2749</v>
      </c>
      <c r="F104" s="538" t="s">
        <v>2750</v>
      </c>
      <c r="G104" s="538"/>
      <c r="H104" s="538"/>
      <c r="I104" s="538"/>
      <c r="J104" s="538"/>
      <c r="K104" s="539"/>
      <c r="L104" s="540"/>
      <c r="M104" s="541"/>
      <c r="N104" s="1150"/>
      <c r="O104" s="1150"/>
      <c r="P104" s="45"/>
      <c r="Q104" s="503"/>
    </row>
    <row r="105" spans="1:17" ht="15.75" thickBot="1">
      <c r="A105" s="533"/>
      <c r="B105" s="542"/>
      <c r="C105" s="543">
        <v>100</v>
      </c>
      <c r="D105" s="543">
        <f>C105-$K31</f>
        <v>99.5</v>
      </c>
      <c r="E105" s="543">
        <f t="shared" ref="E105:M105" si="23">D105-$K31</f>
        <v>99</v>
      </c>
      <c r="F105" s="543">
        <f t="shared" si="23"/>
        <v>98.5</v>
      </c>
      <c r="G105" s="543">
        <f t="shared" si="23"/>
        <v>98</v>
      </c>
      <c r="H105" s="543">
        <f t="shared" si="23"/>
        <v>97.5</v>
      </c>
      <c r="I105" s="543">
        <f t="shared" si="23"/>
        <v>97</v>
      </c>
      <c r="J105" s="543">
        <f t="shared" si="23"/>
        <v>96.5</v>
      </c>
      <c r="K105" s="543">
        <f t="shared" si="23"/>
        <v>96</v>
      </c>
      <c r="L105" s="543">
        <f t="shared" si="23"/>
        <v>95.5</v>
      </c>
      <c r="M105" s="543">
        <f t="shared" si="23"/>
        <v>95</v>
      </c>
      <c r="N105" s="1151"/>
      <c r="O105" s="1151"/>
      <c r="P105" s="45"/>
      <c r="Q105" s="503"/>
    </row>
    <row r="106" spans="1:17" ht="27.75" thickTop="1">
      <c r="A106" s="533"/>
      <c r="B106" s="537" t="s">
        <v>2651</v>
      </c>
      <c r="C106" s="2988" t="s">
        <v>3254</v>
      </c>
      <c r="D106" s="2988" t="s">
        <v>3255</v>
      </c>
      <c r="E106" s="2988" t="s">
        <v>3256</v>
      </c>
      <c r="F106" s="2988" t="s">
        <v>3258</v>
      </c>
      <c r="G106" s="2988" t="s">
        <v>3260</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51"/>
      <c r="O107" s="1151"/>
      <c r="P107" s="45"/>
      <c r="Q107" s="503"/>
    </row>
    <row r="108" spans="1:17" ht="15.75" thickTop="1">
      <c r="A108" s="533"/>
      <c r="B108" s="537" t="s">
        <v>2710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2523</v>
      </c>
      <c r="B116" s="527" t="s">
        <v>2751</v>
      </c>
      <c r="C116" s="528" t="str">
        <f>C117&amp;"(含)"&amp;"-"&amp;D117</f>
        <v>0(含)-30000</v>
      </c>
      <c r="D116" s="528" t="str">
        <f t="shared" ref="D116:M116" si="26">D117&amp;"(含)"&amp;"-"&amp;E117</f>
        <v>30000(含)-60000</v>
      </c>
      <c r="E116" s="528" t="str">
        <f t="shared" si="26"/>
        <v>60000(含)-90000</v>
      </c>
      <c r="F116" s="528" t="str">
        <f t="shared" si="26"/>
        <v>90000(含)-120000</v>
      </c>
      <c r="G116" s="528" t="str">
        <f t="shared" si="26"/>
        <v>120000(含)-150000</v>
      </c>
      <c r="H116" s="528" t="str">
        <f t="shared" si="26"/>
        <v>150000(含)-180000</v>
      </c>
      <c r="I116" s="528" t="str">
        <f t="shared" si="26"/>
        <v>180000(含)-</v>
      </c>
      <c r="J116" s="528" t="str">
        <f t="shared" si="26"/>
        <v>(含)-</v>
      </c>
      <c r="K116" s="528" t="str">
        <f t="shared" si="26"/>
        <v>(含)-</v>
      </c>
      <c r="L116" s="528" t="str">
        <f t="shared" si="26"/>
        <v>(含)-</v>
      </c>
      <c r="M116" s="528" t="str">
        <f t="shared" si="26"/>
        <v>(含)-</v>
      </c>
      <c r="N116" s="1150"/>
      <c r="O116" s="1150"/>
      <c r="P116" s="45"/>
      <c r="Q116" s="503"/>
    </row>
    <row r="117" spans="1:17" ht="15">
      <c r="A117" s="533"/>
      <c r="B117" s="545"/>
      <c r="C117" s="594">
        <v>0</v>
      </c>
      <c r="D117" s="594">
        <f>C117+30000</f>
        <v>30000</v>
      </c>
      <c r="E117" s="594">
        <f t="shared" ref="E117:I117" si="27">D117+30000</f>
        <v>60000</v>
      </c>
      <c r="F117" s="594">
        <f t="shared" si="27"/>
        <v>90000</v>
      </c>
      <c r="G117" s="594">
        <f t="shared" si="27"/>
        <v>120000</v>
      </c>
      <c r="H117" s="594">
        <f t="shared" si="27"/>
        <v>150000</v>
      </c>
      <c r="I117" s="594">
        <f t="shared" si="27"/>
        <v>180000</v>
      </c>
      <c r="J117" s="595"/>
      <c r="K117" s="595"/>
      <c r="L117" s="596"/>
      <c r="M117" s="597"/>
      <c r="N117" s="1150"/>
      <c r="O117" s="1150"/>
      <c r="P117" s="45"/>
      <c r="Q117" s="503"/>
    </row>
    <row r="118" spans="1:17" ht="15.75" thickBot="1">
      <c r="A118" s="533"/>
      <c r="B118" s="542"/>
      <c r="C118" s="569">
        <v>100</v>
      </c>
      <c r="D118" s="590">
        <v>102</v>
      </c>
      <c r="E118" s="590">
        <v>104</v>
      </c>
      <c r="F118" s="590"/>
      <c r="G118" s="590"/>
      <c r="H118" s="590"/>
      <c r="I118" s="590"/>
      <c r="J118" s="590"/>
      <c r="K118" s="590"/>
      <c r="L118" s="590"/>
      <c r="M118" s="591"/>
      <c r="N118" s="1151"/>
      <c r="O118" s="1151"/>
      <c r="P118" s="45"/>
      <c r="Q118" s="503"/>
    </row>
    <row r="119" spans="1:17" ht="15" thickTop="1">
      <c r="A119" s="598"/>
      <c r="B119" s="537" t="s">
        <v>2752</v>
      </c>
      <c r="C119" s="2987" t="s">
        <v>3234</v>
      </c>
      <c r="D119" s="2987" t="s">
        <v>3236</v>
      </c>
      <c r="E119" s="2987" t="s">
        <v>3238</v>
      </c>
      <c r="F119" s="2987" t="s">
        <v>3239</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2753</v>
      </c>
      <c r="C121" s="2988" t="s">
        <v>3240</v>
      </c>
      <c r="D121" s="2988" t="s">
        <v>3242</v>
      </c>
      <c r="E121" s="2988" t="s">
        <v>3243</v>
      </c>
      <c r="F121" s="2987" t="s">
        <v>3244</v>
      </c>
      <c r="G121" s="2987" t="s">
        <v>3245</v>
      </c>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2754</v>
      </c>
      <c r="C123" s="2988" t="s">
        <v>3246</v>
      </c>
      <c r="D123" s="2988" t="s">
        <v>3247</v>
      </c>
      <c r="E123" s="2988" t="s">
        <v>3248</v>
      </c>
      <c r="F123" s="2988" t="s">
        <v>3261</v>
      </c>
      <c r="G123" s="2988" t="s">
        <v>3263</v>
      </c>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2755</v>
      </c>
      <c r="C125" s="2988" t="s">
        <v>3249</v>
      </c>
      <c r="D125" s="2988" t="s">
        <v>3250</v>
      </c>
      <c r="E125" s="2987" t="s">
        <v>3251</v>
      </c>
      <c r="F125" s="2987" t="s">
        <v>3252</v>
      </c>
      <c r="G125" s="2987" t="s">
        <v>3253</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2704</v>
      </c>
      <c r="B1" s="394"/>
      <c r="C1" s="395" t="s">
        <v>2756</v>
      </c>
      <c r="D1" s="754"/>
      <c r="E1" s="754"/>
      <c r="F1" s="753" t="s">
        <v>2603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2290</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ROUND(IF(D3="",B2*10000/'数据-汇总表'!E3,B2*10000/D3),0)</f>
        <v>#DIV/0!</v>
      </c>
      <c r="C3" s="246" t="s">
        <v>2706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43" t="s">
        <v>2606</v>
      </c>
      <c r="D4" s="3244"/>
      <c r="E4" s="3245" t="s">
        <v>2607</v>
      </c>
      <c r="F4" s="3246"/>
      <c r="G4" s="3243" t="s">
        <v>2608</v>
      </c>
      <c r="H4" s="3244"/>
      <c r="I4" s="3243" t="s">
        <v>2609</v>
      </c>
      <c r="J4" s="3244"/>
      <c r="K4" s="609" t="s">
        <v>2610</v>
      </c>
      <c r="L4" s="1128"/>
      <c r="M4" s="1129"/>
      <c r="N4" s="1129"/>
      <c r="O4" s="1129"/>
      <c r="P4" s="3247" t="s">
        <v>2611</v>
      </c>
      <c r="Q4" s="3248"/>
      <c r="R4" s="3233" t="s">
        <v>2607</v>
      </c>
      <c r="S4" s="3234"/>
      <c r="T4" s="3233" t="s">
        <v>2608</v>
      </c>
      <c r="U4" s="3234"/>
      <c r="V4" s="3232" t="s">
        <v>2609</v>
      </c>
      <c r="W4" s="3232"/>
      <c r="X4" s="1811"/>
      <c r="Y4" s="3233" t="s">
        <v>2611</v>
      </c>
      <c r="Z4" s="3234"/>
      <c r="AA4" s="3239" t="s">
        <v>2607</v>
      </c>
      <c r="AB4" s="3240" t="s">
        <v>2608</v>
      </c>
      <c r="AC4" s="3239" t="s">
        <v>2609</v>
      </c>
    </row>
    <row r="5" spans="1:29" ht="15">
      <c r="A5" s="403"/>
      <c r="B5" s="404"/>
      <c r="C5" s="3262" t="s">
        <v>2502</v>
      </c>
      <c r="D5" s="3254"/>
      <c r="E5" s="3261" t="s">
        <v>2503</v>
      </c>
      <c r="F5" s="3256"/>
      <c r="G5" s="3262" t="s">
        <v>2504</v>
      </c>
      <c r="H5" s="3254"/>
      <c r="I5" s="3262" t="s">
        <v>2505</v>
      </c>
      <c r="J5" s="3254"/>
      <c r="K5" s="609"/>
      <c r="L5" s="1128"/>
      <c r="M5" s="1129"/>
      <c r="N5" s="1129"/>
      <c r="O5" s="1129"/>
      <c r="P5" s="3249"/>
      <c r="Q5" s="3250"/>
      <c r="R5" s="3235"/>
      <c r="S5" s="3236"/>
      <c r="T5" s="3235"/>
      <c r="U5" s="3236"/>
      <c r="V5" s="3232"/>
      <c r="W5" s="3232"/>
      <c r="X5" s="1811"/>
      <c r="Y5" s="3235"/>
      <c r="Z5" s="3236"/>
      <c r="AA5" s="3240"/>
      <c r="AB5" s="3240"/>
      <c r="AC5" s="3240"/>
    </row>
    <row r="6" spans="1:29" ht="15.75" thickBot="1">
      <c r="A6" s="405"/>
      <c r="B6" s="406"/>
      <c r="C6" s="3283" t="s">
        <v>2757</v>
      </c>
      <c r="D6" s="3284"/>
      <c r="E6" s="3285" t="s">
        <v>2757</v>
      </c>
      <c r="F6" s="3286"/>
      <c r="G6" s="3283" t="s">
        <v>2757</v>
      </c>
      <c r="H6" s="3284"/>
      <c r="I6" s="3283" t="s">
        <v>2757</v>
      </c>
      <c r="J6" s="3284"/>
      <c r="K6" s="609" t="s">
        <v>2507</v>
      </c>
      <c r="L6" s="1128"/>
      <c r="M6" s="1129"/>
      <c r="N6" s="1129"/>
      <c r="O6" s="1129"/>
      <c r="P6" s="3251"/>
      <c r="Q6" s="3252"/>
      <c r="R6" s="3235"/>
      <c r="S6" s="3236"/>
      <c r="T6" s="3237"/>
      <c r="U6" s="3238"/>
      <c r="V6" s="3232"/>
      <c r="W6" s="3232"/>
      <c r="X6" s="1811"/>
      <c r="Y6" s="3237"/>
      <c r="Z6" s="3238"/>
      <c r="AA6" s="3241"/>
      <c r="AB6" s="3241"/>
      <c r="AC6" s="3241"/>
    </row>
    <row r="7" spans="1:29" s="116" customFormat="1" ht="15.75" thickBot="1">
      <c r="A7" s="407" t="s">
        <v>2508</v>
      </c>
      <c r="B7" s="408"/>
      <c r="C7" s="409">
        <f>'数据-取费表'!B2</f>
        <v>43906</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229" t="s">
        <v>2509</v>
      </c>
      <c r="Q7" s="3242"/>
      <c r="R7" s="769" t="s">
        <v>17</v>
      </c>
      <c r="S7" s="770">
        <f t="shared" ref="S7:S15" si="0">F7</f>
        <v>0</v>
      </c>
      <c r="T7" s="769" t="s">
        <v>17</v>
      </c>
      <c r="U7" s="770">
        <f t="shared" ref="U7:U15" si="1">H7</f>
        <v>0</v>
      </c>
      <c r="V7" s="769" t="s">
        <v>17</v>
      </c>
      <c r="W7" s="770">
        <f t="shared" ref="W7:W15" si="2">J7</f>
        <v>0</v>
      </c>
      <c r="X7" s="771"/>
      <c r="Y7" s="3229" t="s">
        <v>2509</v>
      </c>
      <c r="Z7" s="3230"/>
      <c r="AA7" s="772" t="e">
        <f>D7/F7</f>
        <v>#DIV/0!</v>
      </c>
      <c r="AB7" s="772" t="e">
        <f>D7/H7</f>
        <v>#DIV/0!</v>
      </c>
      <c r="AC7" s="772" t="e">
        <f>D7/J7</f>
        <v>#DIV/0!</v>
      </c>
    </row>
    <row r="8" spans="1:29" s="116" customFormat="1" ht="15.75" thickBot="1">
      <c r="A8" s="407" t="s">
        <v>2510</v>
      </c>
      <c r="B8" s="408"/>
      <c r="C8" s="413" t="s">
        <v>2511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9" t="s">
        <v>2512</v>
      </c>
      <c r="Q8" s="3230"/>
      <c r="R8" s="769" t="s">
        <v>17</v>
      </c>
      <c r="S8" s="770">
        <f t="shared" si="0"/>
        <v>0</v>
      </c>
      <c r="T8" s="769" t="s">
        <v>17</v>
      </c>
      <c r="U8" s="770">
        <f t="shared" si="1"/>
        <v>0</v>
      </c>
      <c r="V8" s="769" t="s">
        <v>17</v>
      </c>
      <c r="W8" s="770">
        <f t="shared" si="2"/>
        <v>0</v>
      </c>
      <c r="X8" s="771"/>
      <c r="Y8" s="3229" t="s">
        <v>2512</v>
      </c>
      <c r="Z8" s="3230"/>
      <c r="AA8" s="772" t="e">
        <f t="shared" ref="AA8:AA40" si="3">D8/F8</f>
        <v>#DIV/0!</v>
      </c>
      <c r="AB8" s="772" t="e">
        <f t="shared" ref="AB8:AB40" si="4">D8/H8</f>
        <v>#DIV/0!</v>
      </c>
      <c r="AC8" s="772" t="e">
        <f t="shared" ref="AC8:AC40" si="5">D8/J8</f>
        <v>#DIV/0!</v>
      </c>
    </row>
    <row r="9" spans="1:29" s="116" customFormat="1">
      <c r="A9" s="414" t="s">
        <v>2513</v>
      </c>
      <c r="B9" s="71" t="s">
        <v>2514</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215" t="s">
        <v>2515</v>
      </c>
      <c r="Q9" s="1793" t="str">
        <f t="shared" ref="Q9:Q15" si="6">B9</f>
        <v>用途</v>
      </c>
      <c r="R9" s="769" t="s">
        <v>17</v>
      </c>
      <c r="S9" s="770">
        <f t="shared" si="0"/>
        <v>100</v>
      </c>
      <c r="T9" s="769" t="s">
        <v>17</v>
      </c>
      <c r="U9" s="770">
        <f t="shared" si="1"/>
        <v>100</v>
      </c>
      <c r="V9" s="769" t="s">
        <v>17</v>
      </c>
      <c r="W9" s="770">
        <f t="shared" si="2"/>
        <v>100</v>
      </c>
      <c r="X9" s="771"/>
      <c r="Y9" s="3063" t="s">
        <v>2516</v>
      </c>
      <c r="Z9" s="55" t="str">
        <f t="shared" ref="Z9:Z15" si="7">Q9</f>
        <v>用途</v>
      </c>
      <c r="AA9" s="772">
        <f t="shared" si="3"/>
        <v>1</v>
      </c>
      <c r="AB9" s="772">
        <f t="shared" si="4"/>
        <v>1</v>
      </c>
      <c r="AC9" s="772">
        <f t="shared" si="5"/>
        <v>1</v>
      </c>
    </row>
    <row r="10" spans="1:29" s="426" customFormat="1" ht="27">
      <c r="A10" s="420"/>
      <c r="B10" s="421" t="s">
        <v>2517</v>
      </c>
      <c r="C10" s="431"/>
      <c r="D10" s="135">
        <v>100</v>
      </c>
      <c r="E10" s="431"/>
      <c r="F10" s="135">
        <f>ROUND(100/'数据-取费表'!G16,0)</f>
        <v>100</v>
      </c>
      <c r="G10" s="431"/>
      <c r="H10" s="135">
        <f>ROUND(100/'数据-取费表'!G16,0)</f>
        <v>100</v>
      </c>
      <c r="I10" s="431"/>
      <c r="J10" s="135">
        <f>ROUND(100/'数据-取费表'!G16,0)</f>
        <v>100</v>
      </c>
      <c r="K10" s="671"/>
      <c r="L10" s="1133"/>
      <c r="M10" s="1134"/>
      <c r="N10" s="1134"/>
      <c r="O10" s="1135"/>
      <c r="P10" s="3215"/>
      <c r="Q10" s="1793" t="str">
        <f t="shared" si="6"/>
        <v>土地使用年限（年）</v>
      </c>
      <c r="R10" s="769" t="s">
        <v>17</v>
      </c>
      <c r="S10" s="770">
        <f t="shared" si="0"/>
        <v>100</v>
      </c>
      <c r="T10" s="769" t="s">
        <v>17</v>
      </c>
      <c r="U10" s="770">
        <f t="shared" si="1"/>
        <v>100</v>
      </c>
      <c r="V10" s="769" t="s">
        <v>17</v>
      </c>
      <c r="W10" s="770">
        <f t="shared" si="2"/>
        <v>100</v>
      </c>
      <c r="X10" s="771"/>
      <c r="Y10" s="3063"/>
      <c r="Z10" s="55" t="str">
        <f t="shared" si="7"/>
        <v>土地使用年限（年）</v>
      </c>
      <c r="AA10" s="772">
        <f t="shared" si="3"/>
        <v>1</v>
      </c>
      <c r="AB10" s="772">
        <f t="shared" si="4"/>
        <v>1</v>
      </c>
      <c r="AC10" s="772">
        <f t="shared" si="5"/>
        <v>1</v>
      </c>
    </row>
    <row r="11" spans="1:29" ht="15">
      <c r="A11" s="427"/>
      <c r="B11" s="421" t="s">
        <v>2518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5"/>
      <c r="Q11" s="1793" t="str">
        <f t="shared" si="6"/>
        <v>容积率</v>
      </c>
      <c r="R11" s="769" t="s">
        <v>17</v>
      </c>
      <c r="S11" s="770" t="e">
        <f t="shared" si="0"/>
        <v>#N/A</v>
      </c>
      <c r="T11" s="769" t="s">
        <v>17</v>
      </c>
      <c r="U11" s="770" t="e">
        <f t="shared" si="1"/>
        <v>#N/A</v>
      </c>
      <c r="V11" s="769" t="s">
        <v>17</v>
      </c>
      <c r="W11" s="770" t="e">
        <f t="shared" si="2"/>
        <v>#N/A</v>
      </c>
      <c r="X11" s="771"/>
      <c r="Y11" s="3063"/>
      <c r="Z11" s="55" t="str">
        <f t="shared" si="7"/>
        <v>容积率</v>
      </c>
      <c r="AA11" s="772" t="e">
        <f t="shared" si="3"/>
        <v>#N/A</v>
      </c>
      <c r="AB11" s="772" t="e">
        <f t="shared" si="4"/>
        <v>#N/A</v>
      </c>
      <c r="AC11" s="772" t="e">
        <f t="shared" si="5"/>
        <v>#N/A</v>
      </c>
    </row>
    <row r="12" spans="1:29" s="116" customFormat="1" ht="15">
      <c r="A12" s="430"/>
      <c r="B12" s="2595">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5"/>
      <c r="Q12" s="1793">
        <f t="shared" si="6"/>
        <v>111</v>
      </c>
      <c r="R12" s="769" t="s">
        <v>17</v>
      </c>
      <c r="S12" s="770">
        <f t="shared" si="0"/>
        <v>100</v>
      </c>
      <c r="T12" s="769" t="s">
        <v>17</v>
      </c>
      <c r="U12" s="770">
        <f t="shared" si="1"/>
        <v>100</v>
      </c>
      <c r="V12" s="769" t="s">
        <v>17</v>
      </c>
      <c r="W12" s="770">
        <f t="shared" si="2"/>
        <v>100</v>
      </c>
      <c r="X12" s="771"/>
      <c r="Y12" s="3063"/>
      <c r="Z12" s="55">
        <f t="shared" si="7"/>
        <v>111</v>
      </c>
      <c r="AA12" s="772">
        <f>D12/F12</f>
        <v>1</v>
      </c>
      <c r="AB12" s="772">
        <f>D12/H12</f>
        <v>1</v>
      </c>
      <c r="AC12" s="772">
        <f>D12/J12</f>
        <v>1</v>
      </c>
    </row>
    <row r="13" spans="1:29" ht="15">
      <c r="A13" s="427"/>
      <c r="B13" s="2595">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5"/>
      <c r="Q13" s="1793">
        <f t="shared" si="6"/>
        <v>111</v>
      </c>
      <c r="R13" s="769" t="s">
        <v>17</v>
      </c>
      <c r="S13" s="770">
        <f t="shared" si="0"/>
        <v>100</v>
      </c>
      <c r="T13" s="769" t="s">
        <v>17</v>
      </c>
      <c r="U13" s="770">
        <f t="shared" si="1"/>
        <v>100</v>
      </c>
      <c r="V13" s="769" t="s">
        <v>17</v>
      </c>
      <c r="W13" s="770">
        <f t="shared" si="2"/>
        <v>100</v>
      </c>
      <c r="X13" s="771"/>
      <c r="Y13" s="3063"/>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5"/>
      <c r="Q14" s="1793">
        <f t="shared" si="6"/>
        <v>111</v>
      </c>
      <c r="R14" s="769" t="s">
        <v>17</v>
      </c>
      <c r="S14" s="770">
        <f t="shared" si="0"/>
        <v>100</v>
      </c>
      <c r="T14" s="769" t="s">
        <v>17</v>
      </c>
      <c r="U14" s="770">
        <f t="shared" si="1"/>
        <v>100</v>
      </c>
      <c r="V14" s="769" t="s">
        <v>17</v>
      </c>
      <c r="W14" s="770">
        <f t="shared" si="2"/>
        <v>100</v>
      </c>
      <c r="X14" s="771"/>
      <c r="Y14" s="3063"/>
      <c r="Z14" s="55">
        <f t="shared" si="7"/>
        <v>111</v>
      </c>
      <c r="AA14" s="772">
        <f t="shared" si="3"/>
        <v>1</v>
      </c>
      <c r="AB14" s="772">
        <f t="shared" si="4"/>
        <v>1</v>
      </c>
      <c r="AC14" s="772">
        <f t="shared" si="5"/>
        <v>1</v>
      </c>
    </row>
    <row r="15" spans="1:29" ht="57">
      <c r="A15" s="439" t="s">
        <v>2519</v>
      </c>
      <c r="B15" s="628" t="s">
        <v>2758</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2" t="s">
        <v>2520</v>
      </c>
      <c r="Q15" s="1808" t="str">
        <f t="shared" si="6"/>
        <v>产业集聚程度</v>
      </c>
      <c r="R15" s="773" t="s">
        <v>17</v>
      </c>
      <c r="S15" s="774">
        <f t="shared" si="0"/>
        <v>100</v>
      </c>
      <c r="T15" s="773" t="s">
        <v>17</v>
      </c>
      <c r="U15" s="774">
        <f t="shared" si="1"/>
        <v>100</v>
      </c>
      <c r="V15" s="773" t="s">
        <v>17</v>
      </c>
      <c r="W15" s="774">
        <f t="shared" si="2"/>
        <v>100</v>
      </c>
      <c r="X15" s="1811"/>
      <c r="Y15" s="3222" t="s">
        <v>2520</v>
      </c>
      <c r="Z15" s="1812" t="str">
        <f t="shared" si="7"/>
        <v>产业集聚程度</v>
      </c>
      <c r="AA15" s="1809">
        <f t="shared" si="3"/>
        <v>1</v>
      </c>
      <c r="AB15" s="1809">
        <f t="shared" si="4"/>
        <v>1</v>
      </c>
      <c r="AC15" s="1809">
        <f t="shared" si="5"/>
        <v>1</v>
      </c>
    </row>
    <row r="16" spans="1:29" ht="15">
      <c r="A16" s="427"/>
      <c r="B16" s="629"/>
      <c r="C16" s="446"/>
      <c r="D16" s="447"/>
      <c r="E16" s="2606"/>
      <c r="F16" s="447"/>
      <c r="G16" s="2606"/>
      <c r="H16" s="449"/>
      <c r="I16" s="2606"/>
      <c r="J16" s="447"/>
      <c r="K16" s="671"/>
      <c r="L16" s="1138"/>
      <c r="M16" s="1129"/>
      <c r="N16" s="1129"/>
      <c r="O16" s="1137"/>
      <c r="P16" s="3223"/>
      <c r="Q16" s="1808"/>
      <c r="R16" s="773"/>
      <c r="S16" s="774"/>
      <c r="T16" s="773"/>
      <c r="U16" s="774"/>
      <c r="V16" s="773"/>
      <c r="W16" s="774"/>
      <c r="X16" s="1811"/>
      <c r="Y16" s="3223"/>
      <c r="Z16" s="1812"/>
      <c r="AA16" s="1809">
        <v>1</v>
      </c>
      <c r="AB16" s="1809">
        <v>1</v>
      </c>
      <c r="AC16" s="1809">
        <v>1</v>
      </c>
    </row>
    <row r="17" spans="1:29" ht="85.5">
      <c r="A17" s="427"/>
      <c r="B17" s="630" t="s">
        <v>2669</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631"/>
      <c r="C18" s="446"/>
      <c r="D18" s="447"/>
      <c r="E18" s="2600"/>
      <c r="F18" s="447"/>
      <c r="G18" s="2600"/>
      <c r="H18" s="447"/>
      <c r="I18" s="2599"/>
      <c r="J18" s="447"/>
      <c r="K18" s="671"/>
      <c r="L18" s="1138"/>
      <c r="M18" s="1129"/>
      <c r="N18" s="1129"/>
      <c r="O18" s="1137"/>
      <c r="P18" s="3223"/>
      <c r="Q18" s="1808"/>
      <c r="R18" s="773"/>
      <c r="S18" s="774"/>
      <c r="T18" s="773"/>
      <c r="U18" s="774"/>
      <c r="V18" s="773"/>
      <c r="W18" s="774"/>
      <c r="X18" s="1811"/>
      <c r="Y18" s="3223"/>
      <c r="Z18" s="1812"/>
      <c r="AA18" s="1809">
        <v>1</v>
      </c>
      <c r="AB18" s="1809">
        <v>1</v>
      </c>
      <c r="AC18" s="1809">
        <v>1</v>
      </c>
    </row>
    <row r="19" spans="1:29" ht="15">
      <c r="A19" s="427"/>
      <c r="B19" s="630" t="s">
        <v>2708</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3"/>
      <c r="Q19" s="1808" t="str">
        <f t="shared" ref="Q19:Q33" si="8">B19</f>
        <v>区域土地利用方向</v>
      </c>
      <c r="R19" s="773" t="s">
        <v>17</v>
      </c>
      <c r="S19" s="774">
        <f>F19</f>
        <v>100</v>
      </c>
      <c r="T19" s="773" t="s">
        <v>17</v>
      </c>
      <c r="U19" s="774">
        <f>H19</f>
        <v>100</v>
      </c>
      <c r="V19" s="773" t="s">
        <v>17</v>
      </c>
      <c r="W19" s="774">
        <f>J19</f>
        <v>100</v>
      </c>
      <c r="X19" s="1811"/>
      <c r="Y19" s="3223"/>
      <c r="Z19" s="1812" t="str">
        <f>Q19</f>
        <v>区域土地利用方向</v>
      </c>
      <c r="AA19" s="1809">
        <f t="shared" si="3"/>
        <v>1</v>
      </c>
      <c r="AB19" s="1809">
        <f t="shared" si="4"/>
        <v>1</v>
      </c>
      <c r="AC19" s="1809">
        <f t="shared" si="5"/>
        <v>1</v>
      </c>
    </row>
    <row r="20" spans="1:29" ht="15">
      <c r="A20" s="403"/>
      <c r="B20" s="631"/>
      <c r="C20" s="446"/>
      <c r="D20" s="447"/>
      <c r="E20" s="2600"/>
      <c r="F20" s="447"/>
      <c r="G20" s="2600"/>
      <c r="H20" s="447"/>
      <c r="I20" s="2600"/>
      <c r="J20" s="447"/>
      <c r="K20" s="810"/>
      <c r="L20" s="1138"/>
      <c r="M20" s="1129"/>
      <c r="N20" s="1129"/>
      <c r="O20" s="1137"/>
      <c r="P20" s="3223"/>
      <c r="Q20" s="1808"/>
      <c r="R20" s="773"/>
      <c r="S20" s="774"/>
      <c r="T20" s="773"/>
      <c r="U20" s="774"/>
      <c r="V20" s="773"/>
      <c r="W20" s="774"/>
      <c r="X20" s="1811"/>
      <c r="Y20" s="3223"/>
      <c r="Z20" s="1812"/>
      <c r="AA20" s="1809"/>
      <c r="AB20" s="1809"/>
      <c r="AC20" s="1809"/>
    </row>
    <row r="21" spans="1:29" ht="71.25">
      <c r="A21" s="403"/>
      <c r="B21" s="630" t="s">
        <v>2759</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3"/>
      <c r="Q21" s="1808" t="str">
        <f t="shared" si="8"/>
        <v>环境状况</v>
      </c>
      <c r="R21" s="773" t="s">
        <v>17</v>
      </c>
      <c r="S21" s="774">
        <f>F21</f>
        <v>100</v>
      </c>
      <c r="T21" s="773" t="s">
        <v>17</v>
      </c>
      <c r="U21" s="774">
        <f>H21</f>
        <v>100</v>
      </c>
      <c r="V21" s="773" t="s">
        <v>17</v>
      </c>
      <c r="W21" s="774">
        <f>J21</f>
        <v>100</v>
      </c>
      <c r="X21" s="1811"/>
      <c r="Y21" s="3223"/>
      <c r="Z21" s="1812" t="str">
        <f>Q21</f>
        <v>环境状况</v>
      </c>
      <c r="AA21" s="1809">
        <f t="shared" si="3"/>
        <v>1</v>
      </c>
      <c r="AB21" s="1809">
        <f t="shared" si="4"/>
        <v>1</v>
      </c>
      <c r="AC21" s="1809">
        <f t="shared" si="5"/>
        <v>1</v>
      </c>
    </row>
    <row r="22" spans="1:29" ht="15">
      <c r="A22" s="403"/>
      <c r="B22" s="631"/>
      <c r="C22" s="446"/>
      <c r="D22" s="447"/>
      <c r="E22" s="2606"/>
      <c r="F22" s="447"/>
      <c r="G22" s="2606"/>
      <c r="H22" s="447"/>
      <c r="I22" s="446"/>
      <c r="J22" s="447"/>
      <c r="K22" s="671"/>
      <c r="L22" s="1138"/>
      <c r="M22" s="1129"/>
      <c r="N22" s="1129"/>
      <c r="O22" s="1137"/>
      <c r="P22" s="3223"/>
      <c r="Q22" s="1808"/>
      <c r="R22" s="773"/>
      <c r="S22" s="774"/>
      <c r="T22" s="773"/>
      <c r="U22" s="774"/>
      <c r="V22" s="773"/>
      <c r="W22" s="774"/>
      <c r="X22" s="1811"/>
      <c r="Y22" s="3223"/>
      <c r="Z22" s="1812"/>
      <c r="AA22" s="1809">
        <v>1</v>
      </c>
      <c r="AB22" s="1809">
        <v>1</v>
      </c>
      <c r="AC22" s="1809">
        <v>1</v>
      </c>
    </row>
    <row r="23" spans="1:29" s="116" customFormat="1" ht="42.75">
      <c r="A23" s="648"/>
      <c r="B23" s="632" t="s">
        <v>2614</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3"/>
      <c r="Q23" s="1793" t="str">
        <f t="shared" si="8"/>
        <v>公共配套设施</v>
      </c>
      <c r="R23" s="769" t="s">
        <v>17</v>
      </c>
      <c r="S23" s="770">
        <f>F23</f>
        <v>100</v>
      </c>
      <c r="T23" s="769" t="s">
        <v>17</v>
      </c>
      <c r="U23" s="770">
        <f>H23</f>
        <v>100</v>
      </c>
      <c r="V23" s="769" t="s">
        <v>17</v>
      </c>
      <c r="W23" s="770">
        <f>J23</f>
        <v>100</v>
      </c>
      <c r="X23" s="771"/>
      <c r="Y23" s="3223"/>
      <c r="Z23" s="55" t="str">
        <f>Q23</f>
        <v>公共配套设施</v>
      </c>
      <c r="AA23" s="1809">
        <f>D23/F23</f>
        <v>1</v>
      </c>
      <c r="AB23" s="1809">
        <f>D23/H23</f>
        <v>1</v>
      </c>
      <c r="AC23" s="1809">
        <f>D23/J23</f>
        <v>1</v>
      </c>
    </row>
    <row r="24" spans="1:29" s="116" customFormat="1" ht="15">
      <c r="A24" s="648"/>
      <c r="B24" s="631"/>
      <c r="C24" s="2694"/>
      <c r="D24" s="447"/>
      <c r="E24" s="2606"/>
      <c r="F24" s="447"/>
      <c r="G24" s="2606"/>
      <c r="H24" s="447"/>
      <c r="I24" s="446"/>
      <c r="J24" s="447"/>
      <c r="K24" s="671"/>
      <c r="L24" s="1130"/>
      <c r="M24" s="1131"/>
      <c r="N24" s="1131"/>
      <c r="O24" s="1132"/>
      <c r="P24" s="3223"/>
      <c r="Q24" s="1793"/>
      <c r="R24" s="769"/>
      <c r="S24" s="770"/>
      <c r="T24" s="769"/>
      <c r="U24" s="770"/>
      <c r="V24" s="769"/>
      <c r="W24" s="770"/>
      <c r="X24" s="771"/>
      <c r="Y24" s="3223"/>
      <c r="Z24" s="55"/>
      <c r="AA24" s="772">
        <v>1</v>
      </c>
      <c r="AB24" s="772">
        <v>1</v>
      </c>
      <c r="AC24" s="772">
        <v>1</v>
      </c>
    </row>
    <row r="25" spans="1:29" s="116" customFormat="1" ht="28.5">
      <c r="A25" s="648"/>
      <c r="B25" s="632" t="s">
        <v>2615</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3"/>
      <c r="Q25" s="1793" t="str">
        <f t="shared" ref="Q25" si="9">B25</f>
        <v>基础设施水平</v>
      </c>
      <c r="R25" s="769" t="s">
        <v>17</v>
      </c>
      <c r="S25" s="770">
        <f>F25</f>
        <v>100</v>
      </c>
      <c r="T25" s="769" t="s">
        <v>17</v>
      </c>
      <c r="U25" s="770">
        <f>H25</f>
        <v>100</v>
      </c>
      <c r="V25" s="769" t="s">
        <v>17</v>
      </c>
      <c r="W25" s="770">
        <f>J25</f>
        <v>100</v>
      </c>
      <c r="X25" s="771"/>
      <c r="Y25" s="3223"/>
      <c r="Z25" s="55" t="str">
        <f>Q25</f>
        <v>基础设施水平</v>
      </c>
      <c r="AA25" s="1809">
        <f>D25/F25</f>
        <v>1</v>
      </c>
      <c r="AB25" s="1809">
        <f>D25/H25</f>
        <v>1</v>
      </c>
      <c r="AC25" s="1809">
        <f>D25/J25</f>
        <v>1</v>
      </c>
    </row>
    <row r="26" spans="1:29" s="116" customFormat="1" ht="15">
      <c r="A26" s="648"/>
      <c r="B26" s="631"/>
      <c r="C26" s="2694"/>
      <c r="D26" s="447"/>
      <c r="E26" s="2695"/>
      <c r="F26" s="447"/>
      <c r="G26" s="2695"/>
      <c r="H26" s="447"/>
      <c r="I26" s="2695"/>
      <c r="J26" s="447"/>
      <c r="K26" s="671"/>
      <c r="L26" s="1130"/>
      <c r="M26" s="1131"/>
      <c r="N26" s="1131"/>
      <c r="O26" s="1132"/>
      <c r="P26" s="3223"/>
      <c r="Q26" s="1793"/>
      <c r="R26" s="769"/>
      <c r="S26" s="770"/>
      <c r="T26" s="769"/>
      <c r="U26" s="770"/>
      <c r="V26" s="769"/>
      <c r="W26" s="770"/>
      <c r="X26" s="771"/>
      <c r="Y26" s="3223"/>
      <c r="Z26" s="55"/>
      <c r="AA26" s="772">
        <v>1</v>
      </c>
      <c r="AB26" s="772">
        <v>1</v>
      </c>
      <c r="AC26" s="772">
        <v>1</v>
      </c>
    </row>
    <row r="27" spans="1:29" ht="15">
      <c r="A27" s="427"/>
      <c r="B27" s="631" t="s">
        <v>2616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3"/>
      <c r="Z27" s="1812" t="str">
        <f t="shared" ref="Z27:Z40" si="13">Q27</f>
        <v>临街状况</v>
      </c>
      <c r="AA27" s="1809">
        <f t="shared" si="3"/>
        <v>1</v>
      </c>
      <c r="AB27" s="1809">
        <f t="shared" si="4"/>
        <v>1</v>
      </c>
      <c r="AC27" s="1809">
        <f t="shared" si="5"/>
        <v>1</v>
      </c>
    </row>
    <row r="28" spans="1:29" ht="27">
      <c r="A28" s="427"/>
      <c r="B28" s="632" t="s">
        <v>2651</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3"/>
      <c r="Q28" s="1808" t="str">
        <f t="shared" si="8"/>
        <v>毗邻道路的类型与等级</v>
      </c>
      <c r="R28" s="773" t="s">
        <v>17</v>
      </c>
      <c r="S28" s="774">
        <f t="shared" si="10"/>
        <v>100</v>
      </c>
      <c r="T28" s="773" t="s">
        <v>17</v>
      </c>
      <c r="U28" s="774">
        <f t="shared" si="11"/>
        <v>100</v>
      </c>
      <c r="V28" s="773" t="s">
        <v>17</v>
      </c>
      <c r="W28" s="774">
        <f t="shared" si="12"/>
        <v>100</v>
      </c>
      <c r="X28" s="1811"/>
      <c r="Y28" s="3223"/>
      <c r="Z28" s="1812" t="str">
        <f t="shared" si="13"/>
        <v>毗邻道路的类型与等级</v>
      </c>
      <c r="AA28" s="1809">
        <f t="shared" si="3"/>
        <v>1</v>
      </c>
      <c r="AB28" s="1809">
        <f t="shared" si="4"/>
        <v>1</v>
      </c>
      <c r="AC28" s="1809">
        <f t="shared" si="5"/>
        <v>1</v>
      </c>
    </row>
    <row r="29" spans="1:29" ht="15">
      <c r="A29" s="427"/>
      <c r="B29" s="631"/>
      <c r="C29" s="446"/>
      <c r="D29" s="447"/>
      <c r="E29" s="2606"/>
      <c r="F29" s="447"/>
      <c r="G29" s="2606"/>
      <c r="H29" s="447"/>
      <c r="I29" s="2606"/>
      <c r="J29" s="447"/>
      <c r="K29" s="612"/>
      <c r="L29" s="1138"/>
      <c r="M29" s="1129"/>
      <c r="N29" s="1129"/>
      <c r="O29" s="1137"/>
      <c r="P29" s="3223"/>
      <c r="Q29" s="1808"/>
      <c r="R29" s="773"/>
      <c r="S29" s="774"/>
      <c r="T29" s="773"/>
      <c r="U29" s="774"/>
      <c r="V29" s="773"/>
      <c r="W29" s="774"/>
      <c r="X29" s="1811"/>
      <c r="Y29" s="3223"/>
      <c r="Z29" s="1812"/>
      <c r="AA29" s="1809">
        <v>1</v>
      </c>
      <c r="AB29" s="1809">
        <v>1</v>
      </c>
      <c r="AC29" s="1809">
        <v>1</v>
      </c>
    </row>
    <row r="30" spans="1:29" ht="15">
      <c r="A30" s="427"/>
      <c r="B30" s="653" t="s">
        <v>2710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3"/>
      <c r="Q30" s="1808" t="str">
        <f t="shared" si="8"/>
        <v>土地级别</v>
      </c>
      <c r="R30" s="773" t="s">
        <v>17</v>
      </c>
      <c r="S30" s="774">
        <f t="shared" si="10"/>
        <v>100</v>
      </c>
      <c r="T30" s="773" t="s">
        <v>17</v>
      </c>
      <c r="U30" s="774">
        <f t="shared" si="11"/>
        <v>100</v>
      </c>
      <c r="V30" s="773" t="s">
        <v>17</v>
      </c>
      <c r="W30" s="774">
        <f t="shared" si="12"/>
        <v>100</v>
      </c>
      <c r="X30" s="1811"/>
      <c r="Y30" s="3223"/>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3"/>
      <c r="Q31" s="1808">
        <f t="shared" si="8"/>
        <v>111</v>
      </c>
      <c r="R31" s="773" t="s">
        <v>17</v>
      </c>
      <c r="S31" s="774">
        <f t="shared" si="10"/>
        <v>100</v>
      </c>
      <c r="T31" s="773" t="s">
        <v>17</v>
      </c>
      <c r="U31" s="774">
        <f t="shared" si="11"/>
        <v>100</v>
      </c>
      <c r="V31" s="773" t="s">
        <v>17</v>
      </c>
      <c r="W31" s="774">
        <f t="shared" si="12"/>
        <v>100</v>
      </c>
      <c r="X31" s="1811"/>
      <c r="Y31" s="3223"/>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78" t="s">
        <v>2525</v>
      </c>
      <c r="Q32" s="1808">
        <f t="shared" si="8"/>
        <v>111</v>
      </c>
      <c r="R32" s="773" t="s">
        <v>17</v>
      </c>
      <c r="S32" s="774">
        <f t="shared" si="10"/>
        <v>100</v>
      </c>
      <c r="T32" s="773" t="s">
        <v>17</v>
      </c>
      <c r="U32" s="774">
        <f t="shared" si="11"/>
        <v>100</v>
      </c>
      <c r="V32" s="773" t="s">
        <v>17</v>
      </c>
      <c r="W32" s="774">
        <f t="shared" si="12"/>
        <v>100</v>
      </c>
      <c r="X32" s="1811"/>
      <c r="Y32" s="3227" t="s">
        <v>2525</v>
      </c>
      <c r="Z32" s="1812">
        <f t="shared" si="13"/>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7"/>
      <c r="Q33" s="1808">
        <f t="shared" si="8"/>
        <v>111</v>
      </c>
      <c r="R33" s="776" t="s">
        <v>17</v>
      </c>
      <c r="S33" s="777">
        <f t="shared" si="10"/>
        <v>100</v>
      </c>
      <c r="T33" s="776" t="s">
        <v>17</v>
      </c>
      <c r="U33" s="777">
        <f t="shared" si="11"/>
        <v>100</v>
      </c>
      <c r="V33" s="776" t="s">
        <v>17</v>
      </c>
      <c r="W33" s="777">
        <f t="shared" si="12"/>
        <v>100</v>
      </c>
      <c r="X33" s="778"/>
      <c r="Y33" s="3227"/>
      <c r="Z33" s="779">
        <f t="shared" si="13"/>
        <v>111</v>
      </c>
      <c r="AA33" s="1809">
        <f t="shared" si="3"/>
        <v>1</v>
      </c>
      <c r="AB33" s="1809">
        <f t="shared" si="4"/>
        <v>1</v>
      </c>
      <c r="AC33" s="1809">
        <f t="shared" si="5"/>
        <v>1</v>
      </c>
    </row>
    <row r="34" spans="1:29" ht="15">
      <c r="A34" s="439" t="s">
        <v>2523</v>
      </c>
      <c r="B34" s="455" t="s">
        <v>2711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7"/>
      <c r="Q34" s="1808" t="str">
        <f>B34</f>
        <v>宗地面积</v>
      </c>
      <c r="R34" s="773" t="s">
        <v>17</v>
      </c>
      <c r="S34" s="774" t="e">
        <f t="shared" si="10"/>
        <v>#N/A</v>
      </c>
      <c r="T34" s="773" t="s">
        <v>17</v>
      </c>
      <c r="U34" s="774" t="e">
        <f t="shared" si="11"/>
        <v>#N/A</v>
      </c>
      <c r="V34" s="773" t="s">
        <v>17</v>
      </c>
      <c r="W34" s="774" t="e">
        <f t="shared" si="12"/>
        <v>#N/A</v>
      </c>
      <c r="X34" s="1811"/>
      <c r="Y34" s="3227"/>
      <c r="Z34" s="1812" t="str">
        <f t="shared" si="13"/>
        <v>宗地面积</v>
      </c>
      <c r="AA34" s="1809" t="e">
        <f t="shared" si="3"/>
        <v>#N/A</v>
      </c>
      <c r="AB34" s="1809" t="e">
        <f t="shared" si="4"/>
        <v>#N/A</v>
      </c>
      <c r="AC34" s="1809" t="e">
        <f t="shared" si="5"/>
        <v>#N/A</v>
      </c>
    </row>
    <row r="35" spans="1:29" ht="15">
      <c r="A35" s="471"/>
      <c r="B35" s="421" t="s">
        <v>2712</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8"/>
      <c r="M35" s="1129"/>
      <c r="N35" s="1129"/>
      <c r="O35" s="1137"/>
      <c r="P35" s="3227"/>
      <c r="Q35" s="1808" t="str">
        <f t="shared" ref="Q35:Q40" si="14">B35</f>
        <v>宗地形状</v>
      </c>
      <c r="R35" s="773" t="s">
        <v>17</v>
      </c>
      <c r="S35" s="774">
        <f t="shared" si="10"/>
        <v>100</v>
      </c>
      <c r="T35" s="773" t="s">
        <v>17</v>
      </c>
      <c r="U35" s="774">
        <f t="shared" si="11"/>
        <v>100</v>
      </c>
      <c r="V35" s="773" t="s">
        <v>17</v>
      </c>
      <c r="W35" s="774">
        <f t="shared" si="12"/>
        <v>100</v>
      </c>
      <c r="X35" s="1811"/>
      <c r="Y35" s="3227"/>
      <c r="Z35" s="1812" t="str">
        <f t="shared" si="13"/>
        <v>宗地形状</v>
      </c>
      <c r="AA35" s="1809">
        <f t="shared" si="3"/>
        <v>1</v>
      </c>
      <c r="AB35" s="1809">
        <f t="shared" si="4"/>
        <v>1</v>
      </c>
      <c r="AC35" s="1809">
        <f t="shared" si="5"/>
        <v>1</v>
      </c>
    </row>
    <row r="36" spans="1:29" s="116" customFormat="1" ht="15">
      <c r="A36" s="472"/>
      <c r="B36" s="421" t="s">
        <v>2714</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227"/>
      <c r="Q36" s="1808" t="str">
        <f t="shared" si="14"/>
        <v>宗地开发程度</v>
      </c>
      <c r="R36" s="769" t="s">
        <v>17</v>
      </c>
      <c r="S36" s="770">
        <f t="shared" si="10"/>
        <v>100</v>
      </c>
      <c r="T36" s="769" t="s">
        <v>17</v>
      </c>
      <c r="U36" s="770">
        <f t="shared" si="11"/>
        <v>100</v>
      </c>
      <c r="V36" s="769" t="s">
        <v>17</v>
      </c>
      <c r="W36" s="770">
        <f t="shared" si="12"/>
        <v>100</v>
      </c>
      <c r="X36" s="771"/>
      <c r="Y36" s="3227"/>
      <c r="Z36" s="55" t="str">
        <f t="shared" si="13"/>
        <v>宗地开发程度</v>
      </c>
      <c r="AA36" s="772">
        <f t="shared" si="3"/>
        <v>1</v>
      </c>
      <c r="AB36" s="772">
        <f t="shared" si="4"/>
        <v>1</v>
      </c>
      <c r="AC36" s="772">
        <f t="shared" si="5"/>
        <v>1</v>
      </c>
    </row>
    <row r="37" spans="1:29" ht="15">
      <c r="A37" s="471"/>
      <c r="B37" s="421" t="s">
        <v>2715</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8"/>
      <c r="M37" s="1129"/>
      <c r="N37" s="1129"/>
      <c r="O37" s="1137"/>
      <c r="P37" s="3227" t="s">
        <v>2525</v>
      </c>
      <c r="Q37" s="1808" t="str">
        <f t="shared" si="14"/>
        <v>工程地质条件</v>
      </c>
      <c r="R37" s="773" t="s">
        <v>17</v>
      </c>
      <c r="S37" s="774">
        <f t="shared" si="10"/>
        <v>100</v>
      </c>
      <c r="T37" s="773" t="s">
        <v>17</v>
      </c>
      <c r="U37" s="774">
        <f t="shared" si="11"/>
        <v>100</v>
      </c>
      <c r="V37" s="773" t="s">
        <v>17</v>
      </c>
      <c r="W37" s="774">
        <f t="shared" si="12"/>
        <v>100</v>
      </c>
      <c r="X37" s="1811"/>
      <c r="Y37" s="3227" t="s">
        <v>2525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7"/>
      <c r="Q38" s="1808">
        <f t="shared" si="14"/>
        <v>111</v>
      </c>
      <c r="R38" s="773" t="s">
        <v>17</v>
      </c>
      <c r="S38" s="774">
        <f t="shared" si="10"/>
        <v>100</v>
      </c>
      <c r="T38" s="773" t="s">
        <v>17</v>
      </c>
      <c r="U38" s="774">
        <f t="shared" si="11"/>
        <v>100</v>
      </c>
      <c r="V38" s="773" t="s">
        <v>17</v>
      </c>
      <c r="W38" s="774">
        <f t="shared" si="12"/>
        <v>100</v>
      </c>
      <c r="X38" s="1811"/>
      <c r="Y38" s="322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7"/>
      <c r="Q39" s="1808">
        <f t="shared" si="14"/>
        <v>111</v>
      </c>
      <c r="R39" s="773" t="s">
        <v>17</v>
      </c>
      <c r="S39" s="774">
        <f t="shared" si="10"/>
        <v>100</v>
      </c>
      <c r="T39" s="773" t="s">
        <v>17</v>
      </c>
      <c r="U39" s="774">
        <f t="shared" si="11"/>
        <v>100</v>
      </c>
      <c r="V39" s="773" t="s">
        <v>17</v>
      </c>
      <c r="W39" s="774">
        <f t="shared" si="12"/>
        <v>100</v>
      </c>
      <c r="X39" s="1811"/>
      <c r="Y39" s="3227"/>
      <c r="Z39" s="1812">
        <f t="shared" si="13"/>
        <v>111</v>
      </c>
      <c r="AA39" s="1809">
        <f t="shared" si="3"/>
        <v>1</v>
      </c>
      <c r="AB39" s="1809">
        <f t="shared" si="4"/>
        <v>1</v>
      </c>
      <c r="AC39" s="1809">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7"/>
      <c r="Q40" s="1808">
        <f t="shared" si="14"/>
        <v>111</v>
      </c>
      <c r="R40" s="776" t="s">
        <v>17</v>
      </c>
      <c r="S40" s="777">
        <f t="shared" si="10"/>
        <v>100</v>
      </c>
      <c r="T40" s="776" t="s">
        <v>17</v>
      </c>
      <c r="U40" s="777">
        <f t="shared" si="11"/>
        <v>100</v>
      </c>
      <c r="V40" s="776" t="s">
        <v>17</v>
      </c>
      <c r="W40" s="777">
        <f t="shared" si="12"/>
        <v>100</v>
      </c>
      <c r="X40" s="778"/>
      <c r="Y40" s="3227"/>
      <c r="Z40" s="779">
        <f t="shared" si="13"/>
        <v>111</v>
      </c>
      <c r="AA40" s="1809">
        <f t="shared" si="3"/>
        <v>1</v>
      </c>
      <c r="AB40" s="1809">
        <f t="shared" si="4"/>
        <v>1</v>
      </c>
      <c r="AC40" s="1809">
        <f t="shared" si="5"/>
        <v>1</v>
      </c>
    </row>
    <row r="41" spans="1:29" ht="15">
      <c r="A41" s="478" t="s">
        <v>2680</v>
      </c>
      <c r="B41" s="2698" t="s">
        <v>2760</v>
      </c>
      <c r="C41" s="681" t="s">
        <v>1</v>
      </c>
      <c r="D41" s="480"/>
      <c r="E41" s="481"/>
      <c r="F41" s="482"/>
      <c r="G41" s="483"/>
      <c r="H41" s="484"/>
      <c r="I41" s="481"/>
      <c r="J41" s="484"/>
      <c r="K41" s="782"/>
      <c r="L41" s="1141"/>
      <c r="M41" s="1129"/>
      <c r="N41" s="1129"/>
      <c r="O41" s="1142"/>
      <c r="P41" s="3215" t="str">
        <f>A41</f>
        <v>成交单价</v>
      </c>
      <c r="Q41" s="3215"/>
      <c r="R41" s="3232">
        <f>E41</f>
        <v>0</v>
      </c>
      <c r="S41" s="3232"/>
      <c r="T41" s="3232">
        <f>G41</f>
        <v>0</v>
      </c>
      <c r="U41" s="3232"/>
      <c r="V41" s="3232">
        <f>I41</f>
        <v>0</v>
      </c>
      <c r="W41" s="3232"/>
      <c r="X41" s="758"/>
      <c r="Y41" s="780"/>
      <c r="Z41" s="758"/>
      <c r="AA41" s="758"/>
      <c r="AB41" s="758"/>
      <c r="AC41" s="758"/>
    </row>
    <row r="42" spans="1:29" ht="15.75" thickBot="1">
      <c r="A42" s="485" t="s">
        <v>2629</v>
      </c>
      <c r="B42" s="682"/>
      <c r="C42" s="489" t="e">
        <f>R43</f>
        <v>#DIV/0!</v>
      </c>
      <c r="D42" s="488"/>
      <c r="E42" s="489" t="e">
        <f>R42</f>
        <v>#DIV/0!</v>
      </c>
      <c r="F42" s="490"/>
      <c r="G42" s="487" t="e">
        <f>T42</f>
        <v>#DIV/0!</v>
      </c>
      <c r="H42" s="488"/>
      <c r="I42" s="489" t="e">
        <f>V42</f>
        <v>#DIV/0!</v>
      </c>
      <c r="J42" s="488"/>
      <c r="K42" s="783"/>
      <c r="L42" s="1141"/>
      <c r="M42" s="1129"/>
      <c r="N42" s="1129"/>
      <c r="O42" s="1142"/>
      <c r="P42" s="3215" t="str">
        <f>A42</f>
        <v>比较价值（元/平方米）</v>
      </c>
      <c r="Q42" s="3215"/>
      <c r="R42" s="3279" t="e">
        <f>ROUND(PRODUCT(R41,AA7:AA40),0)</f>
        <v>#DIV/0!</v>
      </c>
      <c r="S42" s="3279"/>
      <c r="T42" s="3279" t="e">
        <f>ROUND(PRODUCT(T41,AB7:AB40),0)</f>
        <v>#DIV/0!</v>
      </c>
      <c r="U42" s="3279"/>
      <c r="V42" s="3279" t="e">
        <f>ROUND(PRODUCT(V41,AC7:AC40),0)</f>
        <v>#DIV/0!</v>
      </c>
      <c r="W42" s="3279"/>
      <c r="X42" s="758"/>
      <c r="Y42" s="758"/>
      <c r="Z42" s="758"/>
      <c r="AA42" s="758"/>
      <c r="AB42" s="758"/>
      <c r="AC42" s="758"/>
    </row>
    <row r="43" spans="1:29" ht="15.75" thickBot="1">
      <c r="A43" s="491" t="s">
        <v>2630</v>
      </c>
      <c r="B43" s="492"/>
      <c r="C43" s="493" t="e">
        <f>R43</f>
        <v>#DIV/0!</v>
      </c>
      <c r="D43" s="493"/>
      <c r="E43" s="493"/>
      <c r="F43" s="493"/>
      <c r="G43" s="493"/>
      <c r="H43" s="493"/>
      <c r="I43" s="493"/>
      <c r="J43" s="493"/>
      <c r="K43" s="784"/>
      <c r="L43" s="1141"/>
      <c r="M43" s="1129"/>
      <c r="N43" s="1129"/>
      <c r="O43" s="1142"/>
      <c r="P43" s="3217" t="str">
        <f>A43</f>
        <v>估价对象XX用房的比较价值（楼面单价，元/平方米）</v>
      </c>
      <c r="Q43" s="3218"/>
      <c r="R43" s="3280" t="e">
        <f>ROUND(AVERAGE(R42:V42),0)</f>
        <v>#DIV/0!</v>
      </c>
      <c r="S43" s="3280"/>
      <c r="T43" s="3280"/>
      <c r="U43" s="3280"/>
      <c r="V43" s="3280"/>
      <c r="W43" s="328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2631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2632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2633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2718</v>
      </c>
      <c r="B50" s="684" t="s">
        <v>2719</v>
      </c>
      <c r="C50" s="2699" t="s">
        <v>2720</v>
      </c>
      <c r="D50" s="2700" t="s">
        <v>2721</v>
      </c>
      <c r="E50" s="685" t="s">
        <v>2722</v>
      </c>
      <c r="F50" s="686" t="s">
        <v>2723</v>
      </c>
      <c r="G50" s="3243" t="s">
        <v>2724</v>
      </c>
      <c r="H50" s="3281"/>
      <c r="I50" s="1812" t="s">
        <v>2761</v>
      </c>
      <c r="J50" s="1812" t="str">
        <f>项目基本情况!F35</f>
        <v>江苏省</v>
      </c>
      <c r="K50" s="2702" t="s">
        <v>2726</v>
      </c>
      <c r="L50" s="1104"/>
      <c r="M50" s="1142"/>
      <c r="N50" s="1142"/>
      <c r="O50" s="1142"/>
    </row>
    <row r="51" spans="1:17" s="691" customFormat="1">
      <c r="A51" s="687" t="s">
        <v>2727</v>
      </c>
      <c r="B51" s="688" t="e">
        <f>C43</f>
        <v>#DIV/0!</v>
      </c>
      <c r="C51" s="689">
        <v>1</v>
      </c>
      <c r="D51" s="1161">
        <v>1</v>
      </c>
      <c r="E51" s="689">
        <f>'数据-汇总表'!E8+'数据-汇总表'!E9</f>
        <v>221.26</v>
      </c>
      <c r="F51" s="690" t="e">
        <f t="shared" ref="F51:F60" si="15">ROUND(B51*E51/10000,0)</f>
        <v>#DIV/0!</v>
      </c>
      <c r="G51" s="3231"/>
      <c r="H51" s="3215"/>
      <c r="I51" s="940">
        <v>1</v>
      </c>
      <c r="J51" s="940">
        <v>1</v>
      </c>
      <c r="K51" s="1143"/>
      <c r="L51" s="939"/>
      <c r="M51" s="939"/>
      <c r="N51" s="939"/>
      <c r="O51" s="939"/>
    </row>
    <row r="52" spans="1:17" s="691" customFormat="1">
      <c r="A52" s="692" t="s">
        <v>2728</v>
      </c>
      <c r="B52" s="261" t="e">
        <f>ROUND($C$43*C52*D52,0)</f>
        <v>#DIV/0!</v>
      </c>
      <c r="C52" s="199">
        <f t="shared" ref="C52:C60" si="16">IF($C$50="北京市系数",I52,J52)</f>
        <v>0</v>
      </c>
      <c r="D52" s="1162">
        <v>0.25</v>
      </c>
      <c r="E52" s="693"/>
      <c r="F52" s="690" t="e">
        <f t="shared" si="15"/>
        <v>#DIV/0!</v>
      </c>
      <c r="G52" s="3282" t="s">
        <v>2729</v>
      </c>
      <c r="H52" s="1102">
        <f>项目基本情况!B37</f>
        <v>0</v>
      </c>
      <c r="I52" s="940">
        <f>SUMIF(修正!A45:A56,H52,修正!B45:B56)</f>
        <v>0</v>
      </c>
      <c r="J52" s="941"/>
      <c r="K52" s="1142"/>
      <c r="L52" s="939"/>
      <c r="M52" s="939"/>
      <c r="N52" s="939"/>
      <c r="O52" s="939"/>
    </row>
    <row r="53" spans="1:17" s="691" customFormat="1">
      <c r="A53" s="692" t="s">
        <v>2730</v>
      </c>
      <c r="B53" s="261" t="e">
        <f t="shared" ref="B53:B60" si="17">ROUND($C$43*C53*D53,0)</f>
        <v>#DIV/0!</v>
      </c>
      <c r="C53" s="199">
        <f t="shared" si="16"/>
        <v>0</v>
      </c>
      <c r="D53" s="1162">
        <v>0.25</v>
      </c>
      <c r="E53" s="693"/>
      <c r="F53" s="690" t="e">
        <f t="shared" si="15"/>
        <v>#DIV/0!</v>
      </c>
      <c r="G53" s="3282"/>
      <c r="H53" s="1102">
        <f>项目基本情况!B37</f>
        <v>0</v>
      </c>
      <c r="I53" s="940">
        <f>SUMIF(修正!A45:A56,H53,修正!C45:C56)</f>
        <v>0</v>
      </c>
      <c r="J53" s="941"/>
      <c r="K53" s="1143"/>
      <c r="L53" s="939"/>
      <c r="M53" s="939"/>
      <c r="N53" s="939"/>
      <c r="O53" s="939"/>
    </row>
    <row r="54" spans="1:17" s="691" customFormat="1">
      <c r="A54" s="692" t="s">
        <v>2731</v>
      </c>
      <c r="B54" s="261" t="e">
        <f t="shared" si="17"/>
        <v>#DIV/0!</v>
      </c>
      <c r="C54" s="199">
        <f t="shared" si="16"/>
        <v>0</v>
      </c>
      <c r="D54" s="1162">
        <v>0.25</v>
      </c>
      <c r="E54" s="693"/>
      <c r="F54" s="690" t="e">
        <f t="shared" si="15"/>
        <v>#DIV/0!</v>
      </c>
      <c r="G54" s="3282"/>
      <c r="H54" s="1102">
        <f>项目基本情况!B37</f>
        <v>0</v>
      </c>
      <c r="I54" s="940">
        <f>SUMIF(修正!A45:A56,H54,修正!D45:D56)</f>
        <v>0</v>
      </c>
      <c r="J54" s="941"/>
      <c r="K54" s="1142"/>
      <c r="L54" s="939"/>
      <c r="M54" s="939"/>
      <c r="N54" s="939"/>
      <c r="O54" s="939"/>
    </row>
    <row r="55" spans="1:17" s="691" customFormat="1">
      <c r="A55" s="692" t="s">
        <v>2732</v>
      </c>
      <c r="B55" s="261" t="e">
        <f t="shared" si="17"/>
        <v>#DIV/0!</v>
      </c>
      <c r="C55" s="199">
        <f t="shared" si="16"/>
        <v>0</v>
      </c>
      <c r="D55" s="1162">
        <v>0.25</v>
      </c>
      <c r="E55" s="693"/>
      <c r="F55" s="690" t="e">
        <f t="shared" si="15"/>
        <v>#DIV/0!</v>
      </c>
      <c r="G55" s="3282"/>
      <c r="H55" s="1102">
        <f>项目基本情况!B37</f>
        <v>0</v>
      </c>
      <c r="I55" s="940">
        <f>SUMIF(修正!A45:A56,H55,修正!E45:E56)</f>
        <v>0</v>
      </c>
      <c r="J55" s="941"/>
      <c r="K55" s="1143"/>
      <c r="L55" s="939"/>
      <c r="M55" s="939"/>
      <c r="N55" s="939"/>
      <c r="O55" s="939"/>
    </row>
    <row r="56" spans="1:17" s="691" customFormat="1">
      <c r="A56" s="692" t="s">
        <v>2733</v>
      </c>
      <c r="B56" s="261" t="e">
        <f t="shared" si="17"/>
        <v>#DIV/0!</v>
      </c>
      <c r="C56" s="199">
        <f t="shared" si="16"/>
        <v>0</v>
      </c>
      <c r="D56" s="1162">
        <v>0.25</v>
      </c>
      <c r="E56" s="260">
        <f>'数据-汇总表'!E11</f>
        <v>0</v>
      </c>
      <c r="F56" s="690" t="e">
        <f t="shared" si="15"/>
        <v>#DIV/0!</v>
      </c>
      <c r="G56" s="2703" t="s">
        <v>2734</v>
      </c>
      <c r="H56" s="1102">
        <f>项目基本情况!C37</f>
        <v>0</v>
      </c>
      <c r="I56" s="940">
        <f>SUMIF(修正!A45:A56,H56,修正!F45:F56)</f>
        <v>0</v>
      </c>
      <c r="J56" s="941"/>
      <c r="K56" s="1142"/>
      <c r="L56" s="939"/>
      <c r="M56" s="939"/>
      <c r="N56" s="939"/>
      <c r="O56" s="939"/>
    </row>
    <row r="57" spans="1:17" s="691" customFormat="1">
      <c r="A57" s="692" t="s">
        <v>2735</v>
      </c>
      <c r="B57" s="261" t="e">
        <f t="shared" si="17"/>
        <v>#DIV/0!</v>
      </c>
      <c r="C57" s="199">
        <f t="shared" si="16"/>
        <v>0</v>
      </c>
      <c r="D57" s="1162">
        <v>0.25</v>
      </c>
      <c r="E57" s="260">
        <f>'数据-汇总表'!E12</f>
        <v>0</v>
      </c>
      <c r="F57" s="690" t="e">
        <f t="shared" si="15"/>
        <v>#DIV/0!</v>
      </c>
      <c r="G57" s="1107" t="s">
        <v>2736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2737</v>
      </c>
      <c r="B58" s="261" t="e">
        <f t="shared" si="17"/>
        <v>#DIV/0!</v>
      </c>
      <c r="C58" s="199">
        <f t="shared" si="16"/>
        <v>0</v>
      </c>
      <c r="D58" s="1162">
        <v>0.25</v>
      </c>
      <c r="E58" s="260">
        <f>'数据-汇总表'!E13</f>
        <v>0</v>
      </c>
      <c r="F58" s="690" t="e">
        <f t="shared" si="15"/>
        <v>#DIV/0!</v>
      </c>
      <c r="G58" s="1107" t="s">
        <v>2738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2739</v>
      </c>
      <c r="B59" s="261" t="e">
        <f t="shared" si="17"/>
        <v>#DIV/0!</v>
      </c>
      <c r="C59" s="199">
        <f t="shared" si="16"/>
        <v>0</v>
      </c>
      <c r="D59" s="1162">
        <v>0.25</v>
      </c>
      <c r="E59" s="260">
        <f>'数据-汇总表'!E14</f>
        <v>0</v>
      </c>
      <c r="F59" s="690" t="e">
        <f t="shared" si="15"/>
        <v>#DIV/0!</v>
      </c>
      <c r="G59" s="2703" t="s">
        <v>2729</v>
      </c>
      <c r="H59" s="1102">
        <f>项目基本情况!B37</f>
        <v>0</v>
      </c>
      <c r="I59" s="940">
        <f>SUMIF(修正!A45:A56,H59,修正!H45:H56)</f>
        <v>0</v>
      </c>
      <c r="J59" s="941"/>
      <c r="K59" s="1143"/>
      <c r="L59" s="939"/>
      <c r="M59" s="939"/>
      <c r="N59" s="939"/>
      <c r="O59" s="939"/>
    </row>
    <row r="60" spans="1:17" s="691" customFormat="1" ht="15" thickBot="1">
      <c r="A60" s="692" t="s">
        <v>2740</v>
      </c>
      <c r="B60" s="261" t="e">
        <f t="shared" si="17"/>
        <v>#DIV/0!</v>
      </c>
      <c r="C60" s="199">
        <f t="shared" si="16"/>
        <v>0</v>
      </c>
      <c r="D60" s="1162">
        <v>0.25</v>
      </c>
      <c r="E60" s="260">
        <f>'数据-汇总表'!E15</f>
        <v>0</v>
      </c>
      <c r="F60" s="690" t="e">
        <f t="shared" si="15"/>
        <v>#DIV/0!</v>
      </c>
      <c r="G60" s="2704" t="s">
        <v>2734</v>
      </c>
      <c r="H60" s="1112">
        <f>项目基本情况!C37</f>
        <v>0</v>
      </c>
      <c r="I60" s="940">
        <f>SUMIF(修正!A45:A56,H60,修正!H45:H56)</f>
        <v>0</v>
      </c>
      <c r="J60" s="941"/>
      <c r="K60" s="1142"/>
      <c r="L60" s="939"/>
      <c r="M60" s="939"/>
      <c r="N60" s="939"/>
      <c r="O60" s="939"/>
    </row>
    <row r="61" spans="1:17" s="691" customFormat="1" ht="15" thickBot="1">
      <c r="A61" s="694" t="s">
        <v>2741</v>
      </c>
      <c r="B61" s="695" t="s">
        <v>27</v>
      </c>
      <c r="C61" s="695" t="s">
        <v>28</v>
      </c>
      <c r="D61" s="695" t="s">
        <v>1024</v>
      </c>
      <c r="E61" s="695">
        <f>IF(B41="楼面地价",SUM(E51:E60),'数据-汇总表'!D3)</f>
        <v>75.39</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2634</v>
      </c>
      <c r="B64" s="758"/>
      <c r="C64" s="763"/>
      <c r="D64" s="763"/>
      <c r="E64" s="763"/>
      <c r="F64" s="764"/>
      <c r="G64" s="764"/>
      <c r="H64" s="763"/>
      <c r="I64" s="763"/>
      <c r="J64" s="763"/>
      <c r="K64" s="765"/>
      <c r="L64" s="766"/>
      <c r="M64" s="763"/>
      <c r="N64" s="763"/>
      <c r="O64" s="1157"/>
      <c r="P64" s="502"/>
      <c r="Q64" s="503"/>
    </row>
    <row r="65" spans="1:17" s="507" customFormat="1" ht="15">
      <c r="A65" s="2705" t="s">
        <v>2742</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6" customFormat="1" ht="30.75" customHeight="1">
      <c r="A66" s="2710" t="s">
        <v>2762</v>
      </c>
      <c r="B66" s="331" t="str">
        <f>"北京市平均增长率"&amp;TEXT(基准地价修正!P24,"0.00%")</f>
        <v>北京市平均增长率1.33%</v>
      </c>
      <c r="C66" s="602">
        <v>100</v>
      </c>
      <c r="D66" s="594"/>
      <c r="E66" s="594"/>
      <c r="F66" s="594"/>
      <c r="G66" s="594"/>
      <c r="H66" s="594"/>
      <c r="I66" s="594"/>
      <c r="J66" s="594"/>
      <c r="K66" s="594"/>
      <c r="L66" s="594"/>
      <c r="M66" s="1565"/>
      <c r="N66" s="1565"/>
      <c r="O66" s="1567"/>
      <c r="P66" s="503"/>
    </row>
    <row r="67" spans="1:17" s="116" customFormat="1" ht="15.75" thickBot="1">
      <c r="A67" s="514" t="s">
        <v>2545</v>
      </c>
      <c r="B67" s="515"/>
      <c r="C67" s="516"/>
      <c r="D67" s="517"/>
      <c r="E67" s="517"/>
      <c r="F67" s="517"/>
      <c r="G67" s="517"/>
      <c r="H67" s="517"/>
      <c r="I67" s="517"/>
      <c r="J67" s="517"/>
      <c r="K67" s="517"/>
      <c r="L67" s="517"/>
      <c r="M67" s="518"/>
      <c r="N67" s="518"/>
      <c r="O67" s="519"/>
      <c r="P67" s="503"/>
      <c r="Q67" s="503"/>
    </row>
    <row r="68" spans="1:17" s="116" customFormat="1" ht="15">
      <c r="A68" s="520" t="s">
        <v>2510</v>
      </c>
      <c r="B68" s="509"/>
      <c r="C68" s="521" t="s">
        <v>2612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2548</v>
      </c>
      <c r="B70" s="527" t="s">
        <v>2514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2517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2518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2519</v>
      </c>
      <c r="B83" s="527" t="s">
        <v>2665</v>
      </c>
      <c r="C83" s="572" t="s">
        <v>2557</v>
      </c>
      <c r="D83" s="572" t="s">
        <v>2558</v>
      </c>
      <c r="E83" s="572" t="s">
        <v>2559</v>
      </c>
      <c r="F83" s="572" t="s">
        <v>2560</v>
      </c>
      <c r="G83" s="572" t="s">
        <v>2561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2562</v>
      </c>
      <c r="C85" s="577" t="s">
        <v>2557</v>
      </c>
      <c r="D85" s="577" t="s">
        <v>2558</v>
      </c>
      <c r="E85" s="577" t="s">
        <v>2559</v>
      </c>
      <c r="F85" s="577" t="s">
        <v>2560</v>
      </c>
      <c r="G85" s="577" t="s">
        <v>2561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2745</v>
      </c>
      <c r="C87" s="572" t="s">
        <v>2557</v>
      </c>
      <c r="D87" s="572" t="s">
        <v>2558</v>
      </c>
      <c r="E87" s="572" t="s">
        <v>2559</v>
      </c>
      <c r="F87" s="572" t="s">
        <v>2560</v>
      </c>
      <c r="G87" s="572" t="s">
        <v>2561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2746</v>
      </c>
      <c r="C89" s="572" t="s">
        <v>2557</v>
      </c>
      <c r="D89" s="572" t="s">
        <v>2558</v>
      </c>
      <c r="E89" s="572" t="s">
        <v>2559</v>
      </c>
      <c r="F89" s="572" t="s">
        <v>2560</v>
      </c>
      <c r="G89" s="572" t="s">
        <v>2561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2614</v>
      </c>
      <c r="C91" s="572" t="s">
        <v>2557</v>
      </c>
      <c r="D91" s="572" t="s">
        <v>2558</v>
      </c>
      <c r="E91" s="572" t="s">
        <v>2559</v>
      </c>
      <c r="F91" s="572" t="s">
        <v>2560</v>
      </c>
      <c r="G91" s="572" t="s">
        <v>2561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2763</v>
      </c>
      <c r="C93" s="659" t="s">
        <v>2635</v>
      </c>
      <c r="D93" s="659" t="s">
        <v>2636</v>
      </c>
      <c r="E93" s="659" t="s">
        <v>2637</v>
      </c>
      <c r="F93" s="659" t="s">
        <v>2638</v>
      </c>
      <c r="G93" s="659" t="s">
        <v>2639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2747</v>
      </c>
      <c r="D95" s="538" t="s">
        <v>2748</v>
      </c>
      <c r="E95" s="538" t="s">
        <v>2749</v>
      </c>
      <c r="F95" s="538" t="s">
        <v>2750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2651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2710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2523</v>
      </c>
      <c r="B107" s="527" t="s">
        <v>2751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2752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2754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2755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0" customWidth="1"/>
    <col min="33" max="36" width="9.375" style="2782" customWidth="1"/>
    <col min="37" max="38" width="9.375" style="2714" customWidth="1"/>
    <col min="39" max="16384" width="12" style="2714"/>
  </cols>
  <sheetData>
    <row r="1" spans="1:36" ht="28.5">
      <c r="A1" s="239" t="s">
        <v>2764</v>
      </c>
      <c r="B1" s="240"/>
      <c r="C1" s="244" t="s">
        <v>2765</v>
      </c>
      <c r="D1" s="387">
        <f>SUM(D29:D30,D33:D39)</f>
        <v>0</v>
      </c>
      <c r="E1" s="2711"/>
      <c r="F1" s="2711"/>
      <c r="G1" s="2711"/>
      <c r="H1" s="2711"/>
      <c r="I1" s="2711"/>
      <c r="J1" s="2711"/>
      <c r="K1" s="1368"/>
      <c r="L1" s="2712" t="s">
        <v>2766</v>
      </c>
      <c r="M1" s="1078">
        <f>SUMPRODUCT((区片价!B5:B9=I2)*(区片价!C3:F3=E2)*(区片价!C5:F9))</f>
        <v>0</v>
      </c>
      <c r="N1" s="1081">
        <f>SUMPRODUCT((因素修正幅度!B5:B9=I2)*(因素修正幅度!C3:F3=E2)*(因素修正幅度!C5:F9))</f>
        <v>0</v>
      </c>
      <c r="O1" s="2713"/>
      <c r="P1" s="2713"/>
      <c r="Q1" s="1368"/>
      <c r="R1" s="1600" t="s">
        <v>2767</v>
      </c>
      <c r="S1" s="1600" t="s">
        <v>2768</v>
      </c>
      <c r="T1" s="1600" t="s">
        <v>2769</v>
      </c>
      <c r="U1" s="1600" t="s">
        <v>2770</v>
      </c>
      <c r="V1" s="1600" t="s">
        <v>2771</v>
      </c>
      <c r="W1" s="1604"/>
      <c r="X1" s="1604"/>
      <c r="Y1" s="1604"/>
      <c r="Z1" s="1604"/>
      <c r="AA1" s="1604"/>
      <c r="AB1" s="1604"/>
      <c r="AC1" s="1605"/>
      <c r="AD1" s="1606"/>
      <c r="AE1" s="1606"/>
      <c r="AF1" s="1606"/>
      <c r="AG1" s="1606"/>
      <c r="AH1" s="1606"/>
      <c r="AI1" s="1606"/>
      <c r="AJ1" s="1607"/>
    </row>
    <row r="2" spans="1:36" ht="15.75">
      <c r="A2" s="244" t="s">
        <v>2772</v>
      </c>
      <c r="B2" s="247" t="e">
        <f>C26</f>
        <v>#DIV/0!</v>
      </c>
      <c r="C2" s="2715" t="s">
        <v>2773</v>
      </c>
      <c r="D2" s="2716" t="s">
        <v>2774</v>
      </c>
      <c r="E2" s="2717"/>
      <c r="F2" s="2716" t="s">
        <v>2775</v>
      </c>
      <c r="G2" s="2718">
        <f>IF(E2="商业",项目基本情况!B37,IF(E2="办公",项目基本情况!C37,IF(E2="住宅",项目基本情况!D37,项目基本情况!E37)))</f>
        <v>0</v>
      </c>
      <c r="H2" s="2716" t="s">
        <v>2776</v>
      </c>
      <c r="I2" s="2718">
        <f>IF(E2="商业",项目基本情况!B38,IF(E2="办公",项目基本情况!C38,IF(E2="住宅",项目基本情况!D38,项目基本情况!E38)))</f>
        <v>0</v>
      </c>
      <c r="J2" s="2719"/>
      <c r="K2" s="1368"/>
      <c r="L2" s="2720" t="s">
        <v>2777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2778</v>
      </c>
      <c r="B3" s="247" t="e">
        <f>ROUND(B2*10000/D1,0)</f>
        <v>#DIV/0!</v>
      </c>
      <c r="C3" s="2715" t="s">
        <v>2779</v>
      </c>
      <c r="D3" s="2716" t="s">
        <v>2780</v>
      </c>
      <c r="E3" s="2721"/>
      <c r="F3" s="2722" t="s">
        <v>2781</v>
      </c>
      <c r="G3" s="914">
        <f>IF(F3="宗地容积率",'数据-汇总表'!I4,IF(F3="估价对象容积率",'数据-汇总表'!I6,'数据-汇总表'!I7))</f>
        <v>2.93</v>
      </c>
      <c r="H3" s="197" t="s">
        <v>2782</v>
      </c>
      <c r="I3" s="942"/>
      <c r="J3" s="2719" t="s">
        <v>2783</v>
      </c>
      <c r="K3" s="1368"/>
      <c r="L3" s="2720" t="s">
        <v>2784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03"/>
      <c r="B4" s="3304"/>
      <c r="C4" s="3304"/>
      <c r="D4" s="3305"/>
      <c r="E4" s="3305"/>
      <c r="F4" s="3305"/>
      <c r="G4" s="3305"/>
      <c r="H4" s="3305"/>
      <c r="I4" s="3305"/>
      <c r="J4" s="3306"/>
      <c r="K4" s="1368"/>
      <c r="L4" s="2720" t="s">
        <v>2785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806</v>
      </c>
      <c r="B5" s="2724" t="s">
        <v>2786</v>
      </c>
      <c r="C5" s="915" t="e">
        <f>ROUND(IF(E2="商业",C6*C7+C16,(IF(E2="住宅",C6*C12+C16,C6+C16))),0)</f>
        <v>#DIV/0!</v>
      </c>
      <c r="D5" s="1785" t="e">
        <f>ROUND(C6+C16,0)</f>
        <v>#DIV/0!</v>
      </c>
      <c r="E5" s="1785"/>
      <c r="F5" s="2725"/>
      <c r="G5" s="2726"/>
      <c r="H5" s="2726"/>
      <c r="I5" s="2726"/>
      <c r="J5" s="2727"/>
      <c r="K5" s="2728"/>
      <c r="L5" s="2720" t="s">
        <v>2787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2788</v>
      </c>
      <c r="B6" s="2734" t="s">
        <v>2789</v>
      </c>
      <c r="C6" s="916">
        <f>SUMIF(L1:L12,G2,M1:M12)</f>
        <v>0</v>
      </c>
      <c r="D6" s="2735" t="s">
        <v>2790</v>
      </c>
      <c r="E6" s="2736"/>
      <c r="F6" s="2736"/>
      <c r="G6" s="2737"/>
      <c r="H6" s="2737"/>
      <c r="I6" s="2737"/>
      <c r="J6" s="2738"/>
      <c r="K6" s="1840"/>
      <c r="L6" s="2720" t="s">
        <v>2791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87" t="str">
        <f>IF(E2="商业",IF(C8="不临58条商业街","",2),"")</f>
        <v/>
      </c>
      <c r="B7" s="2739" t="s">
        <v>2792</v>
      </c>
      <c r="C7" s="917" t="e">
        <f>IF(C8="不临58条商业街",1,ROUND(1+(1.6*E8+1.2*E9+0.8*E10+0.4*E11)*C9,4))</f>
        <v>#DIV/0!</v>
      </c>
      <c r="D7" s="2740" t="s">
        <v>2793</v>
      </c>
      <c r="E7" s="943"/>
      <c r="F7" s="2741"/>
      <c r="G7" s="2742"/>
      <c r="H7" s="2742"/>
      <c r="I7" s="2742"/>
      <c r="J7" s="2743"/>
      <c r="K7" s="1840"/>
      <c r="L7" s="2720" t="s">
        <v>2794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2795</v>
      </c>
      <c r="X7" s="1602">
        <f>G2</f>
        <v>0</v>
      </c>
      <c r="Y7" s="1602" t="s">
        <v>2796</v>
      </c>
      <c r="Z7" s="1603">
        <f>G3</f>
        <v>2.93</v>
      </c>
      <c r="AA7" s="1604"/>
      <c r="AB7" s="1604"/>
      <c r="AC7" s="1605"/>
      <c r="AD7" s="1606"/>
      <c r="AE7" s="1606"/>
      <c r="AF7" s="1606"/>
      <c r="AG7" s="1606"/>
      <c r="AH7" s="1606"/>
      <c r="AI7" s="1606"/>
      <c r="AJ7" s="1607"/>
    </row>
    <row r="8" spans="1:36" ht="15">
      <c r="A8" s="3307"/>
      <c r="B8" s="197" t="s">
        <v>2797</v>
      </c>
      <c r="C8" s="2744"/>
      <c r="D8" s="918" t="s">
        <v>138</v>
      </c>
      <c r="E8" s="919" t="e">
        <f>ROUND(C11/E7,4)</f>
        <v>#DIV/0!</v>
      </c>
      <c r="F8" s="2745" t="s">
        <v>2798</v>
      </c>
      <c r="G8" s="2746"/>
      <c r="H8" s="2746"/>
      <c r="I8" s="2746"/>
      <c r="J8" s="2747"/>
      <c r="K8" s="1368"/>
      <c r="L8" s="2720" t="s">
        <v>2799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00" t="s">
        <v>2800</v>
      </c>
      <c r="X8" s="3301"/>
      <c r="Y8" s="1608" t="s">
        <v>2801</v>
      </c>
      <c r="Z8" s="1608" t="s">
        <v>2802</v>
      </c>
      <c r="AA8" s="1608" t="s">
        <v>2803</v>
      </c>
      <c r="AB8" s="1608" t="s">
        <v>2804</v>
      </c>
      <c r="AC8" s="1608" t="s">
        <v>2805</v>
      </c>
      <c r="AD8" s="1608" t="s">
        <v>2806</v>
      </c>
      <c r="AE8" s="1608" t="s">
        <v>2807</v>
      </c>
      <c r="AF8" s="1608" t="s">
        <v>2808</v>
      </c>
      <c r="AG8" s="1608" t="s">
        <v>2809</v>
      </c>
      <c r="AH8" s="1608" t="s">
        <v>2810</v>
      </c>
      <c r="AI8" s="1608" t="s">
        <v>2811</v>
      </c>
      <c r="AJ8" s="1608" t="s">
        <v>2812</v>
      </c>
    </row>
    <row r="9" spans="1:36" ht="15">
      <c r="A9" s="3307"/>
      <c r="B9" s="197" t="s">
        <v>2813</v>
      </c>
      <c r="C9" s="920">
        <f>SUMIF(修正!C59:C119,C8,修正!E59:E119)</f>
        <v>0</v>
      </c>
      <c r="D9" s="199" t="s">
        <v>139</v>
      </c>
      <c r="E9" s="199" t="e">
        <f>ROUND(C11/E7,4)</f>
        <v>#DIV/0!</v>
      </c>
      <c r="F9" s="2745" t="s">
        <v>2814</v>
      </c>
      <c r="G9" s="2746"/>
      <c r="H9" s="2746"/>
      <c r="I9" s="2746"/>
      <c r="J9" s="2747"/>
      <c r="K9" s="1368"/>
      <c r="L9" s="2720" t="s">
        <v>2815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02" t="s">
        <v>2816</v>
      </c>
      <c r="X9" s="1609" t="s">
        <v>2817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7"/>
      <c r="B10" s="197" t="s">
        <v>2818</v>
      </c>
      <c r="C10" s="199">
        <f>SUMIF(修正!C59:C119,C8,修正!F59:F119)</f>
        <v>0</v>
      </c>
      <c r="D10" s="199" t="s">
        <v>140</v>
      </c>
      <c r="E10" s="199" t="e">
        <f>ROUND(C11/E7,4)</f>
        <v>#DIV/0!</v>
      </c>
      <c r="F10" s="2745" t="s">
        <v>2819</v>
      </c>
      <c r="G10" s="2746"/>
      <c r="H10" s="2746"/>
      <c r="I10" s="2746"/>
      <c r="J10" s="2747"/>
      <c r="K10" s="1368"/>
      <c r="L10" s="2720" t="s">
        <v>2820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0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7"/>
      <c r="B11" s="2748" t="s">
        <v>2821</v>
      </c>
      <c r="C11" s="921">
        <f>C10/4</f>
        <v>0</v>
      </c>
      <c r="D11" s="921" t="s">
        <v>141</v>
      </c>
      <c r="E11" s="921" t="e">
        <f>ROUND(C11/E7,4)</f>
        <v>#DIV/0!</v>
      </c>
      <c r="F11" s="2749" t="s">
        <v>2822</v>
      </c>
      <c r="G11" s="2750"/>
      <c r="H11" s="2750"/>
      <c r="I11" s="2750"/>
      <c r="J11" s="2751"/>
      <c r="K11" s="1368"/>
      <c r="L11" s="2720" t="s">
        <v>2823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02" t="s">
        <v>2824</v>
      </c>
      <c r="X11" s="1612" t="s">
        <v>2825</v>
      </c>
      <c r="Y11" s="1613">
        <f>$G$3</f>
        <v>2.93</v>
      </c>
      <c r="Z11" s="1613">
        <f t="shared" ref="Z11:AJ11" si="3">$G$3</f>
        <v>2.93</v>
      </c>
      <c r="AA11" s="1613">
        <f t="shared" si="3"/>
        <v>2.93</v>
      </c>
      <c r="AB11" s="1613">
        <f t="shared" si="3"/>
        <v>2.93</v>
      </c>
      <c r="AC11" s="1613">
        <f t="shared" si="3"/>
        <v>2.93</v>
      </c>
      <c r="AD11" s="1613">
        <f t="shared" si="3"/>
        <v>2.93</v>
      </c>
      <c r="AE11" s="1613">
        <f t="shared" si="3"/>
        <v>2.93</v>
      </c>
      <c r="AF11" s="1613">
        <f t="shared" si="3"/>
        <v>2.93</v>
      </c>
      <c r="AG11" s="1613">
        <f t="shared" si="3"/>
        <v>2.93</v>
      </c>
      <c r="AH11" s="1613">
        <f t="shared" si="3"/>
        <v>2.93</v>
      </c>
      <c r="AI11" s="1613">
        <f t="shared" si="3"/>
        <v>2.93</v>
      </c>
      <c r="AJ11" s="1613">
        <f t="shared" si="3"/>
        <v>2.93</v>
      </c>
    </row>
    <row r="12" spans="1:36" ht="25.5" thickBot="1">
      <c r="A12" s="3287" t="s">
        <v>2826</v>
      </c>
      <c r="B12" s="2752" t="s">
        <v>2827</v>
      </c>
      <c r="C12" s="917">
        <f>ROUND(C15*D15*E15*F15*G15*H15*I15*J15,4)</f>
        <v>1</v>
      </c>
      <c r="D12" s="2753" t="s">
        <v>2828</v>
      </c>
      <c r="E12" s="2754"/>
      <c r="F12" s="2754"/>
      <c r="G12" s="2755"/>
      <c r="H12" s="2755"/>
      <c r="I12" s="2755"/>
      <c r="J12" s="2756"/>
      <c r="K12" s="1368"/>
      <c r="L12" s="2757" t="s">
        <v>2829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02"/>
      <c r="X12" s="1614" t="s">
        <v>2830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8"/>
      <c r="B13" s="2758" t="s">
        <v>2831</v>
      </c>
      <c r="C13" s="2759" t="s">
        <v>2832</v>
      </c>
      <c r="D13" s="1806" t="s">
        <v>2833</v>
      </c>
      <c r="E13" s="1806" t="s">
        <v>2834</v>
      </c>
      <c r="F13" s="30" t="s">
        <v>2835</v>
      </c>
      <c r="G13" s="2760" t="s">
        <v>2836</v>
      </c>
      <c r="H13" s="2760" t="s">
        <v>2836</v>
      </c>
      <c r="I13" s="2760" t="s">
        <v>2836</v>
      </c>
      <c r="J13" s="2761" t="s">
        <v>2836</v>
      </c>
      <c r="K13" s="1368"/>
      <c r="L13" s="1368"/>
      <c r="M13" s="1368"/>
      <c r="N13" s="1368"/>
      <c r="O13" s="1368"/>
      <c r="P13" s="1368"/>
      <c r="Q13" s="1368"/>
      <c r="R13" s="1600">
        <v>12</v>
      </c>
      <c r="S13" s="1601"/>
      <c r="T13" s="1600" t="e">
        <f t="shared" si="0"/>
        <v>#DIV/0!</v>
      </c>
      <c r="U13" s="1601"/>
      <c r="V13" s="1600" t="e">
        <f t="shared" si="1"/>
        <v>#DIV/0!</v>
      </c>
      <c r="W13" s="3302"/>
      <c r="X13" s="1614"/>
      <c r="Y13" s="1611">
        <f>(-0.163*(Y12^2)-0.59*Y12+7617)*(10^(-4))/Y11</f>
        <v>0.25996587030716722</v>
      </c>
      <c r="Z13" s="1611">
        <f t="shared" ref="Z13:AJ13" si="5">(-0.163*(Z12^2)-0.59*Z12+7617)*(10^(-4))/Z11</f>
        <v>0.25996587030716722</v>
      </c>
      <c r="AA13" s="1611">
        <f t="shared" si="5"/>
        <v>0.25996587030716722</v>
      </c>
      <c r="AB13" s="1611">
        <f t="shared" si="5"/>
        <v>0.25996587030716722</v>
      </c>
      <c r="AC13" s="1611">
        <f t="shared" si="5"/>
        <v>0.25996587030716722</v>
      </c>
      <c r="AD13" s="1611">
        <f t="shared" si="5"/>
        <v>0.25996587030716722</v>
      </c>
      <c r="AE13" s="1611">
        <f t="shared" si="5"/>
        <v>0.25996587030716722</v>
      </c>
      <c r="AF13" s="1611">
        <f t="shared" si="5"/>
        <v>0.25996587030716722</v>
      </c>
      <c r="AG13" s="1611">
        <f t="shared" si="5"/>
        <v>0.25996587030716722</v>
      </c>
      <c r="AH13" s="1611">
        <f t="shared" si="5"/>
        <v>0.25996587030716722</v>
      </c>
      <c r="AI13" s="1611">
        <f t="shared" si="5"/>
        <v>0.25996587030716722</v>
      </c>
      <c r="AJ13" s="1611">
        <f t="shared" si="5"/>
        <v>0.25996587030716722</v>
      </c>
    </row>
    <row r="14" spans="1:36" ht="15">
      <c r="A14" s="3308"/>
      <c r="B14" s="2762"/>
      <c r="C14" s="2763"/>
      <c r="D14" s="2764"/>
      <c r="E14" s="2764"/>
      <c r="F14" s="2765"/>
      <c r="G14" s="2766" t="s">
        <v>2837</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09"/>
      <c r="B15" s="2770" t="s">
        <v>2838</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7" t="s">
        <v>2843</v>
      </c>
      <c r="B16" s="2739" t="s">
        <v>2844</v>
      </c>
      <c r="C16" s="2926" t="e">
        <f>ROUND(IF(F17="与级别开发程度一致",0,(G17-E17)/C17),0)</f>
        <v>#DIV/0!</v>
      </c>
      <c r="D16" s="3298" t="s">
        <v>2848</v>
      </c>
      <c r="E16" s="3299"/>
      <c r="F16" s="3298" t="s">
        <v>2845</v>
      </c>
      <c r="G16" s="3299"/>
      <c r="H16" s="2773"/>
      <c r="I16" s="2773"/>
      <c r="J16" s="2930"/>
      <c r="K16" s="2773"/>
      <c r="L16" s="2773"/>
      <c r="M16" s="2773"/>
      <c r="N16" s="2773"/>
      <c r="O16" s="2774"/>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8"/>
      <c r="B17" s="2937" t="s">
        <v>2847</v>
      </c>
      <c r="C17" s="2938">
        <f>SUMPRODUCT((修正!A2:A5=E2)*(修正!B1:M1=G2)*(修正!B2:M5))</f>
        <v>0</v>
      </c>
      <c r="D17" s="228"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8"/>
      <c r="R17" s="1368"/>
      <c r="S17" s="1368"/>
      <c r="T17" s="1368"/>
      <c r="U17" s="1368"/>
      <c r="V17" s="1368"/>
      <c r="W17" s="1368"/>
      <c r="X17" s="1368"/>
      <c r="Y17" s="1368"/>
      <c r="Z17" s="1369"/>
      <c r="AE17" s="2777"/>
      <c r="AF17" s="2777"/>
      <c r="AG17" s="2714"/>
      <c r="AH17" s="2714"/>
      <c r="AI17" s="2714"/>
      <c r="AJ17" s="2714"/>
    </row>
    <row r="18" spans="1:37" s="2732" customFormat="1" ht="15.75" thickBot="1">
      <c r="A18" s="2931" t="s">
        <v>807</v>
      </c>
      <c r="B18" s="2932" t="s">
        <v>2850</v>
      </c>
      <c r="C18" s="2933">
        <f>SUMIF(修正!C18:C39,E3,修正!E18:E39)</f>
        <v>0</v>
      </c>
      <c r="D18" s="2934"/>
      <c r="E18" s="2935"/>
      <c r="F18" s="2935"/>
      <c r="G18" s="2935"/>
      <c r="H18" s="2935"/>
      <c r="I18" s="2935"/>
      <c r="J18" s="2936"/>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7.75" thickBot="1">
      <c r="A19" s="2778" t="s">
        <v>808</v>
      </c>
      <c r="B19" s="2779" t="s">
        <v>2851</v>
      </c>
      <c r="C19" s="922" t="e">
        <f>ROUND(IF(H19="按公示增长率计算",SUMPRODUCT((地价!A3:A29=YEAR(G19)&amp;"-"&amp;ROUNDUP(MONTH(G19)/3,0))*(地价!X2:AB2=E2)*(地价!X3:AB29)),IF(H19="地价指数",M20/M19,(1+I19)^O19)),4)</f>
        <v>#VALUE!</v>
      </c>
      <c r="D19" s="2783" t="s">
        <v>2852</v>
      </c>
      <c r="E19" s="923">
        <v>41640</v>
      </c>
      <c r="F19" s="2783" t="s">
        <v>2853</v>
      </c>
      <c r="G19" s="924">
        <f>'数据-取费表'!B2</f>
        <v>43906</v>
      </c>
      <c r="H19" s="2784"/>
      <c r="I19" s="925" t="str">
        <f>IF(H19="季度增幅（自定义）",SUMIF(N21:N24,E2,O21:O24),"")</f>
        <v/>
      </c>
      <c r="J19" s="2781"/>
      <c r="K19" s="1375"/>
      <c r="L19" s="2785" t="s">
        <v>2854</v>
      </c>
      <c r="M19" s="1732">
        <f>ROUND(SUMIF(地价!B2:F2,E2,地价!B29:F29),0)</f>
        <v>0</v>
      </c>
      <c r="N19" s="2786" t="s">
        <v>2855</v>
      </c>
      <c r="O19" s="926">
        <f>ROUNDDOWN(DATEDIF(E19,G19,"M")/3,0)</f>
        <v>24</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7.75" thickBot="1">
      <c r="A20" s="2790" t="s">
        <v>809</v>
      </c>
      <c r="B20" s="2791" t="s">
        <v>2856</v>
      </c>
      <c r="C20" s="927" t="e">
        <f>ROUND(POWER(1+G20,J20-I20)*(POWER(1+G20,I20)-1)/(POWER(1+G20,J20)-1),4)</f>
        <v>#DIV/0!</v>
      </c>
      <c r="D20" s="2792" t="s">
        <v>2857</v>
      </c>
      <c r="E20" s="1766">
        <f ca="1">存贷款利率!D4/100</f>
        <v>4.3499999999999997E-2</v>
      </c>
      <c r="F20" s="2792" t="s">
        <v>2849</v>
      </c>
      <c r="G20" s="932">
        <f>SUMIF(M26:P26,E2,M28:P28)</f>
        <v>0</v>
      </c>
      <c r="H20" s="2792" t="s">
        <v>2858</v>
      </c>
      <c r="I20" s="933" t="e">
        <f>SUMIF('数据-取费表'!C6:C15,E2,'数据-取费表'!F6:F15)/COUNTIF('数据-取费表'!C6:C15,E2)</f>
        <v>#DIV/0!</v>
      </c>
      <c r="J20" s="934">
        <f>IF(E2="住宅",70,IF(E2="商业",40,50))</f>
        <v>50</v>
      </c>
      <c r="K20" s="1375"/>
      <c r="L20" s="2793" t="s">
        <v>2859</v>
      </c>
      <c r="M20" s="1733">
        <f>ROUND(SUMPRODUCT((地价!A4:A29=YEAR(G19)&amp;"-"&amp;ROUNDUP(MONTH(G19)/3,0))*(地价!B2:F2=E2)*(地价!B4:F29)),0)</f>
        <v>0</v>
      </c>
      <c r="N20" s="2794" t="s">
        <v>2860</v>
      </c>
      <c r="O20" s="2795" t="s">
        <v>2861</v>
      </c>
      <c r="P20" s="2796" t="s">
        <v>2862</v>
      </c>
      <c r="R20" s="1374"/>
      <c r="S20" s="1374"/>
      <c r="T20" s="1369"/>
      <c r="U20" s="1369"/>
      <c r="V20" s="1369"/>
      <c r="W20" s="1368"/>
      <c r="X20" s="1368"/>
      <c r="Y20" s="1368"/>
      <c r="Z20" s="1375"/>
      <c r="AA20" s="1376"/>
      <c r="AB20" s="1376"/>
      <c r="AC20" s="1376"/>
      <c r="AD20" s="1376"/>
      <c r="AE20" s="1376"/>
      <c r="AF20" s="1376"/>
    </row>
    <row r="21" spans="1:37" s="2732" customFormat="1" ht="15">
      <c r="A21" s="2797" t="s">
        <v>810</v>
      </c>
      <c r="B21" s="2798" t="s">
        <v>2863</v>
      </c>
      <c r="C21" s="935">
        <f>IF(B21="容积率修正",IF(G3&lt;=10,D22,J22),C23)</f>
        <v>0</v>
      </c>
      <c r="D21" s="2799"/>
      <c r="E21" s="2799"/>
      <c r="F21" s="2799"/>
      <c r="G21" s="2799"/>
      <c r="H21" s="2799"/>
      <c r="I21" s="2799"/>
      <c r="J21" s="2800"/>
      <c r="K21" s="1375"/>
      <c r="N21" s="2801" t="s">
        <v>2864</v>
      </c>
      <c r="O21" s="1559"/>
      <c r="P21" s="1560">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2" customFormat="1" ht="14.25">
      <c r="A22" s="2658" t="s">
        <v>2865</v>
      </c>
      <c r="B22" s="2802" t="s">
        <v>2866</v>
      </c>
      <c r="C22" s="1808" t="s">
        <v>2867</v>
      </c>
      <c r="D22" s="1808">
        <f>IF(E22=G22,F22,IF(G3&lt;=10,ROUND(F22+(H22-F22)*(G3-E22)/(G22-E22),4),"——"))</f>
        <v>0</v>
      </c>
      <c r="E22" s="914">
        <f>ROUNDDOWN(G3,1)</f>
        <v>2.9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154</v>
      </c>
      <c r="J22" s="936" t="str">
        <f>IF(G3&gt;10,D113,"——")</f>
        <v>——</v>
      </c>
      <c r="K22" s="1375"/>
      <c r="N22" s="2801" t="s">
        <v>2868</v>
      </c>
      <c r="O22" s="1559"/>
      <c r="P22" s="1560">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7.75" thickBot="1">
      <c r="A23" s="2658" t="s">
        <v>2869</v>
      </c>
      <c r="B23" s="2803" t="s">
        <v>2870</v>
      </c>
      <c r="C23" s="1011">
        <f>ROUND(IF(G3&gt;1,IF(I3&lt;7,SUMPRODUCT((B93:B98=I3)*(C92:N92=G2)*(C93:N98)),SUMIF(C92:N92,G2,C100:N100)),IF(I3&lt;7,SUMPRODUCT((B102:B107=I3)*(C92:N92=G2)*(C102:N107)),SUMIF(C92:N92,G2,C109:N109))),4)</f>
        <v>0</v>
      </c>
      <c r="D23" s="2767"/>
      <c r="E23" s="2767"/>
      <c r="F23" s="2804"/>
      <c r="G23" s="2805"/>
      <c r="H23" s="2806"/>
      <c r="I23" s="2807"/>
      <c r="J23" s="2808"/>
      <c r="K23" s="1368"/>
      <c r="N23" s="2801" t="s">
        <v>2871</v>
      </c>
      <c r="O23" s="1559"/>
      <c r="P23" s="1560">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2"/>
    </row>
    <row r="24" spans="1:37" s="2732" customFormat="1" ht="15.75" thickBot="1">
      <c r="A24" s="2790" t="s">
        <v>811</v>
      </c>
      <c r="B24" s="2779" t="s">
        <v>2872</v>
      </c>
      <c r="C24" s="922">
        <f>SUMIF(A45:A88,E2,B45:B88)</f>
        <v>0</v>
      </c>
      <c r="D24" s="2780"/>
      <c r="E24" s="2809"/>
      <c r="F24" s="2809"/>
      <c r="G24" s="2809"/>
      <c r="H24" s="2809"/>
      <c r="I24" s="2809"/>
      <c r="J24" s="2810"/>
      <c r="K24" s="1375"/>
      <c r="N24" s="2811" t="s">
        <v>2873</v>
      </c>
      <c r="O24" s="1561"/>
      <c r="P24" s="1562">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75" thickBot="1">
      <c r="A25" s="2790" t="s">
        <v>812</v>
      </c>
      <c r="B25" s="2812" t="s">
        <v>2874</v>
      </c>
      <c r="C25" s="928"/>
      <c r="D25" s="2742"/>
      <c r="E25" s="2742"/>
      <c r="F25" s="2813"/>
      <c r="G25" s="2742"/>
      <c r="H25" s="2742"/>
      <c r="I25" s="2742"/>
      <c r="J25" s="2743"/>
      <c r="K25" s="1368"/>
      <c r="N25" s="2814" t="s">
        <v>2875</v>
      </c>
      <c r="O25" s="1563"/>
      <c r="P25" s="1562">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5">
      <c r="A26" s="2815"/>
      <c r="B26" s="2802" t="s">
        <v>2876</v>
      </c>
      <c r="C26" s="205" t="e">
        <f>E29+SUM(E33:E39)</f>
        <v>#DIV/0!</v>
      </c>
      <c r="D26" s="2816"/>
      <c r="E26" s="2767"/>
      <c r="F26" s="2817"/>
      <c r="G26" s="2767"/>
      <c r="H26" s="2767"/>
      <c r="I26" s="2767"/>
      <c r="J26" s="2818"/>
      <c r="K26" s="1368"/>
      <c r="L26" s="2771" t="s">
        <v>2774</v>
      </c>
      <c r="M26" s="918" t="s">
        <v>2839</v>
      </c>
      <c r="N26" s="918" t="s">
        <v>2840</v>
      </c>
      <c r="O26" s="918" t="s">
        <v>2841</v>
      </c>
      <c r="P26" s="2772" t="s">
        <v>2842</v>
      </c>
      <c r="R26" s="1374"/>
      <c r="S26" s="1374"/>
      <c r="T26" s="1369"/>
      <c r="U26" s="1369"/>
      <c r="V26" s="1369"/>
      <c r="W26" s="1368"/>
      <c r="X26" s="1368"/>
      <c r="Y26" s="1368"/>
      <c r="Z26" s="1375"/>
      <c r="AA26" s="1376"/>
      <c r="AB26" s="1376"/>
      <c r="AC26" s="1376"/>
      <c r="AD26" s="1376"/>
    </row>
    <row r="27" spans="1:37" ht="15.75" thickBot="1">
      <c r="A27" s="2815"/>
      <c r="B27" s="2819" t="s">
        <v>2877</v>
      </c>
      <c r="C27" s="929" t="e">
        <f>E30+SUM(I33:I39)</f>
        <v>#DIV/0!</v>
      </c>
      <c r="D27" s="2820"/>
      <c r="E27" s="2821"/>
      <c r="F27" s="2822"/>
      <c r="G27" s="2821"/>
      <c r="H27" s="2821"/>
      <c r="I27" s="2821"/>
      <c r="J27" s="2823"/>
      <c r="K27" s="1368"/>
      <c r="L27" s="2775" t="s">
        <v>2846</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4"/>
      <c r="B28" s="2825" t="s">
        <v>2878</v>
      </c>
      <c r="C28" s="2826" t="s">
        <v>2879</v>
      </c>
      <c r="D28" s="2826" t="s">
        <v>2880</v>
      </c>
      <c r="E28" s="2827" t="s">
        <v>2881</v>
      </c>
      <c r="F28" s="2828"/>
      <c r="G28" s="2755"/>
      <c r="H28" s="2755"/>
      <c r="I28" s="2755"/>
      <c r="J28" s="2756"/>
      <c r="K28" s="1368"/>
      <c r="L28" s="2776" t="s">
        <v>2849</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2882</v>
      </c>
      <c r="C29" s="205" t="e">
        <f>ROUND(C5*C18*C19*C20*C21*C24,0)</f>
        <v>#DIV/0!</v>
      </c>
      <c r="D29" s="2831"/>
      <c r="E29" s="940" t="e">
        <f>ROUND(C29*D29/10000,0)</f>
        <v>#DIV/0!</v>
      </c>
      <c r="F29" s="2832" t="s">
        <v>2883</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5" thickBot="1">
      <c r="A30" s="2835"/>
      <c r="B30" s="2836" t="s">
        <v>2884</v>
      </c>
      <c r="C30" s="228" t="e">
        <f>ROUND(IF(E2="工业",C29*M39,C29*M38),0)</f>
        <v>#DIV/0!</v>
      </c>
      <c r="D30" s="2837"/>
      <c r="E30" s="940" t="e">
        <f>ROUND(C30*D30/10000,0)</f>
        <v>#DIV/0!</v>
      </c>
      <c r="F30" s="2838" t="s">
        <v>2885</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4.25">
      <c r="A31" s="2841"/>
      <c r="B31" s="2842" t="s">
        <v>2886</v>
      </c>
      <c r="C31" s="2843" t="s">
        <v>2887</v>
      </c>
      <c r="D31" s="2755"/>
      <c r="E31" s="2843"/>
      <c r="F31" s="2843"/>
      <c r="G31" s="2753" t="s">
        <v>2888</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24">
      <c r="A32" s="2829"/>
      <c r="B32" s="2845"/>
      <c r="C32" s="500" t="s">
        <v>2879</v>
      </c>
      <c r="D32" s="497" t="s">
        <v>2880</v>
      </c>
      <c r="E32" s="497" t="s">
        <v>2881</v>
      </c>
      <c r="F32" s="387" t="s">
        <v>2889</v>
      </c>
      <c r="G32" s="2846" t="s">
        <v>2879</v>
      </c>
      <c r="H32" s="2846" t="s">
        <v>2880</v>
      </c>
      <c r="I32" s="2846" t="s">
        <v>2881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295" t="s">
        <v>2890</v>
      </c>
      <c r="B33" s="2847" t="s">
        <v>2891</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6"/>
      <c r="B34" s="2759" t="s">
        <v>2892</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6"/>
      <c r="B35" s="2759" t="s">
        <v>2893</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8"/>
      <c r="L35" s="1368"/>
      <c r="M35" s="1368"/>
      <c r="N35" s="1368"/>
      <c r="O35" s="1368"/>
      <c r="P35" s="1368"/>
      <c r="Q35" s="1368"/>
      <c r="R35" s="1368"/>
      <c r="S35" s="1368"/>
      <c r="T35" s="1368"/>
      <c r="U35" s="1368"/>
      <c r="V35" s="1368"/>
      <c r="W35" s="1368"/>
      <c r="X35" s="1368"/>
      <c r="Y35" s="1368"/>
      <c r="Z35" s="1369"/>
    </row>
    <row r="36" spans="1:37" ht="13.5" thickBot="1">
      <c r="A36" s="3297"/>
      <c r="B36" s="2759" t="s">
        <v>2894</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8"/>
      <c r="L36" s="2713"/>
      <c r="M36" s="2713"/>
      <c r="N36" s="1368"/>
      <c r="O36" s="1368"/>
      <c r="P36" s="1368"/>
      <c r="Q36" s="1368"/>
      <c r="R36" s="1368"/>
      <c r="S36" s="1368"/>
      <c r="T36" s="1368"/>
      <c r="U36" s="1368"/>
      <c r="V36" s="1368"/>
      <c r="W36" s="1368"/>
      <c r="X36" s="1368"/>
      <c r="Y36" s="1368"/>
      <c r="Z36" s="1369"/>
    </row>
    <row r="37" spans="1:37">
      <c r="A37" s="2849"/>
      <c r="B37" s="2759" t="s">
        <v>2895</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8"/>
      <c r="L37" s="2850" t="s">
        <v>2896</v>
      </c>
      <c r="M37" s="2851"/>
      <c r="N37" s="1368"/>
      <c r="O37" s="1368"/>
      <c r="P37" s="1368"/>
      <c r="Q37" s="1368"/>
      <c r="R37" s="1368"/>
      <c r="S37" s="1368"/>
      <c r="T37" s="1368"/>
      <c r="U37" s="1368"/>
      <c r="V37" s="1368"/>
      <c r="W37" s="1368"/>
      <c r="X37" s="1368"/>
      <c r="Y37" s="1368"/>
      <c r="Z37" s="1369"/>
    </row>
    <row r="38" spans="1:37">
      <c r="A38" s="2849"/>
      <c r="B38" s="2759" t="s">
        <v>2897</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8"/>
      <c r="L38" s="1885" t="s">
        <v>2898</v>
      </c>
      <c r="M38" s="2852">
        <v>0.25</v>
      </c>
      <c r="N38" s="1368"/>
      <c r="O38" s="1368"/>
      <c r="P38" s="1368"/>
      <c r="Q38" s="1368"/>
      <c r="R38" s="1368"/>
      <c r="S38" s="1368"/>
      <c r="T38" s="1368"/>
      <c r="U38" s="1368"/>
      <c r="V38" s="1368"/>
      <c r="W38" s="1368"/>
      <c r="X38" s="1368"/>
      <c r="Y38" s="1368"/>
      <c r="Z38" s="1369"/>
    </row>
    <row r="39" spans="1:37" ht="13.5" thickBot="1">
      <c r="A39" s="2835"/>
      <c r="B39" s="2853" t="s">
        <v>2899</v>
      </c>
      <c r="C39" s="228" t="e">
        <f>ROUND(D5*C19*C41*C24*F39,0)</f>
        <v>#DIV/0!</v>
      </c>
      <c r="D39" s="2837"/>
      <c r="E39" s="228" t="e">
        <f t="shared" si="7"/>
        <v>#DIV/0!</v>
      </c>
      <c r="F39" s="930">
        <f>SUMIF(修正!A45:A56,G2,修正!H45:H56)</f>
        <v>0</v>
      </c>
      <c r="G39" s="228" t="e">
        <f>ROUND(IF(E2="工业",C39*$M$39,C39*$M$38),0)</f>
        <v>#DIV/0!</v>
      </c>
      <c r="H39" s="228">
        <f t="shared" si="8"/>
        <v>0</v>
      </c>
      <c r="I39" s="228" t="e">
        <f t="shared" si="9"/>
        <v>#DIV/0!</v>
      </c>
      <c r="J39" s="2854"/>
      <c r="K39" s="1368"/>
      <c r="L39" s="2855" t="s">
        <v>2842</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4" t="s">
        <v>3007</v>
      </c>
      <c r="C41" s="387" t="e">
        <f>ROUND(POWER(1+E41,H41-G41)*(POWER(1+E41,G41)-1)/(POWER(1+E41,H41)-1),4)</f>
        <v>#DIV/0!</v>
      </c>
      <c r="D41" s="199" t="s">
        <v>2849</v>
      </c>
      <c r="E41" s="2923">
        <f>G20</f>
        <v>0</v>
      </c>
      <c r="F41" s="199" t="s">
        <v>2858</v>
      </c>
      <c r="G41" s="217"/>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75" thickBot="1">
      <c r="A45" s="2858" t="s">
        <v>2900</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0" t="s">
        <v>2901</v>
      </c>
      <c r="B46" s="2861">
        <f>1+E48</f>
        <v>1</v>
      </c>
      <c r="C46" s="2862"/>
      <c r="D46" s="812"/>
      <c r="E46" s="813"/>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4" t="s">
        <v>2902</v>
      </c>
      <c r="B47" s="1807" t="s">
        <v>2903</v>
      </c>
      <c r="C47" s="1807" t="s">
        <v>2904</v>
      </c>
      <c r="D47" s="1807" t="s">
        <v>2905</v>
      </c>
      <c r="E47" s="817" t="s">
        <v>2906</v>
      </c>
      <c r="F47" s="2865" t="s">
        <v>2907</v>
      </c>
      <c r="G47" s="1807" t="s">
        <v>753</v>
      </c>
      <c r="H47" s="2866" t="s">
        <v>2908</v>
      </c>
      <c r="I47" s="1807" t="s">
        <v>2909</v>
      </c>
      <c r="J47" s="602" t="s">
        <v>2557</v>
      </c>
      <c r="K47" s="602" t="s">
        <v>2558</v>
      </c>
      <c r="L47" s="602" t="s">
        <v>2559</v>
      </c>
      <c r="M47" s="602" t="s">
        <v>2560</v>
      </c>
      <c r="N47" s="602" t="s">
        <v>2561</v>
      </c>
      <c r="AA47" s="1369"/>
      <c r="AB47" s="1369"/>
      <c r="AC47" s="1369"/>
      <c r="AD47" s="1369"/>
      <c r="AE47" s="1369"/>
      <c r="AF47" s="1369"/>
      <c r="AG47" s="1369"/>
      <c r="AH47" s="1369"/>
      <c r="AI47" s="1369"/>
      <c r="AJ47" s="1369"/>
      <c r="AK47" s="1369"/>
    </row>
    <row r="48" spans="1:37" s="1368" customFormat="1" ht="38.25">
      <c r="A48" s="2864" t="s">
        <v>2910</v>
      </c>
      <c r="B48" s="2867" t="str">
        <f>估价对象房地状况!C4</f>
        <v>估价对象位于XX商圈，周边商业氛围成熟，人流量大，商业繁华度好</v>
      </c>
      <c r="C48" s="2764"/>
      <c r="D48" s="1284">
        <f t="shared" ref="D48:D56" si="10">SUMIF($J$47:$N$47,C48,J48:N48)</f>
        <v>0</v>
      </c>
      <c r="E48" s="819">
        <f>ROUND(SUM(D48:D56),4)</f>
        <v>0</v>
      </c>
      <c r="F48" s="2496"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4" t="s">
        <v>2911</v>
      </c>
      <c r="B49" s="2868" t="str">
        <f>估价对象房地状况!C18</f>
        <v>估价对象周边道路状况、公共交通通达情况、停车便捷程度，综合评价交通便捷度较好</v>
      </c>
      <c r="C49" s="2764"/>
      <c r="D49" s="1284">
        <f t="shared" si="10"/>
        <v>0</v>
      </c>
      <c r="E49" s="820"/>
      <c r="F49" s="2496"/>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2912</v>
      </c>
      <c r="B50" s="2868">
        <f>估价对象房地状况!C19</f>
        <v>0</v>
      </c>
      <c r="C50" s="2764"/>
      <c r="D50" s="1284">
        <f t="shared" si="10"/>
        <v>0</v>
      </c>
      <c r="E50" s="820"/>
      <c r="F50" s="2496"/>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4" t="s">
        <v>2913</v>
      </c>
      <c r="B51" s="2869" t="s">
        <v>2914</v>
      </c>
      <c r="C51" s="2764"/>
      <c r="D51" s="1284">
        <f t="shared" si="10"/>
        <v>0</v>
      </c>
      <c r="E51" s="820"/>
      <c r="F51" s="2496"/>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2915</v>
      </c>
      <c r="B52" s="2868">
        <f>估价对象房地状况!C24</f>
        <v>0</v>
      </c>
      <c r="C52" s="2764"/>
      <c r="D52" s="1284">
        <f t="shared" si="10"/>
        <v>0</v>
      </c>
      <c r="E52" s="820"/>
      <c r="F52" s="2496"/>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4" t="s">
        <v>2916</v>
      </c>
      <c r="B53" s="2870" t="s">
        <v>2917</v>
      </c>
      <c r="C53" s="2764"/>
      <c r="D53" s="1284">
        <f t="shared" si="10"/>
        <v>0</v>
      </c>
      <c r="E53" s="820"/>
      <c r="F53" s="2496"/>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1" t="s">
        <v>2918</v>
      </c>
      <c r="B54" s="1723" t="str">
        <f>估价对象房地状况!C21</f>
        <v>估价对象所在区域公共配套设施齐备情况</v>
      </c>
      <c r="C54" s="2764"/>
      <c r="D54" s="1284">
        <f t="shared" si="10"/>
        <v>0</v>
      </c>
      <c r="E54" s="820"/>
      <c r="F54" s="2496"/>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1" t="s">
        <v>2919</v>
      </c>
      <c r="B55" s="2868" t="str">
        <f>估价对象房地状况!C22</f>
        <v>估价对象所在区域基础设施水平</v>
      </c>
      <c r="C55" s="2764"/>
      <c r="D55" s="1284">
        <f t="shared" si="10"/>
        <v>0</v>
      </c>
      <c r="E55" s="820"/>
      <c r="F55" s="2496"/>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2" t="s">
        <v>2920</v>
      </c>
      <c r="B56" s="2873" t="str">
        <f>估价对象房地状况!C20</f>
        <v>区域自然环境：；人文环境；综合评价环境状况一般</v>
      </c>
      <c r="C56" s="2764"/>
      <c r="D56" s="1284">
        <f t="shared" si="10"/>
        <v>0</v>
      </c>
      <c r="E56" s="823"/>
      <c r="F56" s="2496"/>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0" t="s">
        <v>2921</v>
      </c>
      <c r="B57" s="2861">
        <f>1+E59</f>
        <v>1</v>
      </c>
      <c r="C57" s="812"/>
      <c r="D57" s="812"/>
      <c r="E57" s="813"/>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4" t="s">
        <v>2902</v>
      </c>
      <c r="B58" s="1807"/>
      <c r="C58" s="1807" t="s">
        <v>2904</v>
      </c>
      <c r="D58" s="1807" t="s">
        <v>2905</v>
      </c>
      <c r="E58" s="817" t="s">
        <v>2906</v>
      </c>
      <c r="F58" s="2865" t="s">
        <v>2922</v>
      </c>
      <c r="G58" s="1807" t="s">
        <v>753</v>
      </c>
      <c r="H58" s="2866" t="s">
        <v>2908</v>
      </c>
      <c r="I58" s="1807" t="s">
        <v>2909</v>
      </c>
      <c r="J58" s="602" t="s">
        <v>2557</v>
      </c>
      <c r="K58" s="602" t="s">
        <v>2558</v>
      </c>
      <c r="L58" s="602" t="s">
        <v>2559</v>
      </c>
      <c r="M58" s="602" t="s">
        <v>2560</v>
      </c>
      <c r="N58" s="602" t="s">
        <v>2561</v>
      </c>
      <c r="AA58" s="1369"/>
      <c r="AB58" s="1369"/>
      <c r="AC58" s="1369"/>
      <c r="AD58" s="1369"/>
      <c r="AE58" s="1369"/>
      <c r="AF58" s="1369"/>
      <c r="AG58" s="1369"/>
      <c r="AH58" s="1369"/>
      <c r="AI58" s="1369"/>
      <c r="AJ58" s="1369"/>
      <c r="AK58" s="1369"/>
    </row>
    <row r="59" spans="1:37" s="1368" customFormat="1" ht="38.25">
      <c r="A59" s="2864" t="s">
        <v>2923</v>
      </c>
      <c r="B59" s="2867" t="str">
        <f>估价对象房地状况!C17</f>
        <v>估价对象位于XX商圈，周边办公楼项目较多，入驻率高，办公集聚程度较好</v>
      </c>
      <c r="C59" s="2764"/>
      <c r="D59" s="1284">
        <f t="shared" ref="D59:D67" si="15">SUMIF($J$58:$N$58,C59,J59:N59)</f>
        <v>0</v>
      </c>
      <c r="E59" s="819">
        <f>ROUND(SUM(D59:D67),4)</f>
        <v>0</v>
      </c>
      <c r="F59" s="2496"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4" t="s">
        <v>2911</v>
      </c>
      <c r="B60" s="2868" t="str">
        <f>估价对象房地状况!C18</f>
        <v>估价对象周边道路状况、公共交通通达情况、停车便捷程度，综合评价交通便捷度较好</v>
      </c>
      <c r="C60" s="2764"/>
      <c r="D60" s="1284">
        <f t="shared" si="15"/>
        <v>0</v>
      </c>
      <c r="E60" s="820"/>
      <c r="F60" s="2496"/>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2912</v>
      </c>
      <c r="B61" s="2868">
        <f>估价对象房地状况!C19</f>
        <v>0</v>
      </c>
      <c r="C61" s="2764"/>
      <c r="D61" s="1284">
        <f t="shared" si="15"/>
        <v>0</v>
      </c>
      <c r="E61" s="820"/>
      <c r="F61" s="2496"/>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4" t="s">
        <v>2913</v>
      </c>
      <c r="B62" s="2869" t="s">
        <v>2914</v>
      </c>
      <c r="C62" s="2764"/>
      <c r="D62" s="1284">
        <f t="shared" si="15"/>
        <v>0</v>
      </c>
      <c r="E62" s="820"/>
      <c r="F62" s="2496"/>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2915</v>
      </c>
      <c r="B63" s="2868">
        <f>估价对象房地状况!C24</f>
        <v>0</v>
      </c>
      <c r="C63" s="2764"/>
      <c r="D63" s="1284">
        <f t="shared" si="15"/>
        <v>0</v>
      </c>
      <c r="E63" s="820"/>
      <c r="F63" s="2496"/>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4" t="s">
        <v>2916</v>
      </c>
      <c r="B64" s="2870" t="s">
        <v>2917</v>
      </c>
      <c r="C64" s="2764"/>
      <c r="D64" s="1284">
        <f t="shared" si="15"/>
        <v>0</v>
      </c>
      <c r="E64" s="820"/>
      <c r="F64" s="2496"/>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4" t="s">
        <v>2918</v>
      </c>
      <c r="B65" s="1723" t="str">
        <f>估价对象房地状况!C21</f>
        <v>估价对象所在区域公共配套设施齐备情况</v>
      </c>
      <c r="C65" s="2764"/>
      <c r="D65" s="1284">
        <f t="shared" si="15"/>
        <v>0</v>
      </c>
      <c r="E65" s="820"/>
      <c r="F65" s="2496"/>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4" t="s">
        <v>2919</v>
      </c>
      <c r="B66" s="1723" t="str">
        <f>估价对象房地状况!C22</f>
        <v>估价对象所在区域基础设施水平</v>
      </c>
      <c r="C66" s="2764"/>
      <c r="D66" s="1284">
        <f t="shared" si="15"/>
        <v>0</v>
      </c>
      <c r="E66" s="820"/>
      <c r="F66" s="2496"/>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2" t="s">
        <v>2920</v>
      </c>
      <c r="B67" s="2874" t="str">
        <f>估价对象房地状况!C20</f>
        <v>区域自然环境：；人文环境；综合评价环境状况一般</v>
      </c>
      <c r="C67" s="2764"/>
      <c r="D67" s="1284">
        <f t="shared" si="15"/>
        <v>0</v>
      </c>
      <c r="E67" s="823"/>
      <c r="F67" s="2496"/>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0" t="s">
        <v>2924</v>
      </c>
      <c r="B68" s="2861">
        <f>1+E70</f>
        <v>1</v>
      </c>
      <c r="C68" s="812"/>
      <c r="D68" s="812"/>
      <c r="E68" s="813"/>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4" t="s">
        <v>2902</v>
      </c>
      <c r="B69" s="1807"/>
      <c r="C69" s="1807" t="s">
        <v>2904</v>
      </c>
      <c r="D69" s="1807" t="s">
        <v>2905</v>
      </c>
      <c r="E69" s="817" t="s">
        <v>2906</v>
      </c>
      <c r="F69" s="2865" t="s">
        <v>2922</v>
      </c>
      <c r="G69" s="1807" t="s">
        <v>753</v>
      </c>
      <c r="H69" s="2866" t="s">
        <v>2908</v>
      </c>
      <c r="I69" s="1807" t="s">
        <v>2909</v>
      </c>
      <c r="J69" s="602" t="s">
        <v>2557</v>
      </c>
      <c r="K69" s="602" t="s">
        <v>2558</v>
      </c>
      <c r="L69" s="602" t="s">
        <v>2559</v>
      </c>
      <c r="M69" s="602" t="s">
        <v>2560</v>
      </c>
      <c r="N69" s="602" t="s">
        <v>2561</v>
      </c>
      <c r="AA69" s="1369"/>
      <c r="AB69" s="1369"/>
      <c r="AC69" s="1369"/>
      <c r="AD69" s="1369"/>
      <c r="AE69" s="1369"/>
      <c r="AF69" s="1369"/>
      <c r="AG69" s="1369"/>
      <c r="AH69" s="1369"/>
      <c r="AI69" s="1369"/>
      <c r="AJ69" s="1369"/>
      <c r="AK69" s="1369"/>
    </row>
    <row r="70" spans="1:37" s="1368" customFormat="1" ht="51">
      <c r="A70" s="2864" t="s">
        <v>2925</v>
      </c>
      <c r="B70" s="2867" t="str">
        <f>估价对象房地状况!C15</f>
        <v>估价对象周边居住用地比例、居住小区规模和社区发展完善程度，综合评价居住社区成熟度一般</v>
      </c>
      <c r="C70" s="2764"/>
      <c r="D70" s="1284">
        <f t="shared" ref="D70:D78" si="20">SUMIF($J$69:$N$69,C70,J70:N70)</f>
        <v>0</v>
      </c>
      <c r="E70" s="819">
        <f>ROUND(SUM(D70:D78),4)</f>
        <v>0</v>
      </c>
      <c r="F70" s="2496"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4" t="s">
        <v>2911</v>
      </c>
      <c r="B71" s="2868" t="str">
        <f>估价对象房地状况!C18</f>
        <v>估价对象周边道路状况、公共交通通达情况、停车便捷程度，综合评价交通便捷度较好</v>
      </c>
      <c r="C71" s="2764"/>
      <c r="D71" s="1284">
        <f t="shared" si="20"/>
        <v>0</v>
      </c>
      <c r="E71" s="824"/>
      <c r="F71" s="2496"/>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4" t="s">
        <v>2912</v>
      </c>
      <c r="B72" s="2868">
        <f>估价对象房地状况!C19</f>
        <v>0</v>
      </c>
      <c r="C72" s="2764"/>
      <c r="D72" s="1284">
        <f t="shared" si="20"/>
        <v>0</v>
      </c>
      <c r="E72" s="824"/>
      <c r="F72" s="2496"/>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4" t="s">
        <v>2926</v>
      </c>
      <c r="B73" s="2868">
        <f>估价对象房地状况!C24</f>
        <v>0</v>
      </c>
      <c r="C73" s="2764"/>
      <c r="D73" s="1284">
        <f t="shared" si="20"/>
        <v>0</v>
      </c>
      <c r="E73" s="824"/>
      <c r="F73" s="2496"/>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4" t="s">
        <v>2918</v>
      </c>
      <c r="B74" s="1723" t="str">
        <f>估价对象房地状况!C21</f>
        <v>估价对象所在区域公共配套设施齐备情况</v>
      </c>
      <c r="C74" s="2764"/>
      <c r="D74" s="1284">
        <f t="shared" si="20"/>
        <v>0</v>
      </c>
      <c r="E74" s="824"/>
      <c r="F74" s="2496"/>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4" t="s">
        <v>2919</v>
      </c>
      <c r="B75" s="1723" t="str">
        <f>估价对象房地状况!C22</f>
        <v>估价对象所在区域基础设施水平</v>
      </c>
      <c r="C75" s="2764"/>
      <c r="D75" s="1284">
        <f t="shared" si="20"/>
        <v>0</v>
      </c>
      <c r="E75" s="824"/>
      <c r="F75" s="2496"/>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64" t="s">
        <v>2916</v>
      </c>
      <c r="B76" s="2870" t="s">
        <v>2917</v>
      </c>
      <c r="C76" s="2764"/>
      <c r="D76" s="1284">
        <f t="shared" si="20"/>
        <v>0</v>
      </c>
      <c r="E76" s="824"/>
      <c r="F76" s="2496"/>
      <c r="G76" s="1282"/>
      <c r="H76" s="1286" t="str">
        <f t="shared" si="21"/>
        <v>——</v>
      </c>
      <c r="I76" s="818">
        <v>0.05</v>
      </c>
      <c r="J76" s="1283">
        <f t="shared" si="22"/>
        <v>0</v>
      </c>
      <c r="K76" s="1283">
        <f t="shared" si="23"/>
        <v>0</v>
      </c>
      <c r="L76" s="1283">
        <v>0</v>
      </c>
      <c r="M76" s="1283">
        <f t="shared" si="24"/>
        <v>0</v>
      </c>
      <c r="N76" s="1283">
        <f t="shared" si="24"/>
        <v>0</v>
      </c>
      <c r="AA76" s="2875"/>
      <c r="AB76" s="1369"/>
      <c r="AC76" s="1369"/>
      <c r="AD76" s="1369"/>
      <c r="AE76" s="1369"/>
      <c r="AF76" s="1369"/>
      <c r="AG76" s="1369"/>
      <c r="AH76" s="2875"/>
      <c r="AI76" s="2875"/>
      <c r="AJ76" s="2875"/>
      <c r="AK76" s="2875"/>
    </row>
    <row r="77" spans="1:37" ht="38.25">
      <c r="A77" s="2864" t="s">
        <v>2920</v>
      </c>
      <c r="B77" s="2867" t="str">
        <f>估价对象房地状况!C20</f>
        <v>区域自然环境：；人文环境；综合评价环境状况一般</v>
      </c>
      <c r="C77" s="2764"/>
      <c r="D77" s="1284">
        <f t="shared" si="20"/>
        <v>0</v>
      </c>
      <c r="E77" s="824"/>
      <c r="F77" s="2496"/>
      <c r="G77" s="1282"/>
      <c r="H77" s="1286" t="str">
        <f t="shared" si="21"/>
        <v>——</v>
      </c>
      <c r="I77" s="818">
        <v>0.15</v>
      </c>
      <c r="J77" s="1283">
        <f t="shared" si="22"/>
        <v>0</v>
      </c>
      <c r="K77" s="1283">
        <f t="shared" si="23"/>
        <v>0</v>
      </c>
      <c r="L77" s="1283">
        <v>0</v>
      </c>
      <c r="M77" s="1283">
        <f t="shared" si="24"/>
        <v>0</v>
      </c>
      <c r="N77" s="1283">
        <f t="shared" si="24"/>
        <v>0</v>
      </c>
      <c r="Z77" s="2714"/>
      <c r="AA77" s="2782"/>
      <c r="AG77" s="1370"/>
      <c r="AK77" s="2782"/>
    </row>
    <row r="78" spans="1:37" ht="24.75" thickBot="1">
      <c r="A78" s="2872" t="s">
        <v>2927</v>
      </c>
      <c r="B78" s="2876"/>
      <c r="C78" s="2764"/>
      <c r="D78" s="1284">
        <f t="shared" si="20"/>
        <v>0</v>
      </c>
      <c r="E78" s="825"/>
      <c r="F78" s="2496"/>
      <c r="G78" s="1282"/>
      <c r="H78" s="1286" t="str">
        <f t="shared" si="21"/>
        <v>——</v>
      </c>
      <c r="I78" s="822">
        <v>0.04</v>
      </c>
      <c r="J78" s="1283">
        <f t="shared" si="22"/>
        <v>0</v>
      </c>
      <c r="K78" s="1283">
        <f t="shared" si="23"/>
        <v>0</v>
      </c>
      <c r="L78" s="1283">
        <v>0</v>
      </c>
      <c r="M78" s="1283">
        <f t="shared" si="24"/>
        <v>0</v>
      </c>
      <c r="N78" s="1283">
        <f t="shared" si="24"/>
        <v>0</v>
      </c>
      <c r="Z78" s="2714"/>
      <c r="AA78" s="2782"/>
      <c r="AG78" s="1370"/>
      <c r="AK78" s="2782"/>
    </row>
    <row r="79" spans="1:37" ht="15">
      <c r="A79" s="2860" t="s">
        <v>2928</v>
      </c>
      <c r="B79" s="2861">
        <f>1+E81</f>
        <v>1</v>
      </c>
      <c r="C79" s="812"/>
      <c r="D79" s="812"/>
      <c r="E79" s="813"/>
      <c r="F79" s="2863"/>
      <c r="G79" s="6"/>
      <c r="H79" s="6"/>
      <c r="I79" s="6"/>
      <c r="J79" s="7"/>
      <c r="K79" s="7"/>
      <c r="L79" s="7"/>
      <c r="M79" s="7"/>
      <c r="N79" s="7"/>
      <c r="Z79" s="2714"/>
      <c r="AA79" s="2782"/>
      <c r="AG79" s="1370"/>
      <c r="AK79" s="2782"/>
    </row>
    <row r="80" spans="1:37" ht="24.75">
      <c r="A80" s="2864" t="s">
        <v>2902</v>
      </c>
      <c r="B80" s="1807"/>
      <c r="C80" s="1807" t="s">
        <v>2904</v>
      </c>
      <c r="D80" s="1807" t="s">
        <v>2905</v>
      </c>
      <c r="E80" s="817" t="s">
        <v>2906</v>
      </c>
      <c r="F80" s="2865" t="s">
        <v>2922</v>
      </c>
      <c r="G80" s="1807" t="s">
        <v>753</v>
      </c>
      <c r="H80" s="2866" t="s">
        <v>2908</v>
      </c>
      <c r="I80" s="1807" t="s">
        <v>2909</v>
      </c>
      <c r="J80" s="602" t="s">
        <v>2557</v>
      </c>
      <c r="K80" s="602" t="s">
        <v>2558</v>
      </c>
      <c r="L80" s="602" t="s">
        <v>2559</v>
      </c>
      <c r="M80" s="602" t="s">
        <v>2560</v>
      </c>
      <c r="N80" s="602" t="s">
        <v>2561</v>
      </c>
      <c r="Z80" s="2714"/>
      <c r="AA80" s="2782"/>
      <c r="AG80" s="1370"/>
      <c r="AK80" s="2782"/>
    </row>
    <row r="81" spans="1:37" ht="38.25">
      <c r="A81" s="2864" t="s">
        <v>2929</v>
      </c>
      <c r="B81" s="2868" t="str">
        <f>估价对象房地状况!G15</f>
        <v>估价对象位于XX开发区，园区建设成熟度XX，产业集聚程度XX</v>
      </c>
      <c r="C81" s="2764"/>
      <c r="D81" s="1284">
        <f t="shared" ref="D81:D88" si="25">SUMIF($J$80:$N$80,C81,J81:N81)</f>
        <v>0</v>
      </c>
      <c r="E81" s="819">
        <f>ROUND(SUM(D81:D88),4)</f>
        <v>0</v>
      </c>
      <c r="F81" s="2496"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4"/>
      <c r="AA81" s="2782"/>
      <c r="AG81" s="1370"/>
      <c r="AK81" s="2782"/>
    </row>
    <row r="82" spans="1:37" ht="51">
      <c r="A82" s="2864" t="s">
        <v>2911</v>
      </c>
      <c r="B82" s="2868" t="str">
        <f>估价对象房地状况!G16</f>
        <v>估价对象周边道路状况、公共交通通达情况、停车便捷程度，综合评价交通便捷度较好</v>
      </c>
      <c r="C82" s="2764"/>
      <c r="D82" s="1284">
        <f t="shared" si="25"/>
        <v>0</v>
      </c>
      <c r="E82" s="824"/>
      <c r="F82" s="2496"/>
      <c r="G82" s="1282"/>
      <c r="H82" s="1286" t="str">
        <f t="shared" si="26"/>
        <v>——</v>
      </c>
      <c r="I82" s="818">
        <v>0.33</v>
      </c>
      <c r="J82" s="1283">
        <f t="shared" si="27"/>
        <v>0</v>
      </c>
      <c r="K82" s="1283">
        <f t="shared" si="28"/>
        <v>0</v>
      </c>
      <c r="L82" s="1283">
        <v>0</v>
      </c>
      <c r="M82" s="1283">
        <f t="shared" si="29"/>
        <v>0</v>
      </c>
      <c r="N82" s="1283">
        <f t="shared" si="29"/>
        <v>0</v>
      </c>
      <c r="Z82" s="2714"/>
      <c r="AA82" s="2782"/>
      <c r="AG82" s="1370"/>
      <c r="AK82" s="2782"/>
    </row>
    <row r="83" spans="1:37" ht="24">
      <c r="A83" s="2864" t="s">
        <v>2912</v>
      </c>
      <c r="B83" s="2868">
        <f>估价对象房地状况!G17</f>
        <v>0</v>
      </c>
      <c r="C83" s="2764"/>
      <c r="D83" s="1284">
        <f t="shared" si="25"/>
        <v>0</v>
      </c>
      <c r="E83" s="824"/>
      <c r="F83" s="2496"/>
      <c r="G83" s="1282"/>
      <c r="H83" s="1286" t="str">
        <f t="shared" si="26"/>
        <v>——</v>
      </c>
      <c r="I83" s="818">
        <v>0.05</v>
      </c>
      <c r="J83" s="1283">
        <f t="shared" si="27"/>
        <v>0</v>
      </c>
      <c r="K83" s="1283">
        <f t="shared" si="28"/>
        <v>0</v>
      </c>
      <c r="L83" s="1283">
        <v>0</v>
      </c>
      <c r="M83" s="1283">
        <f t="shared" si="29"/>
        <v>0</v>
      </c>
      <c r="N83" s="1283">
        <f t="shared" si="29"/>
        <v>0</v>
      </c>
      <c r="Z83" s="2714"/>
      <c r="AA83" s="2782"/>
      <c r="AG83" s="1370"/>
      <c r="AK83" s="2782"/>
    </row>
    <row r="84" spans="1:37" ht="14.25">
      <c r="A84" s="2864" t="s">
        <v>2926</v>
      </c>
      <c r="B84" s="2868">
        <f>估价对象房地状况!G22</f>
        <v>0</v>
      </c>
      <c r="C84" s="2764"/>
      <c r="D84" s="1284">
        <f t="shared" si="25"/>
        <v>0</v>
      </c>
      <c r="E84" s="824"/>
      <c r="F84" s="2496"/>
      <c r="G84" s="1282"/>
      <c r="H84" s="1286" t="str">
        <f t="shared" si="26"/>
        <v>——</v>
      </c>
      <c r="I84" s="818">
        <v>0.04</v>
      </c>
      <c r="J84" s="1283">
        <f t="shared" si="27"/>
        <v>0</v>
      </c>
      <c r="K84" s="1283">
        <f t="shared" si="28"/>
        <v>0</v>
      </c>
      <c r="L84" s="1283">
        <v>0</v>
      </c>
      <c r="M84" s="1283">
        <f t="shared" si="29"/>
        <v>0</v>
      </c>
      <c r="N84" s="1283">
        <f t="shared" si="29"/>
        <v>0</v>
      </c>
      <c r="Z84" s="2714"/>
      <c r="AA84" s="2782"/>
      <c r="AG84" s="1370"/>
      <c r="AK84" s="2782"/>
    </row>
    <row r="85" spans="1:37" ht="25.5">
      <c r="A85" s="2864" t="s">
        <v>2918</v>
      </c>
      <c r="B85" s="1723" t="str">
        <f>估价对象房地状况!G19</f>
        <v>估价对象所在区域公共配套设施齐备情况</v>
      </c>
      <c r="C85" s="2764"/>
      <c r="D85" s="1284">
        <f t="shared" si="25"/>
        <v>0</v>
      </c>
      <c r="E85" s="824"/>
      <c r="F85" s="2496"/>
      <c r="G85" s="1282"/>
      <c r="H85" s="1286" t="str">
        <f t="shared" si="26"/>
        <v>——</v>
      </c>
      <c r="I85" s="818">
        <v>0.06</v>
      </c>
      <c r="J85" s="1283">
        <f t="shared" si="27"/>
        <v>0</v>
      </c>
      <c r="K85" s="1283">
        <f t="shared" si="28"/>
        <v>0</v>
      </c>
      <c r="L85" s="1283">
        <v>0</v>
      </c>
      <c r="M85" s="1283">
        <f t="shared" si="29"/>
        <v>0</v>
      </c>
      <c r="N85" s="1283">
        <f t="shared" si="29"/>
        <v>0</v>
      </c>
      <c r="Z85" s="2714"/>
      <c r="AA85" s="2782"/>
      <c r="AG85" s="1370"/>
      <c r="AK85" s="2782"/>
    </row>
    <row r="86" spans="1:37" ht="25.5">
      <c r="A86" s="2864" t="s">
        <v>2919</v>
      </c>
      <c r="B86" s="1723" t="str">
        <f>估价对象房地状况!G20</f>
        <v>估价对象所在区域基础设施水平</v>
      </c>
      <c r="C86" s="2764"/>
      <c r="D86" s="1284">
        <f t="shared" si="25"/>
        <v>0</v>
      </c>
      <c r="E86" s="824"/>
      <c r="F86" s="2496"/>
      <c r="G86" s="1282"/>
      <c r="H86" s="1286" t="str">
        <f t="shared" si="26"/>
        <v>——</v>
      </c>
      <c r="I86" s="818">
        <v>0.15</v>
      </c>
      <c r="J86" s="1283">
        <f t="shared" si="27"/>
        <v>0</v>
      </c>
      <c r="K86" s="1283">
        <f t="shared" si="28"/>
        <v>0</v>
      </c>
      <c r="L86" s="1283">
        <v>0</v>
      </c>
      <c r="M86" s="1283">
        <f t="shared" si="29"/>
        <v>0</v>
      </c>
      <c r="N86" s="1283">
        <f t="shared" si="29"/>
        <v>0</v>
      </c>
      <c r="Z86" s="2714"/>
      <c r="AA86" s="2782"/>
      <c r="AG86" s="1370"/>
      <c r="AK86" s="2782"/>
    </row>
    <row r="87" spans="1:37" ht="24">
      <c r="A87" s="2864" t="s">
        <v>2916</v>
      </c>
      <c r="B87" s="2870" t="s">
        <v>2930</v>
      </c>
      <c r="C87" s="2764"/>
      <c r="D87" s="1284">
        <f t="shared" si="25"/>
        <v>0</v>
      </c>
      <c r="E87" s="824"/>
      <c r="F87" s="2496"/>
      <c r="G87" s="1282"/>
      <c r="H87" s="1286" t="str">
        <f t="shared" si="26"/>
        <v>——</v>
      </c>
      <c r="I87" s="818">
        <v>0.05</v>
      </c>
      <c r="J87" s="1283">
        <f t="shared" si="27"/>
        <v>0</v>
      </c>
      <c r="K87" s="1283">
        <f t="shared" si="28"/>
        <v>0</v>
      </c>
      <c r="L87" s="1283">
        <v>0</v>
      </c>
      <c r="M87" s="1283">
        <f t="shared" si="29"/>
        <v>0</v>
      </c>
      <c r="N87" s="1283">
        <f t="shared" si="29"/>
        <v>0</v>
      </c>
      <c r="Z87" s="2714"/>
      <c r="AA87" s="2782"/>
      <c r="AG87" s="1370"/>
      <c r="AK87" s="2782"/>
    </row>
    <row r="88" spans="1:37" ht="39" thickBot="1">
      <c r="A88" s="2872" t="s">
        <v>2931</v>
      </c>
      <c r="B88" s="2877" t="str">
        <f>估价对象房地状况!G18</f>
        <v>该园区内是否有污染型企业，绿化情况，卫生条件，整体环境状况判断</v>
      </c>
      <c r="C88" s="2764"/>
      <c r="D88" s="1284">
        <f t="shared" si="25"/>
        <v>0</v>
      </c>
      <c r="E88" s="825"/>
      <c r="F88" s="2496"/>
      <c r="G88" s="1282"/>
      <c r="H88" s="1286" t="str">
        <f t="shared" si="26"/>
        <v>——</v>
      </c>
      <c r="I88" s="822">
        <v>0.06</v>
      </c>
      <c r="J88" s="1283">
        <f t="shared" si="27"/>
        <v>0</v>
      </c>
      <c r="K88" s="1283">
        <f t="shared" si="28"/>
        <v>0</v>
      </c>
      <c r="L88" s="1283">
        <v>0</v>
      </c>
      <c r="M88" s="1283">
        <f t="shared" si="29"/>
        <v>0</v>
      </c>
      <c r="N88" s="1283">
        <f t="shared" si="29"/>
        <v>0</v>
      </c>
      <c r="Z88" s="2714"/>
      <c r="AA88" s="2782"/>
      <c r="AG88" s="1370"/>
      <c r="AK88" s="2782"/>
    </row>
    <row r="90" spans="1:37">
      <c r="A90" s="3289" t="s">
        <v>2932</v>
      </c>
      <c r="B90" s="3289"/>
      <c r="C90" s="3289"/>
      <c r="D90" s="3289"/>
      <c r="E90" s="3289"/>
      <c r="F90" s="3289"/>
      <c r="G90" s="3289"/>
      <c r="H90" s="3289"/>
      <c r="I90" s="3289"/>
      <c r="J90" s="3289"/>
      <c r="K90" s="2878"/>
      <c r="L90" s="2878"/>
      <c r="M90" s="2878"/>
      <c r="N90" s="2878"/>
    </row>
    <row r="91" spans="1:37">
      <c r="A91" s="3291" t="s">
        <v>2933</v>
      </c>
      <c r="B91" s="3291" t="s">
        <v>2934</v>
      </c>
      <c r="C91" s="2832" t="s">
        <v>2935</v>
      </c>
      <c r="D91" s="2833"/>
      <c r="E91" s="2833"/>
      <c r="F91" s="2833"/>
      <c r="G91" s="2833"/>
      <c r="H91" s="2833"/>
      <c r="I91" s="2833"/>
      <c r="J91" s="2879"/>
      <c r="K91" s="2880"/>
      <c r="L91" s="2880"/>
      <c r="M91" s="2880"/>
      <c r="N91" s="2880"/>
    </row>
    <row r="92" spans="1:37">
      <c r="A92" s="3291"/>
      <c r="B92" s="3291"/>
      <c r="C92" s="940" t="s">
        <v>2801</v>
      </c>
      <c r="D92" s="940" t="s">
        <v>2802</v>
      </c>
      <c r="E92" s="940" t="s">
        <v>2803</v>
      </c>
      <c r="F92" s="940" t="s">
        <v>2804</v>
      </c>
      <c r="G92" s="940" t="s">
        <v>2805</v>
      </c>
      <c r="H92" s="940" t="s">
        <v>2806</v>
      </c>
      <c r="I92" s="940" t="s">
        <v>2807</v>
      </c>
      <c r="J92" s="940" t="s">
        <v>2808</v>
      </c>
      <c r="K92" s="940" t="s">
        <v>2809</v>
      </c>
      <c r="L92" s="940" t="s">
        <v>2810</v>
      </c>
      <c r="M92" s="940" t="s">
        <v>2811</v>
      </c>
      <c r="N92" s="940" t="s">
        <v>2812</v>
      </c>
    </row>
    <row r="93" spans="1:37">
      <c r="A93" s="3292" t="s">
        <v>2936</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3"/>
      <c r="B99" s="2881" t="s">
        <v>2817</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4"/>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2" t="s">
        <v>2937</v>
      </c>
      <c r="B101" s="2885" t="s">
        <v>2938</v>
      </c>
      <c r="C101" s="2886">
        <f>$G$3</f>
        <v>2.93</v>
      </c>
      <c r="D101" s="2886">
        <f t="shared" ref="D101:N101" si="31">$G$3</f>
        <v>2.93</v>
      </c>
      <c r="E101" s="2886">
        <f t="shared" si="31"/>
        <v>2.93</v>
      </c>
      <c r="F101" s="2886">
        <f t="shared" si="31"/>
        <v>2.93</v>
      </c>
      <c r="G101" s="2886">
        <f t="shared" si="31"/>
        <v>2.93</v>
      </c>
      <c r="H101" s="2886">
        <f t="shared" si="31"/>
        <v>2.93</v>
      </c>
      <c r="I101" s="2886">
        <f t="shared" si="31"/>
        <v>2.93</v>
      </c>
      <c r="J101" s="2886">
        <f t="shared" si="31"/>
        <v>2.93</v>
      </c>
      <c r="K101" s="2886">
        <f t="shared" si="31"/>
        <v>2.93</v>
      </c>
      <c r="L101" s="2886">
        <f t="shared" si="31"/>
        <v>2.93</v>
      </c>
      <c r="M101" s="2886">
        <f t="shared" si="31"/>
        <v>2.93</v>
      </c>
      <c r="N101" s="2886">
        <f t="shared" si="31"/>
        <v>2.93</v>
      </c>
    </row>
    <row r="102" spans="1:14">
      <c r="A102" s="3293"/>
      <c r="B102" s="2881">
        <v>1</v>
      </c>
      <c r="C102" s="2882">
        <f>1.9362/C101</f>
        <v>0.66081911262798632</v>
      </c>
      <c r="D102" s="2882">
        <f>1.9362/D101</f>
        <v>0.66081911262798632</v>
      </c>
      <c r="E102" s="2882">
        <f>1.8629/E101</f>
        <v>0.6358020477815699</v>
      </c>
      <c r="F102" s="2882">
        <f>1.8629/F101</f>
        <v>0.6358020477815699</v>
      </c>
      <c r="G102" s="2882">
        <f>1.8629/G101</f>
        <v>0.6358020477815699</v>
      </c>
      <c r="H102" s="2882">
        <f>1.8629/H101</f>
        <v>0.6358020477815699</v>
      </c>
      <c r="I102" s="2882">
        <f>1.8629/I101</f>
        <v>0.6358020477815699</v>
      </c>
      <c r="J102" s="2882">
        <f>1.942/J101</f>
        <v>0.66279863481228662</v>
      </c>
      <c r="K102" s="2882">
        <f>1.942/K101</f>
        <v>0.66279863481228662</v>
      </c>
      <c r="L102" s="2882">
        <f>1.942/L101</f>
        <v>0.66279863481228662</v>
      </c>
      <c r="M102" s="2882">
        <f>1.942/M101</f>
        <v>0.66279863481228662</v>
      </c>
      <c r="N102" s="2882">
        <f>1.942/N101</f>
        <v>0.66279863481228662</v>
      </c>
    </row>
    <row r="103" spans="1:14">
      <c r="A103" s="3293"/>
      <c r="B103" s="2881">
        <v>2</v>
      </c>
      <c r="C103" s="2882">
        <f>1.4198/C101</f>
        <v>0.4845733788395904</v>
      </c>
      <c r="D103" s="2882">
        <f>1.4198/D101</f>
        <v>0.4845733788395904</v>
      </c>
      <c r="E103" s="2882">
        <f>1.3372/E101</f>
        <v>0.45638225255972692</v>
      </c>
      <c r="F103" s="2882">
        <f>1.3372/F101</f>
        <v>0.45638225255972692</v>
      </c>
      <c r="G103" s="2882">
        <f>1.3372/G101</f>
        <v>0.45638225255972692</v>
      </c>
      <c r="H103" s="2882">
        <f>1.3372/H101</f>
        <v>0.45638225255972692</v>
      </c>
      <c r="I103" s="2882">
        <f>1.3372/I101</f>
        <v>0.45638225255972692</v>
      </c>
      <c r="J103" s="2882">
        <f>1.2799/J101</f>
        <v>0.43682593856655288</v>
      </c>
      <c r="K103" s="2882">
        <f>1.2799/K101</f>
        <v>0.43682593856655288</v>
      </c>
      <c r="L103" s="2882">
        <f>1.2799/L101</f>
        <v>0.43682593856655288</v>
      </c>
      <c r="M103" s="2882">
        <f>1.2799/M101</f>
        <v>0.43682593856655288</v>
      </c>
      <c r="N103" s="2882">
        <f>1.2799/N101</f>
        <v>0.43682593856655288</v>
      </c>
    </row>
    <row r="104" spans="1:14">
      <c r="A104" s="3293"/>
      <c r="B104" s="2881">
        <v>3</v>
      </c>
      <c r="C104" s="2882">
        <f>1.1594/C101</f>
        <v>0.39569965870307167</v>
      </c>
      <c r="D104" s="2882">
        <f>1.1594/D101</f>
        <v>0.39569965870307167</v>
      </c>
      <c r="E104" s="2882">
        <f>1.0788/E101</f>
        <v>0.36819112627986345</v>
      </c>
      <c r="F104" s="2882">
        <f>1.0788/F101</f>
        <v>0.36819112627986345</v>
      </c>
      <c r="G104" s="2882">
        <f>1.0788/G101</f>
        <v>0.36819112627986345</v>
      </c>
      <c r="H104" s="2882">
        <f>1.0788/H101</f>
        <v>0.36819112627986345</v>
      </c>
      <c r="I104" s="2882">
        <f>1.0788/I101</f>
        <v>0.36819112627986345</v>
      </c>
      <c r="J104" s="2882">
        <f>1.0072/J101</f>
        <v>0.3437542662116041</v>
      </c>
      <c r="K104" s="2882">
        <f>1.0072/K101</f>
        <v>0.3437542662116041</v>
      </c>
      <c r="L104" s="2882">
        <f>1.0072/L101</f>
        <v>0.3437542662116041</v>
      </c>
      <c r="M104" s="2882">
        <f>1.0072/M101</f>
        <v>0.3437542662116041</v>
      </c>
      <c r="N104" s="2882">
        <f>1.0072/N101</f>
        <v>0.3437542662116041</v>
      </c>
    </row>
    <row r="105" spans="1:14">
      <c r="A105" s="3293"/>
      <c r="B105" s="2881">
        <v>4</v>
      </c>
      <c r="C105" s="2882">
        <f>0.9622/C101</f>
        <v>0.32839590443686006</v>
      </c>
      <c r="D105" s="2882">
        <f>0.9622/D101</f>
        <v>0.32839590443686006</v>
      </c>
      <c r="E105" s="2882">
        <f>0.8656/E101</f>
        <v>0.29542662116040957</v>
      </c>
      <c r="F105" s="2882">
        <f>0.8656/F101</f>
        <v>0.29542662116040957</v>
      </c>
      <c r="G105" s="2882">
        <f>0.8656/G101</f>
        <v>0.29542662116040957</v>
      </c>
      <c r="H105" s="2882">
        <f>0.8656/H101</f>
        <v>0.29542662116040957</v>
      </c>
      <c r="I105" s="2882">
        <f>0.8656/I101</f>
        <v>0.29542662116040957</v>
      </c>
      <c r="J105" s="2882">
        <f>0.7525/J101</f>
        <v>0.25682593856655289</v>
      </c>
      <c r="K105" s="2882">
        <f>0.7525/K101</f>
        <v>0.25682593856655289</v>
      </c>
      <c r="L105" s="2882">
        <f>0.7525/L101</f>
        <v>0.25682593856655289</v>
      </c>
      <c r="M105" s="2882">
        <f>0.7525/M101</f>
        <v>0.25682593856655289</v>
      </c>
      <c r="N105" s="2882">
        <f>0.7525/N101</f>
        <v>0.25682593856655289</v>
      </c>
    </row>
    <row r="106" spans="1:14">
      <c r="A106" s="3293"/>
      <c r="B106" s="2881">
        <v>5</v>
      </c>
      <c r="C106" s="2882">
        <f>0.8417/C101</f>
        <v>0.28726962457337885</v>
      </c>
      <c r="D106" s="2882">
        <f>0.8417/D101</f>
        <v>0.28726962457337885</v>
      </c>
      <c r="E106" s="2882">
        <f>0.7371/E101</f>
        <v>0.25156996587030717</v>
      </c>
      <c r="F106" s="2882">
        <f>0.7371/F101</f>
        <v>0.25156996587030717</v>
      </c>
      <c r="G106" s="2882">
        <f>0.7371/G101</f>
        <v>0.25156996587030717</v>
      </c>
      <c r="H106" s="2882">
        <f>0.7371/H101</f>
        <v>0.25156996587030717</v>
      </c>
      <c r="I106" s="2882">
        <f>0.7371/I101</f>
        <v>0.25156996587030717</v>
      </c>
      <c r="J106" s="2882">
        <f>0.5659/J101</f>
        <v>0.19313993174061431</v>
      </c>
      <c r="K106" s="2882">
        <f>0.5659/K101</f>
        <v>0.19313993174061431</v>
      </c>
      <c r="L106" s="2882">
        <f>0.5659/L101</f>
        <v>0.19313993174061431</v>
      </c>
      <c r="M106" s="2882">
        <f>0.5659/M101</f>
        <v>0.19313993174061431</v>
      </c>
      <c r="N106" s="2882">
        <f>0.5659/N101</f>
        <v>0.19313993174061431</v>
      </c>
    </row>
    <row r="107" spans="1:14">
      <c r="A107" s="3293"/>
      <c r="B107" s="2881">
        <v>6</v>
      </c>
      <c r="C107" s="2882">
        <f>0.7608/C101</f>
        <v>0.25965870307167233</v>
      </c>
      <c r="D107" s="2882">
        <f>0.7608/D101</f>
        <v>0.25965870307167233</v>
      </c>
      <c r="E107" s="2882">
        <f>0.6482/E101</f>
        <v>0.22122866894197951</v>
      </c>
      <c r="F107" s="2882">
        <f>0.6482/F101</f>
        <v>0.22122866894197951</v>
      </c>
      <c r="G107" s="2882">
        <f>0.6482/G101</f>
        <v>0.22122866894197951</v>
      </c>
      <c r="H107" s="2882">
        <f>0.6482/H101</f>
        <v>0.22122866894197951</v>
      </c>
      <c r="I107" s="2882">
        <f>0.6482/I101</f>
        <v>0.22122866894197951</v>
      </c>
      <c r="J107" s="2882">
        <f>0.4525/J101</f>
        <v>0.15443686006825938</v>
      </c>
      <c r="K107" s="2882">
        <f>0.4525/K101</f>
        <v>0.15443686006825938</v>
      </c>
      <c r="L107" s="2882">
        <f>0.4525/L101</f>
        <v>0.15443686006825938</v>
      </c>
      <c r="M107" s="2882">
        <f>0.4525/M101</f>
        <v>0.15443686006825938</v>
      </c>
      <c r="N107" s="2882">
        <f>0.4525/N101</f>
        <v>0.15443686006825938</v>
      </c>
    </row>
    <row r="108" spans="1:14">
      <c r="A108" s="3293"/>
      <c r="B108" s="3119" t="s">
        <v>2939</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4"/>
      <c r="B109" s="3120"/>
      <c r="C109" s="2884">
        <f>(-0.163*(C108^2)-0.59*C108+7617)*(10^(-4))/C101</f>
        <v>0.25996587030716722</v>
      </c>
      <c r="D109" s="2884">
        <f>(-0.163*(D108^2)-0.59*D108+7617)*(10^(-4))/D101</f>
        <v>0.25996587030716722</v>
      </c>
      <c r="E109" s="2884">
        <f>(-0.161*(E108^2)-7.509*E108+6533)*(10^(-4))/E101</f>
        <v>0.22296928327645049</v>
      </c>
      <c r="F109" s="2884">
        <f>(-0.161*(F108^2)-7.509*F108+6533)*(10^(-4))/F101</f>
        <v>0.22296928327645049</v>
      </c>
      <c r="G109" s="2884">
        <f>(-0.161*(G108^2)-7.509*G108+6533)*(10^(-4))/G101</f>
        <v>0.22296928327645049</v>
      </c>
      <c r="H109" s="2884">
        <f>(-0.161*(H108^2)-7.509*H108+6533)*(10^(-4))/H101</f>
        <v>0.22296928327645049</v>
      </c>
      <c r="I109" s="2884">
        <f>(-0.161*(I108^2)-7.509*I108+6533)*(10^(-4))/I101</f>
        <v>0.22296928327645049</v>
      </c>
      <c r="J109" s="2884">
        <f>(-0.214*(J108^2)-21.991*J108+4665)*(10^(-4))/J101</f>
        <v>0.15921501706484642</v>
      </c>
      <c r="K109" s="2884">
        <f>(-0.214*(K108^2)-21.991*K108+4665)*(10^(-4))/K101</f>
        <v>0.15921501706484642</v>
      </c>
      <c r="L109" s="2884">
        <f>(-0.214*(L108^2)-21.991*L108+4665)*(10^(-4))/L101</f>
        <v>0.15921501706484642</v>
      </c>
      <c r="M109" s="2884">
        <f>(-0.214*(M108^2)-21.991*M108+4665)*(10^(-4))/M101</f>
        <v>0.15921501706484642</v>
      </c>
      <c r="N109" s="2884">
        <f>(-0.214*(N108^2)-21.991*N108+4665)*(10^(-4))/N101</f>
        <v>0.15921501706484642</v>
      </c>
    </row>
    <row r="110" spans="1:14">
      <c r="A110" s="3290" t="s">
        <v>2940</v>
      </c>
      <c r="B110" s="3290"/>
      <c r="C110" s="3290"/>
      <c r="D110" s="3290"/>
      <c r="E110" s="3290"/>
      <c r="F110" s="3290"/>
      <c r="G110" s="3290"/>
      <c r="H110" s="3290"/>
      <c r="I110" s="3290"/>
      <c r="J110" s="3290"/>
      <c r="K110" s="2887"/>
      <c r="L110" s="2887"/>
      <c r="M110" s="2887"/>
      <c r="N110" s="2887"/>
    </row>
    <row r="112" spans="1:14" ht="13.5" thickBot="1"/>
    <row r="113" spans="1:13" ht="25.5" thickBot="1">
      <c r="A113" s="901" t="s">
        <v>2941</v>
      </c>
      <c r="B113" s="1285">
        <f>G3</f>
        <v>2.93</v>
      </c>
      <c r="C113" s="902" t="s">
        <v>2942</v>
      </c>
      <c r="D113" s="903">
        <f>SUMPRODUCT((A115:A118=F113)*(B114:M114=H113)*B115:M118)</f>
        <v>0</v>
      </c>
      <c r="E113" s="2718" t="s">
        <v>2774</v>
      </c>
      <c r="F113" s="2889">
        <f>E2</f>
        <v>0</v>
      </c>
      <c r="G113" s="2718" t="s">
        <v>2775</v>
      </c>
      <c r="H113" s="2889">
        <f>G2</f>
        <v>0</v>
      </c>
      <c r="I113" s="2718"/>
      <c r="J113" s="2890"/>
      <c r="K113" s="2890"/>
      <c r="L113" s="2890"/>
      <c r="M113" s="2890"/>
    </row>
    <row r="114" spans="1:13">
      <c r="A114" s="906"/>
      <c r="B114" s="2891" t="s">
        <v>2943</v>
      </c>
      <c r="C114" s="2891" t="s">
        <v>2944</v>
      </c>
      <c r="D114" s="2891" t="s">
        <v>2945</v>
      </c>
      <c r="E114" s="2892" t="s">
        <v>2946</v>
      </c>
      <c r="F114" s="2892" t="s">
        <v>2947</v>
      </c>
      <c r="G114" s="2892" t="s">
        <v>2948</v>
      </c>
      <c r="H114" s="2893" t="s">
        <v>2949</v>
      </c>
      <c r="I114" s="2893" t="s">
        <v>2950</v>
      </c>
      <c r="J114" s="2894" t="s">
        <v>2951</v>
      </c>
      <c r="K114" s="2894" t="s">
        <v>2952</v>
      </c>
      <c r="L114" s="2894" t="s">
        <v>2953</v>
      </c>
      <c r="M114" s="2895" t="s">
        <v>2954</v>
      </c>
    </row>
    <row r="115" spans="1:13">
      <c r="A115" s="907" t="s">
        <v>2839</v>
      </c>
      <c r="B115" s="908">
        <f>ROUND(0.9335-0.0094*B113,4)</f>
        <v>0.90600000000000003</v>
      </c>
      <c r="C115" s="908">
        <f>B115</f>
        <v>0.90600000000000003</v>
      </c>
      <c r="D115" s="908">
        <f>ROUND(0.8331-0.0109*B113,4)</f>
        <v>0.80120000000000002</v>
      </c>
      <c r="E115" s="908">
        <f>D115</f>
        <v>0.80120000000000002</v>
      </c>
      <c r="F115" s="908">
        <f>E115</f>
        <v>0.80120000000000002</v>
      </c>
      <c r="G115" s="908">
        <f>F115</f>
        <v>0.80120000000000002</v>
      </c>
      <c r="H115" s="908">
        <f>G115</f>
        <v>0.80120000000000002</v>
      </c>
      <c r="I115" s="908">
        <f>ROUND(0.689-0.0155*B113,4)</f>
        <v>0.64359999999999995</v>
      </c>
      <c r="J115" s="908">
        <f t="shared" ref="J115:M118" si="33">I115</f>
        <v>0.64359999999999995</v>
      </c>
      <c r="K115" s="908">
        <f t="shared" si="33"/>
        <v>0.64359999999999995</v>
      </c>
      <c r="L115" s="908">
        <f t="shared" si="33"/>
        <v>0.64359999999999995</v>
      </c>
      <c r="M115" s="909">
        <f t="shared" si="33"/>
        <v>0.64359999999999995</v>
      </c>
    </row>
    <row r="116" spans="1:13">
      <c r="A116" s="907" t="s">
        <v>2840</v>
      </c>
      <c r="B116" s="908">
        <f>ROUND(0.949-0.012*B113,4)</f>
        <v>0.91379999999999995</v>
      </c>
      <c r="C116" s="908">
        <f>B116</f>
        <v>0.91379999999999995</v>
      </c>
      <c r="D116" s="908">
        <f>ROUND(0.8567-0.013*B113,4)</f>
        <v>0.81859999999999999</v>
      </c>
      <c r="E116" s="908">
        <f t="shared" ref="E116:H117" si="34">D116</f>
        <v>0.81859999999999999</v>
      </c>
      <c r="F116" s="908">
        <f t="shared" si="34"/>
        <v>0.81859999999999999</v>
      </c>
      <c r="G116" s="908">
        <f t="shared" si="34"/>
        <v>0.81859999999999999</v>
      </c>
      <c r="H116" s="908">
        <f t="shared" si="34"/>
        <v>0.81859999999999999</v>
      </c>
      <c r="I116" s="908">
        <f>ROUND(0.7694-0.014*B113,4)</f>
        <v>0.72840000000000005</v>
      </c>
      <c r="J116" s="908">
        <f t="shared" si="33"/>
        <v>0.72840000000000005</v>
      </c>
      <c r="K116" s="908">
        <f t="shared" si="33"/>
        <v>0.72840000000000005</v>
      </c>
      <c r="L116" s="908">
        <f t="shared" si="33"/>
        <v>0.72840000000000005</v>
      </c>
      <c r="M116" s="909">
        <f t="shared" si="33"/>
        <v>0.72840000000000005</v>
      </c>
    </row>
    <row r="117" spans="1:13">
      <c r="A117" s="907" t="s">
        <v>2841</v>
      </c>
      <c r="B117" s="908">
        <f>ROUND(0.8808-0.006*B113,4)</f>
        <v>0.86319999999999997</v>
      </c>
      <c r="C117" s="908">
        <f>B117</f>
        <v>0.86319999999999997</v>
      </c>
      <c r="D117" s="908">
        <f>ROUND(0.8748-0.008*B113,4)</f>
        <v>0.85140000000000005</v>
      </c>
      <c r="E117" s="908">
        <f t="shared" si="34"/>
        <v>0.85140000000000005</v>
      </c>
      <c r="F117" s="908">
        <f t="shared" si="34"/>
        <v>0.85140000000000005</v>
      </c>
      <c r="G117" s="908">
        <f t="shared" si="34"/>
        <v>0.85140000000000005</v>
      </c>
      <c r="H117" s="908">
        <f t="shared" si="34"/>
        <v>0.85140000000000005</v>
      </c>
      <c r="I117" s="908">
        <f>ROUND(0.7412-0.0095*B113,4)</f>
        <v>0.71340000000000003</v>
      </c>
      <c r="J117" s="908">
        <f t="shared" si="33"/>
        <v>0.71340000000000003</v>
      </c>
      <c r="K117" s="908">
        <f t="shared" si="33"/>
        <v>0.71340000000000003</v>
      </c>
      <c r="L117" s="908">
        <f t="shared" si="33"/>
        <v>0.71340000000000003</v>
      </c>
      <c r="M117" s="909">
        <f t="shared" si="33"/>
        <v>0.71340000000000003</v>
      </c>
    </row>
    <row r="118" spans="1:13" ht="13.5" thickBot="1">
      <c r="A118" s="713" t="s">
        <v>2842</v>
      </c>
      <c r="B118" s="910">
        <f>ROUND(0.7275-0.01*B113,4)</f>
        <v>0.69820000000000004</v>
      </c>
      <c r="C118" s="910">
        <f>B118</f>
        <v>0.69820000000000004</v>
      </c>
      <c r="D118" s="910">
        <f>ROUND(0.7043-0.012*B113,4)</f>
        <v>0.66910000000000003</v>
      </c>
      <c r="E118" s="910">
        <f>D118</f>
        <v>0.66910000000000003</v>
      </c>
      <c r="F118" s="910">
        <f>E118</f>
        <v>0.66910000000000003</v>
      </c>
      <c r="G118" s="910">
        <f>ROUND(0.6299-0.0122*B113,4)</f>
        <v>0.59419999999999995</v>
      </c>
      <c r="H118" s="910">
        <f>G118</f>
        <v>0.59419999999999995</v>
      </c>
      <c r="I118" s="910">
        <f>ROUND(0.5667-0.0136*B113,4)</f>
        <v>0.52690000000000003</v>
      </c>
      <c r="J118" s="910">
        <f t="shared" si="33"/>
        <v>0.52690000000000003</v>
      </c>
      <c r="K118" s="910">
        <f t="shared" si="33"/>
        <v>0.52690000000000003</v>
      </c>
      <c r="L118" s="910">
        <f t="shared" si="33"/>
        <v>0.52690000000000003</v>
      </c>
      <c r="M118" s="911">
        <f t="shared" si="33"/>
        <v>0.52690000000000003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545</v>
      </c>
      <c r="B1" s="829" t="s">
        <v>156</v>
      </c>
      <c r="C1" s="829" t="s">
        <v>157</v>
      </c>
      <c r="D1" s="829" t="s">
        <v>158</v>
      </c>
      <c r="E1" s="829" t="s">
        <v>159</v>
      </c>
      <c r="F1" s="829" t="s">
        <v>160</v>
      </c>
      <c r="G1" s="829" t="s">
        <v>161</v>
      </c>
      <c r="H1" s="829" t="s">
        <v>162</v>
      </c>
      <c r="I1" s="829" t="s">
        <v>163</v>
      </c>
      <c r="J1" s="829" t="s">
        <v>164</v>
      </c>
      <c r="K1" s="829" t="s">
        <v>165</v>
      </c>
      <c r="L1" s="829" t="s">
        <v>166</v>
      </c>
      <c r="M1" s="830" t="s">
        <v>167</v>
      </c>
    </row>
    <row r="2" spans="1:13" ht="19.5" customHeight="1">
      <c r="A2" s="855" t="s">
        <v>182</v>
      </c>
      <c r="B2" s="856">
        <v>3.5</v>
      </c>
      <c r="C2" s="856">
        <v>3.5</v>
      </c>
      <c r="D2" s="857">
        <v>2.5</v>
      </c>
      <c r="E2" s="857">
        <v>2.5</v>
      </c>
      <c r="F2" s="857">
        <v>2.5</v>
      </c>
      <c r="G2" s="857">
        <v>2.5</v>
      </c>
      <c r="H2" s="857">
        <v>2.5</v>
      </c>
      <c r="I2" s="856">
        <v>2</v>
      </c>
      <c r="J2" s="856">
        <v>2</v>
      </c>
      <c r="K2" s="856">
        <v>2</v>
      </c>
      <c r="L2" s="856">
        <v>2</v>
      </c>
      <c r="M2" s="858">
        <v>2</v>
      </c>
    </row>
    <row r="3" spans="1:13" ht="19.5" customHeight="1">
      <c r="A3" s="859" t="s">
        <v>183</v>
      </c>
      <c r="B3" s="860">
        <v>3.5</v>
      </c>
      <c r="C3" s="860">
        <v>3.5</v>
      </c>
      <c r="D3" s="861">
        <v>2.5</v>
      </c>
      <c r="E3" s="861">
        <v>2.5</v>
      </c>
      <c r="F3" s="861">
        <v>2.5</v>
      </c>
      <c r="G3" s="861">
        <v>2.5</v>
      </c>
      <c r="H3" s="861">
        <v>2.5</v>
      </c>
      <c r="I3" s="860">
        <v>2</v>
      </c>
      <c r="J3" s="860">
        <v>2</v>
      </c>
      <c r="K3" s="860">
        <v>2</v>
      </c>
      <c r="L3" s="860">
        <v>2</v>
      </c>
      <c r="M3" s="862">
        <v>2</v>
      </c>
    </row>
    <row r="4" spans="1:13" ht="19.5" customHeight="1">
      <c r="A4" s="859" t="s">
        <v>751</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185</v>
      </c>
      <c r="B5" s="864">
        <v>1.5</v>
      </c>
      <c r="C5" s="864">
        <v>1.5</v>
      </c>
      <c r="D5" s="864">
        <v>1.5</v>
      </c>
      <c r="E5" s="864">
        <v>1.5</v>
      </c>
      <c r="F5" s="864">
        <v>1.5</v>
      </c>
      <c r="G5" s="865">
        <v>1.2</v>
      </c>
      <c r="H5" s="865">
        <v>1.2</v>
      </c>
      <c r="I5" s="865">
        <v>1</v>
      </c>
      <c r="J5" s="865">
        <v>1</v>
      </c>
      <c r="K5" s="865">
        <v>1</v>
      </c>
      <c r="L5" s="865">
        <v>1</v>
      </c>
      <c r="M5" s="866">
        <v>1</v>
      </c>
    </row>
    <row r="6" spans="1:13" ht="19.5" customHeight="1">
      <c r="A6" s="867" t="s">
        <v>546</v>
      </c>
      <c r="B6" s="868">
        <v>80</v>
      </c>
      <c r="C6" s="868">
        <v>80</v>
      </c>
      <c r="D6" s="868">
        <v>65</v>
      </c>
      <c r="E6" s="868">
        <v>65</v>
      </c>
      <c r="F6" s="868">
        <v>65</v>
      </c>
      <c r="G6" s="868">
        <v>65</v>
      </c>
      <c r="H6" s="868">
        <v>65</v>
      </c>
      <c r="I6" s="868">
        <v>50</v>
      </c>
      <c r="J6" s="868">
        <v>50</v>
      </c>
      <c r="K6" s="868">
        <v>50</v>
      </c>
      <c r="L6" s="868">
        <v>50</v>
      </c>
      <c r="M6" s="869">
        <v>50</v>
      </c>
    </row>
    <row r="7" spans="1:13" ht="19.5" customHeight="1">
      <c r="A7" s="815" t="s">
        <v>547</v>
      </c>
      <c r="B7" s="816">
        <v>70</v>
      </c>
      <c r="C7" s="816">
        <v>70</v>
      </c>
      <c r="D7" s="816">
        <v>55</v>
      </c>
      <c r="E7" s="816">
        <v>55</v>
      </c>
      <c r="F7" s="816">
        <v>55</v>
      </c>
      <c r="G7" s="816">
        <v>55</v>
      </c>
      <c r="H7" s="816">
        <v>55</v>
      </c>
      <c r="I7" s="816">
        <v>40</v>
      </c>
      <c r="J7" s="816">
        <v>40</v>
      </c>
      <c r="K7" s="816">
        <v>40</v>
      </c>
      <c r="L7" s="816">
        <v>40</v>
      </c>
      <c r="M7" s="870">
        <v>40</v>
      </c>
    </row>
    <row r="8" spans="1:13" ht="19.5" customHeight="1">
      <c r="A8" s="815" t="s">
        <v>548</v>
      </c>
      <c r="B8" s="816">
        <v>20</v>
      </c>
      <c r="C8" s="816">
        <v>20</v>
      </c>
      <c r="D8" s="816">
        <v>15</v>
      </c>
      <c r="E8" s="816">
        <v>15</v>
      </c>
      <c r="F8" s="816">
        <v>15</v>
      </c>
      <c r="G8" s="816">
        <v>15</v>
      </c>
      <c r="H8" s="816">
        <v>15</v>
      </c>
      <c r="I8" s="816">
        <v>10</v>
      </c>
      <c r="J8" s="816">
        <v>10</v>
      </c>
      <c r="K8" s="816">
        <v>10</v>
      </c>
      <c r="L8" s="816">
        <v>10</v>
      </c>
      <c r="M8" s="870">
        <v>10</v>
      </c>
    </row>
    <row r="9" spans="1:13" ht="19.5" customHeight="1">
      <c r="A9" s="815" t="s">
        <v>549</v>
      </c>
      <c r="B9" s="816">
        <v>30</v>
      </c>
      <c r="C9" s="816">
        <v>30</v>
      </c>
      <c r="D9" s="816">
        <v>25</v>
      </c>
      <c r="E9" s="816">
        <v>25</v>
      </c>
      <c r="F9" s="816">
        <v>25</v>
      </c>
      <c r="G9" s="816">
        <v>25</v>
      </c>
      <c r="H9" s="816">
        <v>25</v>
      </c>
      <c r="I9" s="816">
        <v>20</v>
      </c>
      <c r="J9" s="816">
        <v>20</v>
      </c>
      <c r="K9" s="816">
        <v>20</v>
      </c>
      <c r="L9" s="816">
        <v>20</v>
      </c>
      <c r="M9" s="870">
        <v>20</v>
      </c>
    </row>
    <row r="10" spans="1:13" ht="19.5" customHeight="1">
      <c r="A10" s="815" t="s">
        <v>550</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551</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552</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553</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554</v>
      </c>
      <c r="B14" s="873">
        <v>0</v>
      </c>
      <c r="C14" s="873">
        <v>0</v>
      </c>
      <c r="D14" s="873">
        <v>0</v>
      </c>
      <c r="E14" s="873">
        <v>0</v>
      </c>
      <c r="F14" s="873">
        <v>0</v>
      </c>
      <c r="G14" s="873">
        <v>0</v>
      </c>
      <c r="H14" s="873">
        <v>0</v>
      </c>
      <c r="I14" s="873">
        <v>0</v>
      </c>
      <c r="J14" s="873">
        <v>0</v>
      </c>
      <c r="K14" s="873">
        <v>0</v>
      </c>
      <c r="L14" s="873">
        <v>0</v>
      </c>
      <c r="M14" s="873">
        <v>0</v>
      </c>
    </row>
    <row r="15" spans="1:13" ht="19.5" customHeight="1">
      <c r="A15" s="816" t="s">
        <v>3009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555</v>
      </c>
      <c r="B16" s="874"/>
      <c r="C16" s="875"/>
      <c r="D16" s="875"/>
      <c r="E16" s="874"/>
      <c r="F16" s="875"/>
      <c r="G16" s="875"/>
    </row>
    <row r="17" spans="1:9" ht="19.5" customHeight="1">
      <c r="A17" s="816" t="s">
        <v>556</v>
      </c>
      <c r="B17" s="877" t="s">
        <v>557</v>
      </c>
      <c r="C17" s="931" t="s">
        <v>757</v>
      </c>
      <c r="D17" s="878"/>
      <c r="E17" s="816" t="s">
        <v>558</v>
      </c>
      <c r="F17" s="879"/>
      <c r="G17" s="879"/>
    </row>
    <row r="18" spans="1:9" s="885" customFormat="1" ht="19.5" customHeight="1">
      <c r="A18" s="3310" t="s">
        <v>182</v>
      </c>
      <c r="B18" s="880" t="s">
        <v>559</v>
      </c>
      <c r="C18" s="881" t="s">
        <v>560</v>
      </c>
      <c r="D18" s="882"/>
      <c r="E18" s="880">
        <v>1</v>
      </c>
      <c r="F18" s="883" t="s">
        <v>561</v>
      </c>
      <c r="G18" s="884"/>
      <c r="H18" s="876"/>
      <c r="I18" s="876"/>
    </row>
    <row r="19" spans="1:9" s="885" customFormat="1" ht="19.5" customHeight="1">
      <c r="A19" s="3310"/>
      <c r="B19" s="3310" t="s">
        <v>562</v>
      </c>
      <c r="C19" s="881" t="s">
        <v>563</v>
      </c>
      <c r="D19" s="882"/>
      <c r="E19" s="880">
        <v>0.9</v>
      </c>
      <c r="F19" s="883" t="s">
        <v>564</v>
      </c>
      <c r="G19" s="884"/>
      <c r="H19" s="876"/>
      <c r="I19" s="876"/>
    </row>
    <row r="20" spans="1:9" s="885" customFormat="1" ht="19.5" customHeight="1">
      <c r="A20" s="3310"/>
      <c r="B20" s="3310"/>
      <c r="C20" s="881" t="s">
        <v>565</v>
      </c>
      <c r="D20" s="882"/>
      <c r="E20" s="880">
        <v>1.1000000000000001</v>
      </c>
      <c r="F20" s="883" t="s">
        <v>566</v>
      </c>
      <c r="G20" s="884"/>
      <c r="H20" s="876"/>
      <c r="I20" s="876"/>
    </row>
    <row r="21" spans="1:9" s="885" customFormat="1" ht="19.5" customHeight="1">
      <c r="A21" s="3310"/>
      <c r="B21" s="3310"/>
      <c r="C21" s="881" t="s">
        <v>567</v>
      </c>
      <c r="D21" s="882"/>
      <c r="E21" s="880">
        <v>0.8</v>
      </c>
      <c r="F21" s="883" t="s">
        <v>568</v>
      </c>
      <c r="G21" s="884"/>
      <c r="H21" s="876"/>
      <c r="I21" s="876"/>
    </row>
    <row r="22" spans="1:9" s="885" customFormat="1" ht="19.5" customHeight="1">
      <c r="A22" s="3310"/>
      <c r="B22" s="3310"/>
      <c r="C22" s="881" t="s">
        <v>569</v>
      </c>
      <c r="D22" s="882"/>
      <c r="E22" s="880">
        <v>0.5</v>
      </c>
      <c r="F22" s="883"/>
      <c r="G22" s="884"/>
      <c r="H22" s="876"/>
      <c r="I22" s="876"/>
    </row>
    <row r="23" spans="1:9" s="885" customFormat="1" ht="19.5" customHeight="1">
      <c r="A23" s="3310" t="s">
        <v>183</v>
      </c>
      <c r="B23" s="880" t="s">
        <v>559</v>
      </c>
      <c r="C23" s="881" t="s">
        <v>570</v>
      </c>
      <c r="D23" s="882"/>
      <c r="E23" s="880">
        <v>1</v>
      </c>
      <c r="F23" s="883" t="s">
        <v>571</v>
      </c>
      <c r="G23" s="884"/>
      <c r="H23" s="876"/>
      <c r="I23" s="876"/>
    </row>
    <row r="24" spans="1:9" s="885" customFormat="1" ht="19.5" customHeight="1">
      <c r="A24" s="3310"/>
      <c r="B24" s="3310" t="s">
        <v>562</v>
      </c>
      <c r="C24" s="881" t="s">
        <v>572</v>
      </c>
      <c r="D24" s="882"/>
      <c r="E24" s="880">
        <v>0.5</v>
      </c>
      <c r="F24" s="883"/>
      <c r="G24" s="884"/>
      <c r="H24" s="876"/>
      <c r="I24" s="876"/>
    </row>
    <row r="25" spans="1:9" s="885" customFormat="1" ht="19.5" customHeight="1">
      <c r="A25" s="3310"/>
      <c r="B25" s="3310"/>
      <c r="C25" s="881" t="s">
        <v>573</v>
      </c>
      <c r="D25" s="882"/>
      <c r="E25" s="880">
        <v>1.1000000000000001</v>
      </c>
      <c r="F25" s="883"/>
      <c r="G25" s="884"/>
      <c r="H25" s="876"/>
      <c r="I25" s="876"/>
    </row>
    <row r="26" spans="1:9" s="885" customFormat="1" ht="19.5" customHeight="1">
      <c r="A26" s="3310"/>
      <c r="B26" s="3310"/>
      <c r="C26" s="881" t="s">
        <v>574</v>
      </c>
      <c r="D26" s="882"/>
      <c r="E26" s="880">
        <v>1.1000000000000001</v>
      </c>
      <c r="F26" s="883"/>
      <c r="G26" s="884"/>
      <c r="H26" s="876"/>
      <c r="I26" s="876"/>
    </row>
    <row r="27" spans="1:9" s="885" customFormat="1" ht="19.5" customHeight="1">
      <c r="A27" s="3310"/>
      <c r="B27" s="3310"/>
      <c r="C27" s="881" t="s">
        <v>575</v>
      </c>
      <c r="D27" s="882"/>
      <c r="E27" s="880">
        <v>0.9</v>
      </c>
      <c r="F27" s="883" t="s">
        <v>576</v>
      </c>
      <c r="G27" s="884"/>
      <c r="H27" s="876"/>
      <c r="I27" s="876"/>
    </row>
    <row r="28" spans="1:9" s="885" customFormat="1" ht="19.5" customHeight="1">
      <c r="A28" s="3310"/>
      <c r="B28" s="3310"/>
      <c r="C28" s="881" t="s">
        <v>577</v>
      </c>
      <c r="D28" s="882"/>
      <c r="E28" s="880">
        <v>0.9</v>
      </c>
      <c r="F28" s="883" t="s">
        <v>578</v>
      </c>
      <c r="G28" s="884"/>
      <c r="H28" s="876"/>
      <c r="I28" s="876"/>
    </row>
    <row r="29" spans="1:9" s="885" customFormat="1" ht="19.5" customHeight="1">
      <c r="A29" s="3310"/>
      <c r="B29" s="3310"/>
      <c r="C29" s="881" t="s">
        <v>579</v>
      </c>
      <c r="D29" s="882"/>
      <c r="E29" s="880">
        <v>0.9</v>
      </c>
      <c r="F29" s="883" t="s">
        <v>580</v>
      </c>
      <c r="G29" s="884"/>
      <c r="H29" s="876"/>
      <c r="I29" s="876"/>
    </row>
    <row r="30" spans="1:9" s="885" customFormat="1" ht="19.5" customHeight="1">
      <c r="A30" s="3310"/>
      <c r="B30" s="3310"/>
      <c r="C30" s="881" t="s">
        <v>581</v>
      </c>
      <c r="D30" s="882"/>
      <c r="E30" s="880">
        <v>0.9</v>
      </c>
      <c r="F30" s="883" t="s">
        <v>582</v>
      </c>
      <c r="G30" s="884"/>
      <c r="H30" s="876"/>
      <c r="I30" s="876"/>
    </row>
    <row r="31" spans="1:9" s="885" customFormat="1" ht="19.5" customHeight="1">
      <c r="A31" s="3310"/>
      <c r="B31" s="3310"/>
      <c r="C31" s="881" t="s">
        <v>583</v>
      </c>
      <c r="D31" s="882"/>
      <c r="E31" s="880">
        <v>0.8</v>
      </c>
      <c r="F31" s="883" t="s">
        <v>584</v>
      </c>
      <c r="G31" s="884"/>
      <c r="H31" s="876"/>
      <c r="I31" s="876"/>
    </row>
    <row r="32" spans="1:9" s="885" customFormat="1" ht="19.5" customHeight="1">
      <c r="A32" s="3310"/>
      <c r="B32" s="3310"/>
      <c r="C32" s="881" t="s">
        <v>585</v>
      </c>
      <c r="D32" s="882"/>
      <c r="E32" s="880">
        <v>0.8</v>
      </c>
      <c r="F32" s="883" t="s">
        <v>586</v>
      </c>
      <c r="G32" s="884"/>
      <c r="H32" s="876"/>
      <c r="I32" s="876"/>
    </row>
    <row r="33" spans="1:9" s="885" customFormat="1" ht="19.5" customHeight="1">
      <c r="A33" s="3310" t="s">
        <v>184</v>
      </c>
      <c r="B33" s="880" t="s">
        <v>559</v>
      </c>
      <c r="C33" s="881" t="s">
        <v>587</v>
      </c>
      <c r="D33" s="882"/>
      <c r="E33" s="880">
        <v>1</v>
      </c>
      <c r="F33" s="883" t="s">
        <v>588</v>
      </c>
      <c r="G33" s="884"/>
      <c r="H33" s="876"/>
      <c r="I33" s="876"/>
    </row>
    <row r="34" spans="1:9" s="885" customFormat="1" ht="19.5" customHeight="1">
      <c r="A34" s="3310"/>
      <c r="B34" s="880" t="s">
        <v>562</v>
      </c>
      <c r="C34" s="881" t="s">
        <v>589</v>
      </c>
      <c r="D34" s="882"/>
      <c r="E34" s="880">
        <v>1.5</v>
      </c>
      <c r="F34" s="883" t="s">
        <v>590</v>
      </c>
      <c r="G34" s="884"/>
      <c r="H34" s="876"/>
      <c r="I34" s="876"/>
    </row>
    <row r="35" spans="1:9" s="885" customFormat="1" ht="19.5" customHeight="1">
      <c r="A35" s="3310" t="s">
        <v>185</v>
      </c>
      <c r="B35" s="880" t="s">
        <v>559</v>
      </c>
      <c r="C35" s="881" t="s">
        <v>591</v>
      </c>
      <c r="D35" s="882"/>
      <c r="E35" s="880">
        <v>1</v>
      </c>
      <c r="F35" s="883" t="s">
        <v>592</v>
      </c>
      <c r="G35" s="884"/>
      <c r="H35" s="876"/>
      <c r="I35" s="876"/>
    </row>
    <row r="36" spans="1:9" s="885" customFormat="1" ht="19.5" customHeight="1">
      <c r="A36" s="3310"/>
      <c r="B36" s="3310" t="s">
        <v>562</v>
      </c>
      <c r="C36" s="881" t="s">
        <v>593</v>
      </c>
      <c r="D36" s="882"/>
      <c r="E36" s="880">
        <v>1</v>
      </c>
      <c r="F36" s="883" t="s">
        <v>594</v>
      </c>
      <c r="G36" s="884"/>
      <c r="H36" s="876"/>
      <c r="I36" s="876"/>
    </row>
    <row r="37" spans="1:9" s="885" customFormat="1" ht="19.5" customHeight="1">
      <c r="A37" s="3310"/>
      <c r="B37" s="3310"/>
      <c r="C37" s="881" t="s">
        <v>595</v>
      </c>
      <c r="D37" s="882"/>
      <c r="E37" s="880">
        <v>1.5</v>
      </c>
      <c r="F37" s="883" t="s">
        <v>596</v>
      </c>
      <c r="G37" s="884"/>
      <c r="H37" s="876"/>
      <c r="I37" s="876"/>
    </row>
    <row r="38" spans="1:9" s="885" customFormat="1" ht="19.5" customHeight="1">
      <c r="A38" s="3310"/>
      <c r="B38" s="3310"/>
      <c r="C38" s="881" t="s">
        <v>597</v>
      </c>
      <c r="D38" s="882"/>
      <c r="E38" s="880">
        <v>1</v>
      </c>
      <c r="F38" s="883" t="s">
        <v>598</v>
      </c>
      <c r="G38" s="884"/>
      <c r="H38" s="876"/>
      <c r="I38" s="876"/>
    </row>
    <row r="39" spans="1:9" s="885" customFormat="1" ht="19.5" customHeight="1">
      <c r="A39" s="3310"/>
      <c r="B39" s="3310"/>
      <c r="C39" s="881" t="s">
        <v>599</v>
      </c>
      <c r="D39" s="882"/>
      <c r="E39" s="880">
        <v>1</v>
      </c>
      <c r="F39" s="883" t="s">
        <v>600</v>
      </c>
      <c r="G39" s="884"/>
      <c r="H39" s="876"/>
      <c r="I39" s="876"/>
    </row>
    <row r="40" spans="1:9" s="885" customFormat="1" ht="19.5" customHeight="1">
      <c r="A40" s="886" t="s">
        <v>601</v>
      </c>
      <c r="B40" s="886"/>
      <c r="C40" s="886"/>
      <c r="D40" s="886"/>
      <c r="E40" s="886"/>
      <c r="F40" s="887"/>
      <c r="G40" s="887"/>
      <c r="H40" s="876"/>
      <c r="I40" s="876"/>
    </row>
    <row r="42" spans="1:9" ht="19.5" customHeight="1">
      <c r="A42" s="888"/>
      <c r="B42" s="816" t="s">
        <v>602</v>
      </c>
      <c r="C42" s="816" t="s">
        <v>602</v>
      </c>
      <c r="D42" s="816" t="s">
        <v>602</v>
      </c>
      <c r="E42" s="821" t="s">
        <v>602</v>
      </c>
      <c r="F42" s="821" t="s">
        <v>602</v>
      </c>
      <c r="G42" s="821" t="s">
        <v>603</v>
      </c>
      <c r="H42" s="821" t="s">
        <v>602</v>
      </c>
    </row>
    <row r="43" spans="1:9" ht="19.5" customHeight="1">
      <c r="A43" s="889"/>
      <c r="B43" s="821" t="s">
        <v>182</v>
      </c>
      <c r="C43" s="821" t="s">
        <v>182</v>
      </c>
      <c r="D43" s="821" t="s">
        <v>182</v>
      </c>
      <c r="E43" s="821" t="s">
        <v>182</v>
      </c>
      <c r="F43" s="816" t="s">
        <v>183</v>
      </c>
      <c r="G43" s="816" t="s">
        <v>185</v>
      </c>
      <c r="H43" s="816" t="s">
        <v>604</v>
      </c>
    </row>
    <row r="44" spans="1:9" ht="19.5" customHeight="1">
      <c r="A44" s="890"/>
      <c r="B44" s="816">
        <v>1</v>
      </c>
      <c r="C44" s="816">
        <v>2</v>
      </c>
      <c r="D44" s="816">
        <v>3</v>
      </c>
      <c r="E44" s="821">
        <v>4</v>
      </c>
      <c r="F44" s="878" t="s">
        <v>605</v>
      </c>
      <c r="G44" s="878" t="s">
        <v>605</v>
      </c>
      <c r="H44" s="878" t="s">
        <v>605</v>
      </c>
    </row>
    <row r="45" spans="1:9" ht="19.5" customHeight="1">
      <c r="A45" s="891" t="s">
        <v>156</v>
      </c>
      <c r="B45" s="816">
        <v>0.8</v>
      </c>
      <c r="C45" s="816">
        <v>0.5</v>
      </c>
      <c r="D45" s="816">
        <v>0.36</v>
      </c>
      <c r="E45" s="816">
        <v>0.3</v>
      </c>
      <c r="F45" s="878">
        <v>0.3</v>
      </c>
      <c r="G45" s="816">
        <v>0.3</v>
      </c>
      <c r="H45" s="816">
        <v>0.25</v>
      </c>
    </row>
    <row r="46" spans="1:9" ht="19.5" customHeight="1">
      <c r="A46" s="891" t="s">
        <v>157</v>
      </c>
      <c r="B46" s="816">
        <v>0.8</v>
      </c>
      <c r="C46" s="816">
        <v>0.5</v>
      </c>
      <c r="D46" s="816">
        <v>0.36</v>
      </c>
      <c r="E46" s="816">
        <v>0.3</v>
      </c>
      <c r="F46" s="816">
        <v>0.3</v>
      </c>
      <c r="G46" s="816">
        <v>0.3</v>
      </c>
      <c r="H46" s="816">
        <v>0.25</v>
      </c>
    </row>
    <row r="47" spans="1:9" ht="19.5" customHeight="1">
      <c r="A47" s="891" t="s">
        <v>158</v>
      </c>
      <c r="B47" s="816">
        <v>0.7</v>
      </c>
      <c r="C47" s="816">
        <v>0.4</v>
      </c>
      <c r="D47" s="816">
        <v>0.28000000000000003</v>
      </c>
      <c r="E47" s="816">
        <v>0.25</v>
      </c>
      <c r="F47" s="816">
        <v>0.25</v>
      </c>
      <c r="G47" s="816">
        <v>0.25</v>
      </c>
      <c r="H47" s="816">
        <v>0.2</v>
      </c>
    </row>
    <row r="48" spans="1:9" ht="19.5" customHeight="1">
      <c r="A48" s="891" t="s">
        <v>159</v>
      </c>
      <c r="B48" s="816">
        <v>0.7</v>
      </c>
      <c r="C48" s="816">
        <v>0.4</v>
      </c>
      <c r="D48" s="816">
        <v>0.28000000000000003</v>
      </c>
      <c r="E48" s="816">
        <v>0.25</v>
      </c>
      <c r="F48" s="816">
        <v>0.25</v>
      </c>
      <c r="G48" s="816">
        <v>0.25</v>
      </c>
      <c r="H48" s="816">
        <v>0.2</v>
      </c>
    </row>
    <row r="49" spans="1:8" s="876" customFormat="1" ht="19.5" customHeight="1">
      <c r="A49" s="891" t="s">
        <v>160</v>
      </c>
      <c r="B49" s="816">
        <v>0.7</v>
      </c>
      <c r="C49" s="816">
        <v>0.4</v>
      </c>
      <c r="D49" s="816">
        <v>0.28000000000000003</v>
      </c>
      <c r="E49" s="816">
        <v>0.25</v>
      </c>
      <c r="F49" s="816">
        <v>0.25</v>
      </c>
      <c r="G49" s="816">
        <v>0.25</v>
      </c>
      <c r="H49" s="816">
        <v>0.2</v>
      </c>
    </row>
    <row r="50" spans="1:8" s="876" customFormat="1" ht="19.5" customHeight="1">
      <c r="A50" s="891" t="s">
        <v>161</v>
      </c>
      <c r="B50" s="816">
        <v>0.7</v>
      </c>
      <c r="C50" s="816">
        <v>0.4</v>
      </c>
      <c r="D50" s="816">
        <v>0.28000000000000003</v>
      </c>
      <c r="E50" s="816">
        <v>0.25</v>
      </c>
      <c r="F50" s="816">
        <v>0.25</v>
      </c>
      <c r="G50" s="816">
        <v>0.25</v>
      </c>
      <c r="H50" s="816">
        <v>0.2</v>
      </c>
    </row>
    <row r="51" spans="1:8" s="876" customFormat="1" ht="19.5" customHeight="1">
      <c r="A51" s="891" t="s">
        <v>162</v>
      </c>
      <c r="B51" s="816">
        <v>0.7</v>
      </c>
      <c r="C51" s="816">
        <v>0.4</v>
      </c>
      <c r="D51" s="816">
        <v>0.28000000000000003</v>
      </c>
      <c r="E51" s="816">
        <v>0.25</v>
      </c>
      <c r="F51" s="816">
        <v>0.25</v>
      </c>
      <c r="G51" s="816">
        <v>0.25</v>
      </c>
      <c r="H51" s="816">
        <v>0.2</v>
      </c>
    </row>
    <row r="52" spans="1:8" s="876" customFormat="1" ht="19.5" customHeight="1">
      <c r="A52" s="891" t="s">
        <v>163</v>
      </c>
      <c r="B52" s="816">
        <v>0.6</v>
      </c>
      <c r="C52" s="816">
        <v>0.3</v>
      </c>
      <c r="D52" s="816">
        <v>0.2</v>
      </c>
      <c r="E52" s="816">
        <v>0.2</v>
      </c>
      <c r="F52" s="816">
        <v>0.2</v>
      </c>
      <c r="G52" s="816">
        <v>0.2</v>
      </c>
      <c r="H52" s="816">
        <v>0.15</v>
      </c>
    </row>
    <row r="53" spans="1:8" s="876" customFormat="1" ht="19.5" customHeight="1">
      <c r="A53" s="891" t="s">
        <v>164</v>
      </c>
      <c r="B53" s="816">
        <v>0.6</v>
      </c>
      <c r="C53" s="816">
        <v>0.3</v>
      </c>
      <c r="D53" s="816">
        <v>0.2</v>
      </c>
      <c r="E53" s="816">
        <v>0.2</v>
      </c>
      <c r="F53" s="816">
        <v>0.2</v>
      </c>
      <c r="G53" s="816">
        <v>0.2</v>
      </c>
      <c r="H53" s="816">
        <v>0.15</v>
      </c>
    </row>
    <row r="54" spans="1:8" s="876" customFormat="1" ht="19.5" customHeight="1">
      <c r="A54" s="891" t="s">
        <v>165</v>
      </c>
      <c r="B54" s="816">
        <v>0.6</v>
      </c>
      <c r="C54" s="816">
        <v>0.3</v>
      </c>
      <c r="D54" s="816">
        <v>0.2</v>
      </c>
      <c r="E54" s="816">
        <v>0.2</v>
      </c>
      <c r="F54" s="816">
        <v>0.2</v>
      </c>
      <c r="G54" s="816">
        <v>0.2</v>
      </c>
      <c r="H54" s="816">
        <v>0.15</v>
      </c>
    </row>
    <row r="55" spans="1:8" s="876" customFormat="1" ht="19.5" customHeight="1">
      <c r="A55" s="891" t="s">
        <v>166</v>
      </c>
      <c r="B55" s="816">
        <v>0.6</v>
      </c>
      <c r="C55" s="816">
        <v>0.3</v>
      </c>
      <c r="D55" s="816">
        <v>0.2</v>
      </c>
      <c r="E55" s="816">
        <v>0.2</v>
      </c>
      <c r="F55" s="816">
        <v>0.2</v>
      </c>
      <c r="G55" s="816">
        <v>0.2</v>
      </c>
      <c r="H55" s="816">
        <v>0.15</v>
      </c>
    </row>
    <row r="56" spans="1:8" s="876" customFormat="1" ht="19.5" customHeight="1">
      <c r="A56" s="891" t="s">
        <v>167</v>
      </c>
      <c r="B56" s="816">
        <v>0.6</v>
      </c>
      <c r="C56" s="816">
        <v>0.3</v>
      </c>
      <c r="D56" s="816">
        <v>0.2</v>
      </c>
      <c r="E56" s="816">
        <v>0.2</v>
      </c>
      <c r="F56" s="816">
        <v>0.2</v>
      </c>
      <c r="G56" s="816">
        <v>0.2</v>
      </c>
      <c r="H56" s="816">
        <v>0.15</v>
      </c>
    </row>
    <row r="58" spans="1:8" s="876" customFormat="1" ht="19.5" customHeight="1">
      <c r="A58" s="892"/>
      <c r="B58" s="874"/>
      <c r="C58" s="874"/>
      <c r="D58" s="874" t="s">
        <v>606</v>
      </c>
      <c r="E58" s="874"/>
      <c r="F58" s="874"/>
    </row>
    <row r="59" spans="1:8" s="876" customFormat="1" ht="19.5" customHeight="1">
      <c r="A59" s="880" t="s">
        <v>607</v>
      </c>
      <c r="B59" s="880" t="s">
        <v>608</v>
      </c>
      <c r="C59" s="880" t="s">
        <v>609</v>
      </c>
      <c r="D59" s="880" t="s">
        <v>610</v>
      </c>
      <c r="E59" s="880" t="s">
        <v>611</v>
      </c>
      <c r="F59" s="880" t="s">
        <v>612</v>
      </c>
    </row>
    <row r="60" spans="1:8" ht="13.5">
      <c r="A60" s="938"/>
      <c r="B60" s="938"/>
      <c r="C60" s="938" t="s">
        <v>744</v>
      </c>
      <c r="D60" s="938"/>
      <c r="E60" s="893" t="s">
        <v>1</v>
      </c>
      <c r="F60" s="938" t="s">
        <v>1</v>
      </c>
    </row>
    <row r="61" spans="1:8" s="876" customFormat="1" ht="24">
      <c r="A61" s="880">
        <v>1</v>
      </c>
      <c r="B61" s="3310" t="s">
        <v>613</v>
      </c>
      <c r="C61" s="816" t="s">
        <v>614</v>
      </c>
      <c r="D61" s="816" t="s">
        <v>615</v>
      </c>
      <c r="E61" s="893">
        <v>0.5</v>
      </c>
      <c r="F61" s="880">
        <v>80</v>
      </c>
    </row>
    <row r="62" spans="1:8" s="876" customFormat="1" ht="24">
      <c r="A62" s="880">
        <v>2</v>
      </c>
      <c r="B62" s="3310"/>
      <c r="C62" s="816" t="s">
        <v>616</v>
      </c>
      <c r="D62" s="816" t="s">
        <v>617</v>
      </c>
      <c r="E62" s="893">
        <v>0.5</v>
      </c>
      <c r="F62" s="880">
        <v>80</v>
      </c>
    </row>
    <row r="63" spans="1:8" s="876" customFormat="1" ht="36">
      <c r="A63" s="880">
        <v>3</v>
      </c>
      <c r="B63" s="3310"/>
      <c r="C63" s="816" t="s">
        <v>618</v>
      </c>
      <c r="D63" s="816" t="s">
        <v>619</v>
      </c>
      <c r="E63" s="893">
        <v>0.5</v>
      </c>
      <c r="F63" s="880">
        <v>80</v>
      </c>
    </row>
    <row r="64" spans="1:8" s="876" customFormat="1" ht="36">
      <c r="A64" s="880">
        <v>4</v>
      </c>
      <c r="B64" s="3310"/>
      <c r="C64" s="816" t="s">
        <v>620</v>
      </c>
      <c r="D64" s="816" t="s">
        <v>621</v>
      </c>
      <c r="E64" s="893">
        <v>0.4</v>
      </c>
      <c r="F64" s="880">
        <v>60</v>
      </c>
    </row>
    <row r="65" spans="1:6" s="876" customFormat="1" ht="36">
      <c r="A65" s="880">
        <v>5</v>
      </c>
      <c r="B65" s="3310"/>
      <c r="C65" s="816" t="s">
        <v>622</v>
      </c>
      <c r="D65" s="816" t="s">
        <v>623</v>
      </c>
      <c r="E65" s="893">
        <v>0.2</v>
      </c>
      <c r="F65" s="880">
        <v>30</v>
      </c>
    </row>
    <row r="66" spans="1:6" s="876" customFormat="1" ht="36">
      <c r="A66" s="880">
        <v>6</v>
      </c>
      <c r="B66" s="3310"/>
      <c r="C66" s="816" t="s">
        <v>624</v>
      </c>
      <c r="D66" s="816" t="s">
        <v>625</v>
      </c>
      <c r="E66" s="893">
        <v>0.3</v>
      </c>
      <c r="F66" s="880">
        <v>50</v>
      </c>
    </row>
    <row r="67" spans="1:6" s="876" customFormat="1" ht="36">
      <c r="A67" s="880">
        <v>7</v>
      </c>
      <c r="B67" s="3310"/>
      <c r="C67" s="816" t="s">
        <v>626</v>
      </c>
      <c r="D67" s="816" t="s">
        <v>627</v>
      </c>
      <c r="E67" s="893">
        <v>0.2</v>
      </c>
      <c r="F67" s="880">
        <v>30</v>
      </c>
    </row>
    <row r="68" spans="1:6" s="876" customFormat="1" ht="36">
      <c r="A68" s="880">
        <v>8</v>
      </c>
      <c r="B68" s="3310"/>
      <c r="C68" s="816" t="s">
        <v>628</v>
      </c>
      <c r="D68" s="816" t="s">
        <v>629</v>
      </c>
      <c r="E68" s="893">
        <v>0.2</v>
      </c>
      <c r="F68" s="880">
        <v>30</v>
      </c>
    </row>
    <row r="69" spans="1:6" s="876" customFormat="1" ht="36">
      <c r="A69" s="880">
        <v>9</v>
      </c>
      <c r="B69" s="3310"/>
      <c r="C69" s="816" t="s">
        <v>630</v>
      </c>
      <c r="D69" s="816" t="s">
        <v>631</v>
      </c>
      <c r="E69" s="893">
        <v>0.2</v>
      </c>
      <c r="F69" s="880">
        <v>30</v>
      </c>
    </row>
    <row r="70" spans="1:6" s="876" customFormat="1" ht="48">
      <c r="A70" s="880">
        <v>10</v>
      </c>
      <c r="B70" s="3310"/>
      <c r="C70" s="816" t="s">
        <v>632</v>
      </c>
      <c r="D70" s="816" t="s">
        <v>633</v>
      </c>
      <c r="E70" s="893">
        <v>0.2</v>
      </c>
      <c r="F70" s="880">
        <v>30</v>
      </c>
    </row>
    <row r="71" spans="1:6" s="876" customFormat="1" ht="48">
      <c r="A71" s="880">
        <v>11</v>
      </c>
      <c r="B71" s="3310"/>
      <c r="C71" s="816" t="s">
        <v>634</v>
      </c>
      <c r="D71" s="816" t="s">
        <v>635</v>
      </c>
      <c r="E71" s="893">
        <v>0.2</v>
      </c>
      <c r="F71" s="880">
        <v>30</v>
      </c>
    </row>
    <row r="72" spans="1:6" s="876" customFormat="1" ht="36">
      <c r="A72" s="880">
        <v>12</v>
      </c>
      <c r="B72" s="3310"/>
      <c r="C72" s="816" t="s">
        <v>636</v>
      </c>
      <c r="D72" s="816" t="s">
        <v>637</v>
      </c>
      <c r="E72" s="893">
        <v>0.5</v>
      </c>
      <c r="F72" s="880">
        <v>80</v>
      </c>
    </row>
    <row r="73" spans="1:6" s="876" customFormat="1" ht="24">
      <c r="A73" s="880">
        <v>13</v>
      </c>
      <c r="B73" s="3310"/>
      <c r="C73" s="816" t="s">
        <v>638</v>
      </c>
      <c r="D73" s="816" t="s">
        <v>639</v>
      </c>
      <c r="E73" s="893">
        <v>0.4</v>
      </c>
      <c r="F73" s="880">
        <v>60</v>
      </c>
    </row>
    <row r="74" spans="1:6" s="876" customFormat="1" ht="24">
      <c r="A74" s="880">
        <v>14</v>
      </c>
      <c r="B74" s="3310"/>
      <c r="C74" s="816" t="s">
        <v>640</v>
      </c>
      <c r="D74" s="816" t="s">
        <v>641</v>
      </c>
      <c r="E74" s="893">
        <v>0.2</v>
      </c>
      <c r="F74" s="880">
        <v>30</v>
      </c>
    </row>
    <row r="75" spans="1:6" s="876" customFormat="1" ht="24">
      <c r="A75" s="880">
        <v>15</v>
      </c>
      <c r="B75" s="3310"/>
      <c r="C75" s="816" t="s">
        <v>642</v>
      </c>
      <c r="D75" s="816" t="s">
        <v>643</v>
      </c>
      <c r="E75" s="893">
        <v>0.2</v>
      </c>
      <c r="F75" s="880">
        <v>30</v>
      </c>
    </row>
    <row r="76" spans="1:6" s="876" customFormat="1" ht="24">
      <c r="A76" s="880">
        <v>16</v>
      </c>
      <c r="B76" s="3310" t="s">
        <v>644</v>
      </c>
      <c r="C76" s="816" t="s">
        <v>645</v>
      </c>
      <c r="D76" s="816" t="s">
        <v>646</v>
      </c>
      <c r="E76" s="893">
        <v>0.5</v>
      </c>
      <c r="F76" s="880">
        <v>80</v>
      </c>
    </row>
    <row r="77" spans="1:6" s="876" customFormat="1" ht="24">
      <c r="A77" s="880">
        <v>17</v>
      </c>
      <c r="B77" s="3310"/>
      <c r="C77" s="816" t="s">
        <v>647</v>
      </c>
      <c r="D77" s="816" t="s">
        <v>648</v>
      </c>
      <c r="E77" s="893">
        <v>0.5</v>
      </c>
      <c r="F77" s="880">
        <v>80</v>
      </c>
    </row>
    <row r="78" spans="1:6" s="876" customFormat="1" ht="24">
      <c r="A78" s="880">
        <v>18</v>
      </c>
      <c r="B78" s="3310"/>
      <c r="C78" s="816" t="s">
        <v>649</v>
      </c>
      <c r="D78" s="816" t="s">
        <v>650</v>
      </c>
      <c r="E78" s="893">
        <v>0.2</v>
      </c>
      <c r="F78" s="880">
        <v>30</v>
      </c>
    </row>
    <row r="79" spans="1:6" s="876" customFormat="1" ht="24">
      <c r="A79" s="880">
        <v>19</v>
      </c>
      <c r="B79" s="3310"/>
      <c r="C79" s="816" t="s">
        <v>651</v>
      </c>
      <c r="D79" s="816" t="s">
        <v>652</v>
      </c>
      <c r="E79" s="893">
        <v>0.5</v>
      </c>
      <c r="F79" s="880">
        <v>80</v>
      </c>
    </row>
    <row r="80" spans="1:6" s="876" customFormat="1" ht="36">
      <c r="A80" s="880">
        <v>20</v>
      </c>
      <c r="B80" s="3310"/>
      <c r="C80" s="816" t="s">
        <v>653</v>
      </c>
      <c r="D80" s="816" t="s">
        <v>654</v>
      </c>
      <c r="E80" s="893">
        <v>0.2</v>
      </c>
      <c r="F80" s="880">
        <v>30</v>
      </c>
    </row>
    <row r="81" spans="1:6" s="876" customFormat="1" ht="36">
      <c r="A81" s="880">
        <v>21</v>
      </c>
      <c r="B81" s="3310"/>
      <c r="C81" s="816" t="s">
        <v>655</v>
      </c>
      <c r="D81" s="816" t="s">
        <v>656</v>
      </c>
      <c r="E81" s="893">
        <v>0.2</v>
      </c>
      <c r="F81" s="880">
        <v>30</v>
      </c>
    </row>
    <row r="82" spans="1:6" s="876" customFormat="1" ht="48">
      <c r="A82" s="880">
        <v>22</v>
      </c>
      <c r="B82" s="3310"/>
      <c r="C82" s="816" t="s">
        <v>657</v>
      </c>
      <c r="D82" s="816" t="s">
        <v>658</v>
      </c>
      <c r="E82" s="893">
        <v>0.2</v>
      </c>
      <c r="F82" s="880">
        <v>30</v>
      </c>
    </row>
    <row r="83" spans="1:6" s="876" customFormat="1" ht="48">
      <c r="A83" s="880">
        <v>23</v>
      </c>
      <c r="B83" s="3310"/>
      <c r="C83" s="816" t="s">
        <v>659</v>
      </c>
      <c r="D83" s="816" t="s">
        <v>660</v>
      </c>
      <c r="E83" s="893">
        <v>0.2</v>
      </c>
      <c r="F83" s="880">
        <v>30</v>
      </c>
    </row>
    <row r="84" spans="1:6" s="876" customFormat="1" ht="36">
      <c r="A84" s="880">
        <v>24</v>
      </c>
      <c r="B84" s="3310"/>
      <c r="C84" s="816" t="s">
        <v>661</v>
      </c>
      <c r="D84" s="816" t="s">
        <v>662</v>
      </c>
      <c r="E84" s="893">
        <v>0.2</v>
      </c>
      <c r="F84" s="880">
        <v>30</v>
      </c>
    </row>
    <row r="85" spans="1:6" s="876" customFormat="1" ht="36">
      <c r="A85" s="880">
        <v>25</v>
      </c>
      <c r="B85" s="3310"/>
      <c r="C85" s="816" t="s">
        <v>663</v>
      </c>
      <c r="D85" s="816" t="s">
        <v>664</v>
      </c>
      <c r="E85" s="893">
        <v>0.5</v>
      </c>
      <c r="F85" s="880">
        <v>80</v>
      </c>
    </row>
    <row r="86" spans="1:6" s="876" customFormat="1" ht="36">
      <c r="A86" s="880">
        <v>26</v>
      </c>
      <c r="B86" s="3310"/>
      <c r="C86" s="816" t="s">
        <v>665</v>
      </c>
      <c r="D86" s="816" t="s">
        <v>666</v>
      </c>
      <c r="E86" s="893">
        <v>0.2</v>
      </c>
      <c r="F86" s="880">
        <v>30</v>
      </c>
    </row>
    <row r="87" spans="1:6" s="876" customFormat="1" ht="36">
      <c r="A87" s="880">
        <v>27</v>
      </c>
      <c r="B87" s="3310"/>
      <c r="C87" s="816" t="s">
        <v>667</v>
      </c>
      <c r="D87" s="816" t="s">
        <v>668</v>
      </c>
      <c r="E87" s="893">
        <v>0.2</v>
      </c>
      <c r="F87" s="880">
        <v>30</v>
      </c>
    </row>
    <row r="88" spans="1:6" s="876" customFormat="1" ht="36">
      <c r="A88" s="880">
        <v>28</v>
      </c>
      <c r="B88" s="3310"/>
      <c r="C88" s="816" t="s">
        <v>669</v>
      </c>
      <c r="D88" s="816" t="s">
        <v>670</v>
      </c>
      <c r="E88" s="893">
        <v>0.2</v>
      </c>
      <c r="F88" s="880">
        <v>30</v>
      </c>
    </row>
    <row r="89" spans="1:6" s="876" customFormat="1" ht="24">
      <c r="A89" s="880">
        <v>29</v>
      </c>
      <c r="B89" s="3310"/>
      <c r="C89" s="816" t="s">
        <v>671</v>
      </c>
      <c r="D89" s="816" t="s">
        <v>672</v>
      </c>
      <c r="E89" s="893">
        <v>0.2</v>
      </c>
      <c r="F89" s="880">
        <v>30</v>
      </c>
    </row>
    <row r="90" spans="1:6" s="876" customFormat="1" ht="24">
      <c r="A90" s="880">
        <v>30</v>
      </c>
      <c r="B90" s="3310"/>
      <c r="C90" s="816" t="s">
        <v>673</v>
      </c>
      <c r="D90" s="816" t="s">
        <v>674</v>
      </c>
      <c r="E90" s="893">
        <v>0.2</v>
      </c>
      <c r="F90" s="880">
        <v>30</v>
      </c>
    </row>
    <row r="91" spans="1:6" s="876" customFormat="1" ht="36">
      <c r="A91" s="880">
        <v>31</v>
      </c>
      <c r="B91" s="3310"/>
      <c r="C91" s="816" t="s">
        <v>675</v>
      </c>
      <c r="D91" s="816" t="s">
        <v>676</v>
      </c>
      <c r="E91" s="893">
        <v>0.2</v>
      </c>
      <c r="F91" s="880">
        <v>30</v>
      </c>
    </row>
    <row r="92" spans="1:6" s="876" customFormat="1" ht="24">
      <c r="A92" s="880">
        <v>32</v>
      </c>
      <c r="B92" s="3310" t="s">
        <v>677</v>
      </c>
      <c r="C92" s="880" t="s">
        <v>678</v>
      </c>
      <c r="D92" s="816" t="s">
        <v>679</v>
      </c>
      <c r="E92" s="893">
        <v>0.2</v>
      </c>
      <c r="F92" s="880">
        <v>30</v>
      </c>
    </row>
    <row r="93" spans="1:6" s="876" customFormat="1" ht="36">
      <c r="A93" s="880">
        <v>33</v>
      </c>
      <c r="B93" s="3310"/>
      <c r="C93" s="880" t="s">
        <v>680</v>
      </c>
      <c r="D93" s="816" t="s">
        <v>681</v>
      </c>
      <c r="E93" s="893">
        <v>0.2</v>
      </c>
      <c r="F93" s="880">
        <v>30</v>
      </c>
    </row>
    <row r="94" spans="1:6" s="876" customFormat="1" ht="48">
      <c r="A94" s="880">
        <v>34</v>
      </c>
      <c r="B94" s="3310"/>
      <c r="C94" s="880" t="s">
        <v>682</v>
      </c>
      <c r="D94" s="816" t="s">
        <v>683</v>
      </c>
      <c r="E94" s="893">
        <v>0.2</v>
      </c>
      <c r="F94" s="880">
        <v>30</v>
      </c>
    </row>
    <row r="95" spans="1:6" s="876" customFormat="1" ht="36">
      <c r="A95" s="880">
        <v>35</v>
      </c>
      <c r="B95" s="3310"/>
      <c r="C95" s="880" t="s">
        <v>684</v>
      </c>
      <c r="D95" s="816" t="s">
        <v>685</v>
      </c>
      <c r="E95" s="893">
        <v>0.2</v>
      </c>
      <c r="F95" s="880">
        <v>30</v>
      </c>
    </row>
    <row r="96" spans="1:6" s="876" customFormat="1" ht="48">
      <c r="A96" s="880">
        <v>36</v>
      </c>
      <c r="B96" s="3310"/>
      <c r="C96" s="816" t="s">
        <v>686</v>
      </c>
      <c r="D96" s="816" t="s">
        <v>687</v>
      </c>
      <c r="E96" s="893">
        <v>0.2</v>
      </c>
      <c r="F96" s="880">
        <v>30</v>
      </c>
    </row>
    <row r="97" spans="1:6" s="876" customFormat="1" ht="36">
      <c r="A97" s="880">
        <v>37</v>
      </c>
      <c r="B97" s="3310"/>
      <c r="C97" s="880" t="s">
        <v>688</v>
      </c>
      <c r="D97" s="816" t="s">
        <v>689</v>
      </c>
      <c r="E97" s="893">
        <v>0.2</v>
      </c>
      <c r="F97" s="880">
        <v>30</v>
      </c>
    </row>
    <row r="98" spans="1:6" s="876" customFormat="1" ht="36">
      <c r="A98" s="880">
        <v>38</v>
      </c>
      <c r="B98" s="3310"/>
      <c r="C98" s="880" t="s">
        <v>690</v>
      </c>
      <c r="D98" s="816" t="s">
        <v>691</v>
      </c>
      <c r="E98" s="893">
        <v>0.2</v>
      </c>
      <c r="F98" s="880">
        <v>30</v>
      </c>
    </row>
    <row r="99" spans="1:6" s="876" customFormat="1" ht="36">
      <c r="A99" s="880">
        <v>39</v>
      </c>
      <c r="B99" s="3310" t="s">
        <v>692</v>
      </c>
      <c r="C99" s="880" t="s">
        <v>693</v>
      </c>
      <c r="D99" s="816" t="s">
        <v>694</v>
      </c>
      <c r="E99" s="893">
        <v>0.3</v>
      </c>
      <c r="F99" s="880">
        <v>50</v>
      </c>
    </row>
    <row r="100" spans="1:6" s="876" customFormat="1" ht="24">
      <c r="A100" s="880">
        <v>40</v>
      </c>
      <c r="B100" s="3310"/>
      <c r="C100" s="880" t="s">
        <v>695</v>
      </c>
      <c r="D100" s="816" t="s">
        <v>696</v>
      </c>
      <c r="E100" s="893">
        <v>0.2</v>
      </c>
      <c r="F100" s="880">
        <v>30</v>
      </c>
    </row>
    <row r="101" spans="1:6" s="876" customFormat="1" ht="36">
      <c r="A101" s="880">
        <v>41</v>
      </c>
      <c r="B101" s="3310"/>
      <c r="C101" s="880" t="s">
        <v>697</v>
      </c>
      <c r="D101" s="816" t="s">
        <v>694</v>
      </c>
      <c r="E101" s="893">
        <v>0.2</v>
      </c>
      <c r="F101" s="880">
        <v>30</v>
      </c>
    </row>
    <row r="102" spans="1:6" s="876" customFormat="1" ht="48">
      <c r="A102" s="880">
        <v>42</v>
      </c>
      <c r="B102" s="880" t="s">
        <v>698</v>
      </c>
      <c r="C102" s="816" t="s">
        <v>699</v>
      </c>
      <c r="D102" s="816" t="s">
        <v>700</v>
      </c>
      <c r="E102" s="893">
        <v>0.2</v>
      </c>
      <c r="F102" s="880">
        <v>30</v>
      </c>
    </row>
    <row r="103" spans="1:6" s="876" customFormat="1" ht="24">
      <c r="A103" s="880">
        <v>43</v>
      </c>
      <c r="B103" s="880" t="s">
        <v>701</v>
      </c>
      <c r="C103" s="880" t="s">
        <v>702</v>
      </c>
      <c r="D103" s="816" t="s">
        <v>703</v>
      </c>
      <c r="E103" s="893">
        <v>0.2</v>
      </c>
      <c r="F103" s="880">
        <v>30</v>
      </c>
    </row>
    <row r="104" spans="1:6" s="876" customFormat="1" ht="36">
      <c r="A104" s="880">
        <v>44</v>
      </c>
      <c r="B104" s="880" t="s">
        <v>704</v>
      </c>
      <c r="C104" s="880" t="s">
        <v>705</v>
      </c>
      <c r="D104" s="816" t="s">
        <v>706</v>
      </c>
      <c r="E104" s="893">
        <v>0.2</v>
      </c>
      <c r="F104" s="880">
        <v>30</v>
      </c>
    </row>
    <row r="105" spans="1:6" s="876" customFormat="1" ht="36">
      <c r="A105" s="880">
        <v>45</v>
      </c>
      <c r="B105" s="3310" t="s">
        <v>707</v>
      </c>
      <c r="C105" s="880" t="s">
        <v>708</v>
      </c>
      <c r="D105" s="816" t="s">
        <v>709</v>
      </c>
      <c r="E105" s="893">
        <v>0.2</v>
      </c>
      <c r="F105" s="880">
        <v>30</v>
      </c>
    </row>
    <row r="106" spans="1:6" s="876" customFormat="1" ht="36">
      <c r="A106" s="880">
        <v>46</v>
      </c>
      <c r="B106" s="3310"/>
      <c r="C106" s="880" t="s">
        <v>710</v>
      </c>
      <c r="D106" s="816" t="s">
        <v>711</v>
      </c>
      <c r="E106" s="893">
        <v>0.2</v>
      </c>
      <c r="F106" s="880">
        <v>30</v>
      </c>
    </row>
    <row r="107" spans="1:6" s="876" customFormat="1" ht="36">
      <c r="A107" s="880">
        <v>47</v>
      </c>
      <c r="B107" s="3310" t="s">
        <v>712</v>
      </c>
      <c r="C107" s="880" t="s">
        <v>713</v>
      </c>
      <c r="D107" s="816" t="s">
        <v>714</v>
      </c>
      <c r="E107" s="893">
        <v>0.3</v>
      </c>
      <c r="F107" s="880">
        <v>50</v>
      </c>
    </row>
    <row r="108" spans="1:6" s="876" customFormat="1" ht="36">
      <c r="A108" s="880">
        <v>48</v>
      </c>
      <c r="B108" s="3310"/>
      <c r="C108" s="880" t="s">
        <v>715</v>
      </c>
      <c r="D108" s="816" t="s">
        <v>716</v>
      </c>
      <c r="E108" s="893">
        <v>0.2</v>
      </c>
      <c r="F108" s="880">
        <v>30</v>
      </c>
    </row>
    <row r="109" spans="1:6" s="876" customFormat="1" ht="36">
      <c r="A109" s="880">
        <v>49</v>
      </c>
      <c r="B109" s="880" t="s">
        <v>717</v>
      </c>
      <c r="C109" s="880" t="s">
        <v>718</v>
      </c>
      <c r="D109" s="816" t="s">
        <v>719</v>
      </c>
      <c r="E109" s="893">
        <v>0.2</v>
      </c>
      <c r="F109" s="880">
        <v>30</v>
      </c>
    </row>
    <row r="110" spans="1:6" s="876" customFormat="1" ht="36">
      <c r="A110" s="880">
        <v>50</v>
      </c>
      <c r="B110" s="880" t="s">
        <v>720</v>
      </c>
      <c r="C110" s="880" t="s">
        <v>721</v>
      </c>
      <c r="D110" s="816" t="s">
        <v>722</v>
      </c>
      <c r="E110" s="893">
        <v>0.2</v>
      </c>
      <c r="F110" s="880">
        <v>30</v>
      </c>
    </row>
    <row r="111" spans="1:6" s="876" customFormat="1" ht="36">
      <c r="A111" s="880">
        <v>51</v>
      </c>
      <c r="B111" s="3310" t="s">
        <v>723</v>
      </c>
      <c r="C111" s="880" t="s">
        <v>724</v>
      </c>
      <c r="D111" s="816" t="s">
        <v>725</v>
      </c>
      <c r="E111" s="893">
        <v>0.2</v>
      </c>
      <c r="F111" s="880">
        <v>30</v>
      </c>
    </row>
    <row r="112" spans="1:6" s="876" customFormat="1" ht="24">
      <c r="A112" s="880">
        <v>52</v>
      </c>
      <c r="B112" s="3310"/>
      <c r="C112" s="880" t="s">
        <v>726</v>
      </c>
      <c r="D112" s="816" t="s">
        <v>727</v>
      </c>
      <c r="E112" s="893">
        <v>0.2</v>
      </c>
      <c r="F112" s="880">
        <v>30</v>
      </c>
    </row>
    <row r="113" spans="1:6" s="876" customFormat="1" ht="24">
      <c r="A113" s="880">
        <v>53</v>
      </c>
      <c r="B113" s="3310"/>
      <c r="C113" s="880" t="s">
        <v>728</v>
      </c>
      <c r="D113" s="816" t="s">
        <v>729</v>
      </c>
      <c r="E113" s="893">
        <v>0.2</v>
      </c>
      <c r="F113" s="880">
        <v>30</v>
      </c>
    </row>
    <row r="114" spans="1:6" ht="36">
      <c r="A114" s="880">
        <v>54</v>
      </c>
      <c r="B114" s="880" t="s">
        <v>730</v>
      </c>
      <c r="C114" s="880" t="s">
        <v>731</v>
      </c>
      <c r="D114" s="816" t="s">
        <v>732</v>
      </c>
      <c r="E114" s="893">
        <v>0.2</v>
      </c>
      <c r="F114" s="880">
        <v>30</v>
      </c>
    </row>
    <row r="115" spans="1:6" ht="24">
      <c r="A115" s="880">
        <v>55</v>
      </c>
      <c r="B115" s="880" t="s">
        <v>733</v>
      </c>
      <c r="C115" s="880" t="s">
        <v>734</v>
      </c>
      <c r="D115" s="816" t="s">
        <v>735</v>
      </c>
      <c r="E115" s="893">
        <v>0.2</v>
      </c>
      <c r="F115" s="880">
        <v>30</v>
      </c>
    </row>
    <row r="116" spans="1:6" ht="24">
      <c r="A116" s="880">
        <v>56</v>
      </c>
      <c r="B116" s="3310" t="s">
        <v>736</v>
      </c>
      <c r="C116" s="880" t="s">
        <v>737</v>
      </c>
      <c r="D116" s="816" t="s">
        <v>738</v>
      </c>
      <c r="E116" s="893">
        <v>0.2</v>
      </c>
      <c r="F116" s="880">
        <v>30</v>
      </c>
    </row>
    <row r="117" spans="1:6" ht="36">
      <c r="A117" s="880">
        <v>57</v>
      </c>
      <c r="B117" s="3310"/>
      <c r="C117" s="880" t="s">
        <v>739</v>
      </c>
      <c r="D117" s="816" t="s">
        <v>740</v>
      </c>
      <c r="E117" s="893">
        <v>0.2</v>
      </c>
      <c r="F117" s="880">
        <v>30</v>
      </c>
    </row>
    <row r="118" spans="1:6" ht="36">
      <c r="A118" s="880">
        <v>58</v>
      </c>
      <c r="B118" s="880" t="s">
        <v>741</v>
      </c>
      <c r="C118" s="880" t="s">
        <v>742</v>
      </c>
      <c r="D118" s="816" t="s">
        <v>743</v>
      </c>
      <c r="E118" s="893">
        <v>0.2</v>
      </c>
      <c r="F118" s="880">
        <v>30</v>
      </c>
    </row>
    <row r="119" spans="1:6" ht="13.5">
      <c r="A119" s="880"/>
      <c r="B119" s="880"/>
      <c r="C119" s="880" t="s">
        <v>744</v>
      </c>
      <c r="D119" s="880"/>
      <c r="E119" s="893" t="s">
        <v>554</v>
      </c>
      <c r="F119" s="880"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746</v>
      </c>
      <c r="B1" s="895"/>
      <c r="C1" s="895"/>
      <c r="D1" s="895"/>
      <c r="E1" s="895"/>
      <c r="F1" s="895"/>
      <c r="G1" s="895"/>
      <c r="H1" s="895"/>
      <c r="I1" s="895"/>
      <c r="J1" s="895"/>
      <c r="K1" s="895"/>
      <c r="L1" s="895"/>
      <c r="M1" s="895"/>
      <c r="N1" s="895"/>
    </row>
    <row r="2" spans="1:14">
      <c r="A2" s="897" t="s">
        <v>745</v>
      </c>
      <c r="B2" s="898" t="s">
        <v>156</v>
      </c>
      <c r="C2" s="898" t="s">
        <v>157</v>
      </c>
      <c r="D2" s="898" t="s">
        <v>158</v>
      </c>
      <c r="E2" s="898" t="s">
        <v>159</v>
      </c>
      <c r="F2" s="898" t="s">
        <v>160</v>
      </c>
      <c r="G2" s="898" t="s">
        <v>161</v>
      </c>
      <c r="H2" s="899" t="s">
        <v>162</v>
      </c>
      <c r="I2" s="899" t="s">
        <v>163</v>
      </c>
      <c r="J2" s="900" t="s">
        <v>164</v>
      </c>
      <c r="K2" s="900" t="s">
        <v>165</v>
      </c>
      <c r="L2" s="900" t="s">
        <v>166</v>
      </c>
      <c r="M2" s="900" t="s">
        <v>167</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747</v>
      </c>
      <c r="B103" s="895"/>
      <c r="C103" s="895"/>
      <c r="D103" s="895"/>
      <c r="E103" s="895"/>
      <c r="F103" s="895"/>
      <c r="G103" s="895"/>
      <c r="H103" s="895"/>
      <c r="I103" s="895"/>
      <c r="J103" s="895"/>
      <c r="K103" s="895"/>
      <c r="L103" s="895"/>
      <c r="M103" s="895"/>
      <c r="N103" s="895"/>
    </row>
    <row r="104" spans="1:14" ht="14.25">
      <c r="A104" s="897" t="s">
        <v>745</v>
      </c>
      <c r="B104" s="898" t="s">
        <v>156</v>
      </c>
      <c r="C104" s="898" t="s">
        <v>157</v>
      </c>
      <c r="D104" s="898" t="s">
        <v>158</v>
      </c>
      <c r="E104" s="898" t="s">
        <v>159</v>
      </c>
      <c r="F104" s="898" t="s">
        <v>160</v>
      </c>
      <c r="G104" s="898" t="s">
        <v>161</v>
      </c>
      <c r="H104" s="899" t="s">
        <v>162</v>
      </c>
      <c r="I104" s="899" t="s">
        <v>163</v>
      </c>
      <c r="J104" s="900" t="s">
        <v>164</v>
      </c>
      <c r="K104" s="900" t="s">
        <v>165</v>
      </c>
      <c r="L104" s="900" t="s">
        <v>166</v>
      </c>
      <c r="M104" s="900" t="s">
        <v>167</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748</v>
      </c>
      <c r="B205" s="895"/>
      <c r="C205" s="895"/>
      <c r="D205" s="895"/>
      <c r="E205" s="895"/>
      <c r="F205" s="895"/>
      <c r="G205" s="895"/>
      <c r="H205" s="895"/>
      <c r="I205" s="895"/>
      <c r="J205" s="895"/>
      <c r="K205" s="895"/>
      <c r="L205" s="895"/>
      <c r="M205" s="895"/>
    </row>
    <row r="206" spans="1:13">
      <c r="A206" s="897" t="s">
        <v>745</v>
      </c>
      <c r="B206" s="898" t="s">
        <v>156</v>
      </c>
      <c r="C206" s="898" t="s">
        <v>157</v>
      </c>
      <c r="D206" s="898" t="s">
        <v>158</v>
      </c>
      <c r="E206" s="898" t="s">
        <v>159</v>
      </c>
      <c r="F206" s="898" t="s">
        <v>160</v>
      </c>
      <c r="G206" s="898" t="s">
        <v>161</v>
      </c>
      <c r="H206" s="899" t="s">
        <v>162</v>
      </c>
      <c r="I206" s="899" t="s">
        <v>163</v>
      </c>
      <c r="J206" s="900" t="s">
        <v>164</v>
      </c>
      <c r="K206" s="900" t="s">
        <v>165</v>
      </c>
      <c r="L206" s="900" t="s">
        <v>166</v>
      </c>
      <c r="M206" s="900" t="s">
        <v>167</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749</v>
      </c>
      <c r="B307" s="895"/>
      <c r="C307" s="895"/>
      <c r="D307" s="895"/>
      <c r="E307" s="895"/>
      <c r="F307" s="895"/>
      <c r="G307" s="895"/>
      <c r="H307" s="895"/>
      <c r="I307" s="895"/>
      <c r="J307" s="895"/>
      <c r="K307" s="895"/>
      <c r="L307" s="895"/>
      <c r="M307" s="895"/>
    </row>
    <row r="308" spans="1:13">
      <c r="A308" s="897" t="s">
        <v>745</v>
      </c>
      <c r="B308" s="898" t="s">
        <v>156</v>
      </c>
      <c r="C308" s="898" t="s">
        <v>157</v>
      </c>
      <c r="D308" s="898" t="s">
        <v>158</v>
      </c>
      <c r="E308" s="898" t="s">
        <v>159</v>
      </c>
      <c r="F308" s="898" t="s">
        <v>160</v>
      </c>
      <c r="G308" s="898" t="s">
        <v>161</v>
      </c>
      <c r="H308" s="899" t="s">
        <v>162</v>
      </c>
      <c r="I308" s="899" t="s">
        <v>163</v>
      </c>
      <c r="J308" s="900" t="s">
        <v>164</v>
      </c>
      <c r="K308" s="900" t="s">
        <v>165</v>
      </c>
      <c r="L308" s="900" t="s">
        <v>166</v>
      </c>
      <c r="M308" s="900" t="s">
        <v>167</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8"/>
      <c r="B4" s="3001" t="s">
        <v>1623</v>
      </c>
      <c r="C4" s="3001"/>
      <c r="D4" s="3001"/>
      <c r="E4" s="1958"/>
    </row>
    <row r="5" spans="1:5" ht="16.5" thickTop="1">
      <c r="A5" s="1956"/>
      <c r="B5" s="2999" t="s">
        <v>1615</v>
      </c>
      <c r="C5" s="1959" t="s">
        <v>1616</v>
      </c>
      <c r="D5" s="1038">
        <f ca="1">结果表!H101</f>
        <v>296</v>
      </c>
      <c r="E5" s="1956"/>
    </row>
    <row r="6" spans="1:5" ht="15.75">
      <c r="A6" s="1956"/>
      <c r="B6" s="2999"/>
      <c r="C6" s="1959" t="s">
        <v>1617</v>
      </c>
      <c r="D6" s="1038" t="str">
        <f ca="1">NUMBERSTRING(INT(D5*10000),2)&amp;"元整"</f>
        <v>贰佰玖拾陆万元整</v>
      </c>
      <c r="E6" s="1956"/>
    </row>
    <row r="7" spans="1:5" ht="15.75">
      <c r="A7" s="1956"/>
      <c r="B7" s="3004"/>
      <c r="C7" s="1960" t="s">
        <v>1618</v>
      </c>
      <c r="D7" s="1039">
        <f ca="1">结果表!H102</f>
        <v>13378</v>
      </c>
      <c r="E7" s="1956"/>
    </row>
    <row r="8" spans="1:5" ht="15.75">
      <c r="A8" s="1956"/>
      <c r="B8" s="3005" t="str">
        <f>结果表!E103</f>
        <v>2.估价师知悉的法定优先受偿款</v>
      </c>
      <c r="C8" s="1961" t="s">
        <v>1619</v>
      </c>
      <c r="D8" s="1039">
        <f>结果表!H103</f>
        <v>0</v>
      </c>
      <c r="E8" s="1956"/>
    </row>
    <row r="9" spans="1:5" ht="15.75">
      <c r="A9" s="1956"/>
      <c r="B9" s="3007"/>
      <c r="C9" s="1959" t="s">
        <v>1617</v>
      </c>
      <c r="D9" s="1038" t="str">
        <f>NUMBERSTRING(INT(D8*10000),2)&amp;"元整"</f>
        <v>零元整</v>
      </c>
      <c r="E9" s="1956"/>
    </row>
    <row r="10" spans="1:5" ht="15">
      <c r="A10" s="1956"/>
      <c r="B10" s="1962" t="s">
        <v>1622</v>
      </c>
      <c r="C10" s="1963" t="s">
        <v>1620</v>
      </c>
      <c r="D10" s="1040">
        <f>结果表!H104</f>
        <v>0</v>
      </c>
      <c r="E10" s="1956"/>
    </row>
    <row r="11" spans="1:5" ht="15">
      <c r="A11" s="1956"/>
      <c r="B11" s="1962" t="s">
        <v>1624</v>
      </c>
      <c r="C11" s="1963" t="s">
        <v>1625</v>
      </c>
      <c r="D11" s="1040">
        <f>结果表!H105</f>
        <v>0</v>
      </c>
      <c r="E11" s="1956"/>
    </row>
    <row r="12" spans="1:5" ht="15">
      <c r="A12" s="1956"/>
      <c r="B12" s="1962" t="s">
        <v>1626</v>
      </c>
      <c r="C12" s="1963" t="s">
        <v>1625</v>
      </c>
      <c r="D12" s="1040">
        <f>结果表!H106</f>
        <v>0</v>
      </c>
      <c r="E12" s="1956"/>
    </row>
    <row r="13" spans="1:5" ht="15.75">
      <c r="A13" s="1956"/>
      <c r="B13" s="2998" t="str">
        <f>结果表!E107</f>
        <v>3.房地产抵押价值</v>
      </c>
      <c r="C13" s="1964" t="s">
        <v>1616</v>
      </c>
      <c r="D13" s="1041">
        <f ca="1">结果表!H107</f>
        <v>296</v>
      </c>
      <c r="E13" s="1956"/>
    </row>
    <row r="14" spans="1:5" ht="15.75">
      <c r="A14" s="1956"/>
      <c r="B14" s="2999"/>
      <c r="C14" s="1959" t="s">
        <v>1617</v>
      </c>
      <c r="D14" s="1038" t="str">
        <f ca="1">NUMBERSTRING(INT(D13*10000),2)&amp;"元整"</f>
        <v>贰佰玖拾陆万元整</v>
      </c>
      <c r="E14" s="1956"/>
    </row>
    <row r="15" spans="1:5" ht="15">
      <c r="A15" s="1956"/>
      <c r="B15" s="3004"/>
      <c r="C15" s="1960" t="s">
        <v>1627</v>
      </c>
      <c r="D15" s="1050">
        <f ca="1">结果表!H108</f>
        <v>13378</v>
      </c>
      <c r="E15" s="1956"/>
    </row>
    <row r="16" spans="1:5" ht="15">
      <c r="A16" s="1956"/>
      <c r="B16" s="3005" t="str">
        <f>结果表!E109</f>
        <v>——</v>
      </c>
      <c r="C16" s="1964" t="s">
        <v>1628</v>
      </c>
      <c r="D16" s="1965" t="str">
        <f>结果表!H109</f>
        <v>——</v>
      </c>
      <c r="E16" s="1956"/>
    </row>
    <row r="17" spans="1:5" ht="15.75">
      <c r="A17" s="1956"/>
      <c r="B17" s="3006"/>
      <c r="C17" s="1959" t="s">
        <v>1629</v>
      </c>
      <c r="D17" s="1038" t="e">
        <f>NUMBERSTRING(INT(D16*10000),2)&amp;"元整"</f>
        <v>#VALUE!</v>
      </c>
      <c r="E17" s="1956"/>
    </row>
    <row r="18" spans="1:5" ht="15">
      <c r="A18" s="1956"/>
      <c r="B18" s="3007"/>
      <c r="C18" s="1960" t="s">
        <v>1618</v>
      </c>
      <c r="D18" s="1050" t="str">
        <f>结果表!H110</f>
        <v>——</v>
      </c>
      <c r="E18" s="1956"/>
    </row>
    <row r="19" spans="1:5" ht="15.75">
      <c r="A19" s="1956"/>
      <c r="B19" s="2998" t="str">
        <f>结果表!E111</f>
        <v>——</v>
      </c>
      <c r="C19" s="1964" t="s">
        <v>1616</v>
      </c>
      <c r="D19" s="1039" t="str">
        <f>结果表!H111</f>
        <v>——</v>
      </c>
      <c r="E19" s="1956"/>
    </row>
    <row r="20" spans="1:5" ht="15.75">
      <c r="A20" s="1956"/>
      <c r="B20" s="2999"/>
      <c r="C20" s="1959" t="s">
        <v>1629</v>
      </c>
      <c r="D20" s="1038" t="e">
        <f>NUMBERSTRING(INT(D19*10000),2)&amp;"元整"</f>
        <v>#VALUE!</v>
      </c>
      <c r="E20" s="1956"/>
    </row>
    <row r="21" spans="1:5" ht="15.75" thickBot="1">
      <c r="A21" s="1956"/>
      <c r="B21" s="3000"/>
      <c r="C21" s="1966" t="s">
        <v>1627</v>
      </c>
      <c r="D21" s="1051"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2963</v>
      </c>
    </row>
    <row r="2" spans="1:5" ht="15.75">
      <c r="A2" s="2896" t="s">
        <v>2955</v>
      </c>
      <c r="B2" s="2897" t="e">
        <f ca="1">SUMIF(B6:B13,"&lt;&gt;#ref!",B6:B13)</f>
        <v>#DIV/0!</v>
      </c>
      <c r="C2" s="2896" t="s">
        <v>2956</v>
      </c>
      <c r="D2" s="2896" t="s">
        <v>2957</v>
      </c>
      <c r="E2" s="2897">
        <f ca="1">SUMIF(E6:E13,"&lt;&gt;#ref!",E6:E13)</f>
        <v>0</v>
      </c>
    </row>
    <row r="3" spans="1:5" ht="15.75">
      <c r="A3" s="2896" t="s">
        <v>2958</v>
      </c>
      <c r="B3" s="2897" t="e">
        <f ca="1">ROUND(B2*10000/E2,0)</f>
        <v>#DIV/0!</v>
      </c>
      <c r="C3" s="2896" t="s">
        <v>2964</v>
      </c>
      <c r="D3" s="2898"/>
      <c r="E3" s="2898"/>
    </row>
    <row r="4" spans="1:5" ht="15.75">
      <c r="A4" s="2899"/>
      <c r="B4" s="2898"/>
      <c r="C4" s="2898"/>
      <c r="D4" s="2898"/>
      <c r="E4" s="2898"/>
    </row>
    <row r="5" spans="1:5" ht="28.5">
      <c r="A5" s="2900" t="s">
        <v>2959</v>
      </c>
      <c r="B5" s="2896" t="s">
        <v>2960</v>
      </c>
      <c r="C5" s="2897"/>
      <c r="D5" s="2898"/>
      <c r="E5" s="2896" t="s">
        <v>2961</v>
      </c>
    </row>
    <row r="6" spans="1:5" ht="15.75">
      <c r="A6" s="2901" t="s">
        <v>2962</v>
      </c>
      <c r="B6" s="2897" t="e">
        <f ca="1">SUMIF(INDIRECT("'"&amp;A6&amp;"'"&amp;"!A:A"),"总价",INDIRECT("'"&amp;A6&amp;"'"&amp;"!B:B"))</f>
        <v>#DIV/0!</v>
      </c>
      <c r="C6" s="2896" t="s">
        <v>2956</v>
      </c>
      <c r="D6" s="2898"/>
      <c r="E6" s="2570">
        <f ca="1">SUMIF(INDIRECT("'"&amp;A6&amp;"'"&amp;"!C:C"),"建筑面积",INDIRECT("'"&amp;A6&amp;"'"&amp;"!D:D"))</f>
        <v>0</v>
      </c>
    </row>
    <row r="7" spans="1:5" ht="15.75">
      <c r="A7" s="2901"/>
      <c r="B7" s="2897" t="e">
        <f ca="1">SUMIF(INDIRECT("'"&amp;A7&amp;"'"&amp;"!A:A"),"总价",INDIRECT("'"&amp;A7&amp;"'"&amp;"!B:B"))</f>
        <v>#REF!</v>
      </c>
      <c r="C7" s="2896" t="s">
        <v>2956</v>
      </c>
      <c r="D7" s="2898"/>
      <c r="E7" s="2570" t="e">
        <f t="shared" ref="E7:E13" ca="1" si="0">SUMIF(INDIRECT("'"&amp;A7&amp;"'"&amp;"!C:C"),"建筑面积",INDIRECT("'"&amp;A7&amp;"'"&amp;"!D:D"))</f>
        <v>#REF!</v>
      </c>
    </row>
    <row r="8" spans="1:5" ht="15.75">
      <c r="A8" s="2901"/>
      <c r="B8" s="2897" t="e">
        <f t="shared" ref="B8:B13" ca="1" si="1">SUMIF(INDIRECT("'"&amp;A8&amp;"'"&amp;"!A:A"),"总价",INDIRECT("'"&amp;A8&amp;"'"&amp;"!B:B"))</f>
        <v>#REF!</v>
      </c>
      <c r="C8" s="2896" t="s">
        <v>2956</v>
      </c>
      <c r="D8" s="2898"/>
      <c r="E8" s="2570" t="e">
        <f t="shared" ca="1" si="0"/>
        <v>#REF!</v>
      </c>
    </row>
    <row r="9" spans="1:5" ht="15.75">
      <c r="A9" s="2901"/>
      <c r="B9" s="2897" t="e">
        <f t="shared" ca="1" si="1"/>
        <v>#REF!</v>
      </c>
      <c r="C9" s="2896" t="s">
        <v>2956</v>
      </c>
      <c r="D9" s="2898"/>
      <c r="E9" s="2570" t="e">
        <f t="shared" ca="1" si="0"/>
        <v>#REF!</v>
      </c>
    </row>
    <row r="10" spans="1:5" ht="15.75">
      <c r="A10" s="2901"/>
      <c r="B10" s="2897" t="e">
        <f t="shared" ca="1" si="1"/>
        <v>#REF!</v>
      </c>
      <c r="C10" s="2896" t="s">
        <v>2956</v>
      </c>
      <c r="D10" s="2898"/>
      <c r="E10" s="2570" t="e">
        <f t="shared" ca="1" si="0"/>
        <v>#REF!</v>
      </c>
    </row>
    <row r="11" spans="1:5" ht="15.75">
      <c r="A11" s="2901"/>
      <c r="B11" s="2897" t="e">
        <f t="shared" ca="1" si="1"/>
        <v>#REF!</v>
      </c>
      <c r="C11" s="2896" t="s">
        <v>2956</v>
      </c>
      <c r="D11" s="2898"/>
      <c r="E11" s="2570" t="e">
        <f t="shared" ca="1" si="0"/>
        <v>#REF!</v>
      </c>
    </row>
    <row r="12" spans="1:5" ht="15.75">
      <c r="A12" s="2901"/>
      <c r="B12" s="2897" t="e">
        <f t="shared" ca="1" si="1"/>
        <v>#REF!</v>
      </c>
      <c r="C12" s="2896" t="s">
        <v>2956</v>
      </c>
      <c r="D12" s="2898"/>
      <c r="E12" s="2570" t="e">
        <f t="shared" ca="1" si="0"/>
        <v>#REF!</v>
      </c>
    </row>
    <row r="13" spans="1:5" ht="15.75">
      <c r="A13" s="2901"/>
      <c r="B13" s="2897" t="e">
        <f t="shared" ca="1" si="1"/>
        <v>#REF!</v>
      </c>
      <c r="C13" s="2896" t="s">
        <v>2956</v>
      </c>
      <c r="D13" s="2898"/>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6" t="s">
        <v>1144</v>
      </c>
      <c r="C1" s="3316"/>
      <c r="D1" s="3316"/>
      <c r="E1" s="3316"/>
      <c r="F1" s="3316"/>
      <c r="G1" s="3312" t="s">
        <v>1145</v>
      </c>
      <c r="H1" s="3312"/>
      <c r="I1" s="3312"/>
      <c r="J1" s="3312"/>
      <c r="K1" s="3312"/>
      <c r="L1" s="3312"/>
      <c r="N1" s="3312" t="s">
        <v>1146</v>
      </c>
      <c r="O1" s="3312"/>
      <c r="P1" s="3312"/>
      <c r="Q1" s="3312"/>
      <c r="R1" s="1444"/>
      <c r="S1" s="3312" t="s">
        <v>1147</v>
      </c>
      <c r="T1" s="3312"/>
      <c r="U1" s="3312"/>
      <c r="V1" s="3312"/>
      <c r="X1" s="3311" t="s">
        <v>1148</v>
      </c>
      <c r="Y1" s="3312"/>
      <c r="Z1" s="3312"/>
      <c r="AA1" s="3312"/>
      <c r="AB1" s="3312"/>
      <c r="AD1" s="3311" t="s">
        <v>1149</v>
      </c>
      <c r="AE1" s="3312"/>
      <c r="AF1" s="3312"/>
      <c r="AG1" s="3312"/>
      <c r="AH1" s="3312"/>
    </row>
    <row r="2" spans="1:34" s="1445" customFormat="1" ht="14.25" thickBot="1">
      <c r="B2" s="1446" t="s">
        <v>1150</v>
      </c>
      <c r="C2" s="1446" t="s">
        <v>1151</v>
      </c>
      <c r="D2" s="1447" t="s">
        <v>1152</v>
      </c>
      <c r="E2" s="1447" t="s">
        <v>1153</v>
      </c>
      <c r="F2" s="1446" t="s">
        <v>1154</v>
      </c>
      <c r="G2" s="1448"/>
      <c r="H2" s="1449"/>
      <c r="I2" s="1446" t="s">
        <v>1150</v>
      </c>
      <c r="J2" s="1447" t="s">
        <v>1378</v>
      </c>
      <c r="K2" s="1447" t="s">
        <v>750</v>
      </c>
      <c r="L2" s="1446" t="s">
        <v>1154</v>
      </c>
      <c r="N2" s="1446" t="s">
        <v>1150</v>
      </c>
      <c r="O2" s="1447" t="s">
        <v>1378</v>
      </c>
      <c r="P2" s="1447" t="s">
        <v>750</v>
      </c>
      <c r="Q2" s="1446" t="s">
        <v>1154</v>
      </c>
      <c r="R2" s="1450"/>
      <c r="S2" s="1446" t="s">
        <v>1150</v>
      </c>
      <c r="T2" s="1447" t="s">
        <v>1378</v>
      </c>
      <c r="U2" s="1447" t="s">
        <v>750</v>
      </c>
      <c r="V2" s="1446" t="s">
        <v>1154</v>
      </c>
      <c r="X2" s="1446" t="s">
        <v>1150</v>
      </c>
      <c r="Y2" s="1446" t="s">
        <v>1151</v>
      </c>
      <c r="Z2" s="1447" t="s">
        <v>1152</v>
      </c>
      <c r="AA2" s="1447" t="s">
        <v>1153</v>
      </c>
      <c r="AB2" s="1446" t="s">
        <v>1154</v>
      </c>
      <c r="AD2" s="1446" t="s">
        <v>1150</v>
      </c>
      <c r="AE2" s="1446" t="s">
        <v>1151</v>
      </c>
      <c r="AF2" s="1447" t="s">
        <v>1152</v>
      </c>
      <c r="AG2" s="1447" t="s">
        <v>1153</v>
      </c>
      <c r="AH2" s="1446" t="s">
        <v>1154</v>
      </c>
    </row>
    <row r="3" spans="1:34" s="2912" customFormat="1" ht="14.25">
      <c r="A3" s="2921" t="s">
        <v>2998</v>
      </c>
      <c r="B3" s="2913"/>
      <c r="C3" s="2913"/>
      <c r="D3" s="2914"/>
      <c r="E3" s="2914"/>
      <c r="F3" s="2913"/>
      <c r="G3" s="2915"/>
      <c r="H3" s="2916"/>
      <c r="I3" s="2917">
        <f>ROUND(AVERAGE($I4:$I29),2)</f>
        <v>1.9</v>
      </c>
      <c r="J3" s="2917">
        <f>ROUND(AVERAGE($J4:$J29),2)</f>
        <v>1.35</v>
      </c>
      <c r="K3" s="2917">
        <f>ROUND(AVERAGE($K4:$K29),2)</f>
        <v>2.08</v>
      </c>
      <c r="L3" s="2917">
        <f>ROUND(AVERAGE($L4:$L29),2)</f>
        <v>1.33</v>
      </c>
      <c r="N3" s="2915"/>
      <c r="O3" s="2918"/>
      <c r="P3" s="2918"/>
      <c r="Q3" s="2918"/>
      <c r="R3" s="2918"/>
      <c r="S3" s="2915"/>
      <c r="T3" s="2918"/>
      <c r="U3" s="2918"/>
      <c r="V3" s="2918"/>
      <c r="W3" s="2910"/>
      <c r="X3" s="2919">
        <f>ROUND(SUMPRODUCT(PRODUCT(1+N3:N$28)),4)</f>
        <v>1.5516000000000001</v>
      </c>
      <c r="Y3" s="2919">
        <f>ROUND(SUMPRODUCT(PRODUCT(1+O3:O$28)),4)</f>
        <v>1.3649</v>
      </c>
      <c r="Z3" s="2919">
        <f t="shared" ref="Z3:Z26" si="0">Y3</f>
        <v>1.3649</v>
      </c>
      <c r="AA3" s="2919">
        <f>ROUND(SUMPRODUCT(PRODUCT(1+P3:P$28)),4)</f>
        <v>1.6133999999999999</v>
      </c>
      <c r="AB3" s="2919">
        <f>ROUND(SUMPRODUCT(PRODUCT(1+Q3:Q$28)),4)</f>
        <v>1.3713</v>
      </c>
      <c r="AD3" s="2920">
        <f>ROUND(AVERAGE(I3:I$29)/100,4)</f>
        <v>1.9E-2</v>
      </c>
      <c r="AE3" s="2920">
        <f>ROUND(AVERAGE(J3:J$29)/100,4)</f>
        <v>1.35E-2</v>
      </c>
      <c r="AF3" s="2920">
        <f t="shared" ref="AF3:AF27" si="1">AE3</f>
        <v>1.35E-2</v>
      </c>
      <c r="AG3" s="2920">
        <f>ROUND(AVERAGE(K3:K$29)/100,4)</f>
        <v>2.0799999999999999E-2</v>
      </c>
      <c r="AH3" s="2920">
        <f>ROUND(AVERAGE(L3:L$29)/100,4)</f>
        <v>1.3299999999999999E-2</v>
      </c>
    </row>
    <row r="4" spans="1:34" s="1451" customFormat="1" ht="14.25">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3017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6">
        <v>2020</v>
      </c>
      <c r="H5" s="1728">
        <v>1</v>
      </c>
      <c r="I5" s="2908">
        <v>0</v>
      </c>
      <c r="J5" s="2908">
        <v>0</v>
      </c>
      <c r="K5" s="2908">
        <v>0</v>
      </c>
      <c r="L5" s="2908">
        <v>0</v>
      </c>
      <c r="N5" s="1465">
        <f t="shared" ref="N5" si="7">I5/100</f>
        <v>0</v>
      </c>
      <c r="O5" s="1465">
        <f t="shared" ref="O5" si="8">J5/100</f>
        <v>0</v>
      </c>
      <c r="P5" s="1465">
        <f t="shared" ref="P5" si="9">K5/100</f>
        <v>0</v>
      </c>
      <c r="Q5" s="1465">
        <f t="shared" ref="Q5" si="10">L5/100</f>
        <v>0</v>
      </c>
      <c r="R5" s="1730"/>
      <c r="S5" s="1731"/>
      <c r="T5" s="1730"/>
      <c r="U5" s="1730"/>
      <c r="V5" s="1730"/>
      <c r="W5" s="2911" t="s">
        <v>2999</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3016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6">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4" customFormat="1" ht="13.5" thickBot="1">
      <c r="A7" s="1459" t="s">
        <v>3012</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45">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3010</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1">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5" thickBot="1">
      <c r="A9" s="1459" t="s">
        <v>3008</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25">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3011</v>
      </c>
      <c r="B10" s="2942">
        <f t="shared" ref="B10" si="57">B11*(1+N10)</f>
        <v>464.37293017158942</v>
      </c>
      <c r="C10" s="2942">
        <f t="shared" ref="C10" si="58">C11*(1+O10)</f>
        <v>344.73679941385956</v>
      </c>
      <c r="D10" s="2942">
        <f t="shared" ref="D10" si="59">C10</f>
        <v>344.73679941385956</v>
      </c>
      <c r="E10" s="2942">
        <f t="shared" ref="E10" si="60">E11*(1+P10)</f>
        <v>663.2377795103107</v>
      </c>
      <c r="F10" s="2943">
        <f t="shared" ref="F10" si="61">F11*(1+Q10)</f>
        <v>304.75936311478398</v>
      </c>
      <c r="G10" s="3314">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5" customHeight="1">
      <c r="A11" s="1459" t="s">
        <v>3005</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14"/>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5" customHeight="1">
      <c r="A12" s="1459" t="s">
        <v>3004</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14"/>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2997</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21"/>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2994</v>
      </c>
      <c r="B14" s="1467">
        <v>439</v>
      </c>
      <c r="C14" s="1467">
        <v>327</v>
      </c>
      <c r="D14" s="1467">
        <f>C14</f>
        <v>327</v>
      </c>
      <c r="E14" s="1467">
        <v>627</v>
      </c>
      <c r="F14" s="1468">
        <v>283</v>
      </c>
      <c r="G14" s="3317">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2995</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14"/>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59" t="s">
        <v>1379</v>
      </c>
      <c r="B16" s="1475">
        <f t="shared" si="105"/>
        <v>419.31181600000002</v>
      </c>
      <c r="C16" s="1475">
        <f t="shared" si="106"/>
        <v>313.95436800000004</v>
      </c>
      <c r="D16" s="1475">
        <f t="shared" si="107"/>
        <v>313.95436800000004</v>
      </c>
      <c r="E16" s="1475">
        <f t="shared" si="108"/>
        <v>596.63028431999999</v>
      </c>
      <c r="F16" s="1475">
        <f t="shared" si="109"/>
        <v>274.74220703999998</v>
      </c>
      <c r="G16" s="3314"/>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1155</v>
      </c>
      <c r="B17" s="1475">
        <f>B18*(1+N17)</f>
        <v>405.524</v>
      </c>
      <c r="C17" s="1475">
        <f>C18*(1+O17)</f>
        <v>307.79840000000002</v>
      </c>
      <c r="D17" s="1475">
        <f>C17</f>
        <v>307.79840000000002</v>
      </c>
      <c r="E17" s="1475">
        <f>E18*(1+P17)</f>
        <v>574.67759999999998</v>
      </c>
      <c r="F17" s="1475">
        <f>F18*(1+Q17)</f>
        <v>270.20280000000002</v>
      </c>
      <c r="G17" s="3321"/>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153</v>
      </c>
      <c r="B18" s="1467">
        <v>392</v>
      </c>
      <c r="C18" s="1467">
        <v>302</v>
      </c>
      <c r="D18" s="1467">
        <f>C18</f>
        <v>302</v>
      </c>
      <c r="E18" s="1467">
        <v>553</v>
      </c>
      <c r="F18" s="1468">
        <v>266</v>
      </c>
      <c r="G18" s="3317">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152</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14"/>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142</v>
      </c>
      <c r="B20" s="1475">
        <f t="shared" si="118"/>
        <v>360.06949782209392</v>
      </c>
      <c r="C20" s="1475">
        <f t="shared" si="118"/>
        <v>289.84672674747821</v>
      </c>
      <c r="D20" s="1475">
        <f t="shared" si="119"/>
        <v>289.84672674747821</v>
      </c>
      <c r="E20" s="1475">
        <f t="shared" si="120"/>
        <v>501.06543001181495</v>
      </c>
      <c r="F20" s="1475">
        <f t="shared" si="120"/>
        <v>256.82882500744967</v>
      </c>
      <c r="G20" s="3314"/>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151</v>
      </c>
      <c r="B21" s="1475">
        <f t="shared" si="118"/>
        <v>346.720748986128</v>
      </c>
      <c r="C21" s="1475">
        <f t="shared" si="118"/>
        <v>284.30282172386285</v>
      </c>
      <c r="D21" s="1475">
        <f t="shared" si="119"/>
        <v>284.30282172386285</v>
      </c>
      <c r="E21" s="1475">
        <f t="shared" si="120"/>
        <v>479.58023546306947</v>
      </c>
      <c r="F21" s="1475">
        <f t="shared" si="120"/>
        <v>253.25788877571213</v>
      </c>
      <c r="G21" s="3315"/>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150</v>
      </c>
      <c r="B22" s="1467">
        <v>333</v>
      </c>
      <c r="C22" s="1467">
        <v>277</v>
      </c>
      <c r="D22" s="1467">
        <f t="shared" si="119"/>
        <v>277</v>
      </c>
      <c r="E22" s="1467">
        <v>459</v>
      </c>
      <c r="F22" s="1468">
        <v>249</v>
      </c>
      <c r="G22" s="3313">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149</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14"/>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148</v>
      </c>
      <c r="B24" s="1475">
        <f t="shared" si="122"/>
        <v>322.34053690220776</v>
      </c>
      <c r="C24" s="1475">
        <f t="shared" si="122"/>
        <v>271.46160770422546</v>
      </c>
      <c r="D24" s="1475">
        <f t="shared" si="119"/>
        <v>271.46160770422546</v>
      </c>
      <c r="E24" s="1475">
        <f t="shared" si="123"/>
        <v>442.69434542172456</v>
      </c>
      <c r="F24" s="1475">
        <f t="shared" si="123"/>
        <v>241.34030753190925</v>
      </c>
      <c r="G24" s="3314"/>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147</v>
      </c>
      <c r="B25" s="1475">
        <f t="shared" si="122"/>
        <v>319.87748030386797</v>
      </c>
      <c r="C25" s="1475">
        <f t="shared" si="122"/>
        <v>269.60135833173649</v>
      </c>
      <c r="D25" s="1475">
        <f t="shared" si="119"/>
        <v>269.60135833173649</v>
      </c>
      <c r="E25" s="1475">
        <f t="shared" si="123"/>
        <v>439.18089823583784</v>
      </c>
      <c r="F25" s="1475">
        <f t="shared" si="123"/>
        <v>239.23503918706311</v>
      </c>
      <c r="G25" s="3315"/>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146</v>
      </c>
      <c r="B26" s="1488">
        <v>318</v>
      </c>
      <c r="C26" s="1488">
        <v>268</v>
      </c>
      <c r="D26" s="1488">
        <f t="shared" si="119"/>
        <v>268</v>
      </c>
      <c r="E26" s="1488">
        <v>437</v>
      </c>
      <c r="F26" s="1489">
        <v>237</v>
      </c>
      <c r="G26" s="3313">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145</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14"/>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144</v>
      </c>
      <c r="B28" s="1475">
        <f t="shared" si="124"/>
        <v>314.72141172386546</v>
      </c>
      <c r="C28" s="1475">
        <f t="shared" si="124"/>
        <v>263.03901319069001</v>
      </c>
      <c r="D28" s="1475">
        <f t="shared" si="119"/>
        <v>263.03901319069001</v>
      </c>
      <c r="E28" s="1475">
        <f t="shared" si="125"/>
        <v>433.65745506782821</v>
      </c>
      <c r="F28" s="1475">
        <f t="shared" si="125"/>
        <v>233.23005080045735</v>
      </c>
      <c r="G28" s="3314"/>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143</v>
      </c>
      <c r="B29" s="1493">
        <f t="shared" si="124"/>
        <v>307.34512863658733</v>
      </c>
      <c r="C29" s="1493">
        <f t="shared" si="124"/>
        <v>257.80556031626975</v>
      </c>
      <c r="D29" s="1493">
        <f t="shared" si="119"/>
        <v>257.80556031626975</v>
      </c>
      <c r="E29" s="1493">
        <f t="shared" si="125"/>
        <v>422.70928459677179</v>
      </c>
      <c r="F29" s="1493">
        <f t="shared" si="125"/>
        <v>229.73803270336617</v>
      </c>
      <c r="G29" s="3315"/>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1156</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59" t="s">
        <v>1157</v>
      </c>
      <c r="B30" s="1467">
        <v>299</v>
      </c>
      <c r="C30" s="1467">
        <v>252</v>
      </c>
      <c r="D30" s="1467">
        <f t="shared" si="119"/>
        <v>252</v>
      </c>
      <c r="E30" s="1467">
        <v>409</v>
      </c>
      <c r="F30" s="1468">
        <v>227</v>
      </c>
      <c r="G30" s="3318">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1158</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19"/>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1159</v>
      </c>
      <c r="B32" s="1475">
        <f t="shared" si="128"/>
        <v>288.2649053828776</v>
      </c>
      <c r="C32" s="1475">
        <f t="shared" si="128"/>
        <v>243.64564425013293</v>
      </c>
      <c r="D32" s="1475">
        <f t="shared" si="119"/>
        <v>243.64564425013293</v>
      </c>
      <c r="E32" s="1475">
        <f t="shared" si="129"/>
        <v>393.31080825986544</v>
      </c>
      <c r="F32" s="1475">
        <f t="shared" si="129"/>
        <v>223.07903790551154</v>
      </c>
      <c r="G32" s="3319"/>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1160</v>
      </c>
      <c r="B33" s="1475">
        <f t="shared" si="128"/>
        <v>282.50186729015837</v>
      </c>
      <c r="C33" s="1475">
        <f t="shared" si="128"/>
        <v>238.09796174155468</v>
      </c>
      <c r="D33" s="1475">
        <f t="shared" si="119"/>
        <v>238.09796174155468</v>
      </c>
      <c r="E33" s="1475">
        <f t="shared" si="129"/>
        <v>385.33438646014054</v>
      </c>
      <c r="F33" s="1475">
        <f t="shared" si="129"/>
        <v>221.55034055567739</v>
      </c>
      <c r="G33" s="3320"/>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1161</v>
      </c>
      <c r="B34" s="1509">
        <v>278</v>
      </c>
      <c r="C34" s="1509">
        <v>234</v>
      </c>
      <c r="D34" s="1509">
        <f t="shared" si="119"/>
        <v>234</v>
      </c>
      <c r="E34" s="1509">
        <v>379</v>
      </c>
      <c r="F34" s="1510">
        <v>220</v>
      </c>
      <c r="G34" s="3313">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1162</v>
      </c>
      <c r="B35" s="1475">
        <f>B34/(1+N34)</f>
        <v>275.49301357645425</v>
      </c>
      <c r="C35" s="1475">
        <f>C34/(1+O34)</f>
        <v>232.41954707985698</v>
      </c>
      <c r="D35" s="1475">
        <f t="shared" si="119"/>
        <v>232.41954707985698</v>
      </c>
      <c r="E35" s="1475">
        <f t="shared" ref="E35:F37" si="130">E34/(1+P34)</f>
        <v>375.32184591008121</v>
      </c>
      <c r="F35" s="1475">
        <f t="shared" si="130"/>
        <v>218.03766105054513</v>
      </c>
      <c r="G35" s="3314"/>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1163</v>
      </c>
      <c r="B36" s="1475">
        <f>B35/(1+N35)</f>
        <v>275.24529281292263</v>
      </c>
      <c r="C36" s="1475">
        <f>C35/(1+O35)</f>
        <v>231.74747938962707</v>
      </c>
      <c r="D36" s="1475">
        <f t="shared" si="119"/>
        <v>231.74747938962707</v>
      </c>
      <c r="E36" s="1475">
        <f t="shared" si="130"/>
        <v>375.35938184826603</v>
      </c>
      <c r="F36" s="1475">
        <f t="shared" si="130"/>
        <v>216.78033510692495</v>
      </c>
      <c r="G36" s="3314"/>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1164</v>
      </c>
      <c r="B37" s="1475">
        <f>B36/(1+N36)</f>
        <v>275.19025476197027</v>
      </c>
      <c r="C37" s="1511">
        <v>232</v>
      </c>
      <c r="D37" s="1511">
        <f t="shared" si="119"/>
        <v>232</v>
      </c>
      <c r="E37" s="1475">
        <f t="shared" si="130"/>
        <v>375.65990977608692</v>
      </c>
      <c r="F37" s="1475">
        <f t="shared" si="130"/>
        <v>214.12518283971252</v>
      </c>
      <c r="G37" s="3315"/>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1165</v>
      </c>
      <c r="B38" s="1467">
        <v>275</v>
      </c>
      <c r="C38" s="1467">
        <v>232</v>
      </c>
      <c r="D38" s="1467">
        <f t="shared" si="119"/>
        <v>232</v>
      </c>
      <c r="E38" s="1467">
        <v>376</v>
      </c>
      <c r="F38" s="1468">
        <v>213</v>
      </c>
      <c r="G38" s="3313">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1166</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14">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1167</v>
      </c>
      <c r="B40" s="1475">
        <f t="shared" si="131"/>
        <v>275.19335084830601</v>
      </c>
      <c r="C40" s="1475">
        <f t="shared" si="131"/>
        <v>230.18088050139744</v>
      </c>
      <c r="D40" s="1475">
        <f t="shared" si="119"/>
        <v>230.18088050139744</v>
      </c>
      <c r="E40" s="1475">
        <f t="shared" si="132"/>
        <v>377.58482925212331</v>
      </c>
      <c r="F40" s="1475">
        <f t="shared" si="132"/>
        <v>210.90687997847917</v>
      </c>
      <c r="G40" s="3314">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1168</v>
      </c>
      <c r="B41" s="1475">
        <f t="shared" si="131"/>
        <v>276.29854502841971</v>
      </c>
      <c r="C41" s="1475">
        <f t="shared" si="131"/>
        <v>229.79023709833027</v>
      </c>
      <c r="D41" s="1475">
        <f t="shared" si="119"/>
        <v>229.79023709833027</v>
      </c>
      <c r="E41" s="1475">
        <f t="shared" si="132"/>
        <v>379.78759731655936</v>
      </c>
      <c r="F41" s="1475">
        <f t="shared" si="132"/>
        <v>211.32953905659235</v>
      </c>
      <c r="G41" s="3315">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1169</v>
      </c>
      <c r="B42" s="1467">
        <v>269</v>
      </c>
      <c r="C42" s="1467">
        <v>221</v>
      </c>
      <c r="D42" s="1467">
        <f t="shared" si="119"/>
        <v>221</v>
      </c>
      <c r="E42" s="1467">
        <v>373</v>
      </c>
      <c r="F42" s="1468">
        <v>196</v>
      </c>
      <c r="G42" s="3313">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1170</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14">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1171</v>
      </c>
      <c r="B44" s="1475">
        <f t="shared" si="133"/>
        <v>242.95398227588385</v>
      </c>
      <c r="C44" s="1475">
        <f t="shared" si="133"/>
        <v>199.59137053614126</v>
      </c>
      <c r="D44" s="1475">
        <f t="shared" si="119"/>
        <v>199.59137053614126</v>
      </c>
      <c r="E44" s="1475">
        <f t="shared" si="134"/>
        <v>335.92189522342125</v>
      </c>
      <c r="F44" s="1475">
        <f t="shared" si="134"/>
        <v>183.10139991109489</v>
      </c>
      <c r="G44" s="3314">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1172</v>
      </c>
      <c r="B45" s="1475">
        <f t="shared" si="133"/>
        <v>232.06990378821649</v>
      </c>
      <c r="C45" s="1475">
        <f t="shared" si="133"/>
        <v>192.74878854286936</v>
      </c>
      <c r="D45" s="1475">
        <f t="shared" si="119"/>
        <v>192.74878854286936</v>
      </c>
      <c r="E45" s="1475">
        <f t="shared" si="134"/>
        <v>319.71247284992984</v>
      </c>
      <c r="F45" s="1475">
        <f t="shared" si="134"/>
        <v>175.67053622862409</v>
      </c>
      <c r="G45" s="3315">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1173</v>
      </c>
      <c r="B46" s="1467">
        <v>220</v>
      </c>
      <c r="C46" s="1467">
        <v>187</v>
      </c>
      <c r="D46" s="1467">
        <f t="shared" si="119"/>
        <v>187</v>
      </c>
      <c r="E46" s="1467">
        <v>301</v>
      </c>
      <c r="F46" s="1468">
        <v>168</v>
      </c>
      <c r="G46" s="3313">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1174</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14">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1175</v>
      </c>
      <c r="B48" s="1475">
        <f t="shared" si="135"/>
        <v>210.630522469011</v>
      </c>
      <c r="C48" s="1475">
        <f t="shared" si="135"/>
        <v>181.69567812247232</v>
      </c>
      <c r="D48" s="1475">
        <f t="shared" si="119"/>
        <v>181.69567812247232</v>
      </c>
      <c r="E48" s="1475">
        <f t="shared" si="136"/>
        <v>286.13517466736738</v>
      </c>
      <c r="F48" s="1475">
        <f t="shared" si="136"/>
        <v>165.47535084591149</v>
      </c>
      <c r="G48" s="3314">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1176</v>
      </c>
      <c r="B49" s="1475">
        <f t="shared" si="135"/>
        <v>208.83454537875372</v>
      </c>
      <c r="C49" s="1475">
        <f t="shared" si="135"/>
        <v>183.77230517090351</v>
      </c>
      <c r="D49" s="1475">
        <f t="shared" si="119"/>
        <v>183.77230517090351</v>
      </c>
      <c r="E49" s="1475">
        <f t="shared" si="136"/>
        <v>281.10342338870947</v>
      </c>
      <c r="F49" s="1475">
        <f t="shared" si="136"/>
        <v>168.97309388942256</v>
      </c>
      <c r="G49" s="3315">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1177</v>
      </c>
      <c r="B50" s="1509">
        <v>214</v>
      </c>
      <c r="C50" s="1509">
        <v>188</v>
      </c>
      <c r="D50" s="1509">
        <f t="shared" si="119"/>
        <v>188</v>
      </c>
      <c r="E50" s="1509">
        <v>289</v>
      </c>
      <c r="F50" s="1510">
        <v>166</v>
      </c>
      <c r="G50" s="3313">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1178</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14">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1179</v>
      </c>
      <c r="B52" s="1475">
        <f t="shared" si="137"/>
        <v>206.31694671589116</v>
      </c>
      <c r="C52" s="1475">
        <f t="shared" si="137"/>
        <v>183.61041121036101</v>
      </c>
      <c r="D52" s="1475">
        <f t="shared" si="119"/>
        <v>183.61041121036101</v>
      </c>
      <c r="E52" s="1475">
        <f t="shared" si="138"/>
        <v>276.66850301795557</v>
      </c>
      <c r="F52" s="1475">
        <f t="shared" si="138"/>
        <v>165.1360938278614</v>
      </c>
      <c r="G52" s="3314">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1180</v>
      </c>
      <c r="B53" s="1512">
        <f t="shared" si="137"/>
        <v>196.62341248059772</v>
      </c>
      <c r="C53" s="1512">
        <f t="shared" si="137"/>
        <v>170.99125648199012</v>
      </c>
      <c r="D53" s="1512">
        <f t="shared" si="119"/>
        <v>170.99125648199012</v>
      </c>
      <c r="E53" s="1512">
        <f t="shared" si="138"/>
        <v>266.07857570490052</v>
      </c>
      <c r="F53" s="1512">
        <f t="shared" si="138"/>
        <v>154.53499328828505</v>
      </c>
      <c r="G53" s="3315">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1181</v>
      </c>
      <c r="B54" s="1467">
        <v>188</v>
      </c>
      <c r="C54" s="1467">
        <v>165</v>
      </c>
      <c r="D54" s="1467">
        <f t="shared" si="119"/>
        <v>165</v>
      </c>
      <c r="E54" s="1467">
        <v>254</v>
      </c>
      <c r="F54" s="1468">
        <v>148</v>
      </c>
      <c r="G54" s="3313">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1182</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14">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1183</v>
      </c>
      <c r="B56" s="1475">
        <f t="shared" si="141"/>
        <v>168.82017748715555</v>
      </c>
      <c r="C56" s="1475">
        <f t="shared" si="141"/>
        <v>148.06267029972753</v>
      </c>
      <c r="D56" s="1475">
        <f t="shared" si="119"/>
        <v>148.06267029972753</v>
      </c>
      <c r="E56" s="1475">
        <f t="shared" si="142"/>
        <v>216.46288379323747</v>
      </c>
      <c r="F56" s="1475">
        <f t="shared" si="142"/>
        <v>134.23529411764704</v>
      </c>
      <c r="G56" s="3314">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1184</v>
      </c>
      <c r="B57" s="1475">
        <f t="shared" si="141"/>
        <v>163.84913591779542</v>
      </c>
      <c r="C57" s="1475">
        <f t="shared" si="141"/>
        <v>145.0283378746594</v>
      </c>
      <c r="D57" s="1475">
        <f t="shared" si="119"/>
        <v>145.0283378746594</v>
      </c>
      <c r="E57" s="1475">
        <f t="shared" si="142"/>
        <v>204.95180722891567</v>
      </c>
      <c r="F57" s="1475">
        <f t="shared" si="142"/>
        <v>125.95920303605313</v>
      </c>
      <c r="G57" s="3315">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1185</v>
      </c>
      <c r="B58" s="1488">
        <v>159</v>
      </c>
      <c r="C58" s="1488">
        <v>141</v>
      </c>
      <c r="D58" s="1488">
        <f t="shared" si="119"/>
        <v>141</v>
      </c>
      <c r="E58" s="1488">
        <v>195</v>
      </c>
      <c r="F58" s="1489">
        <v>122</v>
      </c>
      <c r="G58" s="3313">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1186</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14">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1187</v>
      </c>
      <c r="B60" s="1475">
        <f t="shared" si="145"/>
        <v>146.57412060301507</v>
      </c>
      <c r="C60" s="1475">
        <f t="shared" si="145"/>
        <v>136.46831955922866</v>
      </c>
      <c r="D60" s="1475">
        <f t="shared" si="119"/>
        <v>136.46831955922866</v>
      </c>
      <c r="E60" s="1475">
        <f t="shared" si="146"/>
        <v>166.73864894795128</v>
      </c>
      <c r="F60" s="1475">
        <f t="shared" si="146"/>
        <v>115.05882352941177</v>
      </c>
      <c r="G60" s="3314">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1188</v>
      </c>
      <c r="B61" s="1475">
        <f t="shared" si="145"/>
        <v>144.04145728643215</v>
      </c>
      <c r="C61" s="1475">
        <f t="shared" si="145"/>
        <v>136.12396694214877</v>
      </c>
      <c r="D61" s="1475">
        <f t="shared" si="119"/>
        <v>136.12396694214877</v>
      </c>
      <c r="E61" s="1475">
        <f t="shared" si="146"/>
        <v>158.32225913621264</v>
      </c>
      <c r="F61" s="1475">
        <f t="shared" si="146"/>
        <v>114.04278074866311</v>
      </c>
      <c r="G61" s="3315">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1189</v>
      </c>
      <c r="B62" s="1488">
        <v>138</v>
      </c>
      <c r="C62" s="1488">
        <v>131</v>
      </c>
      <c r="D62" s="1488">
        <f t="shared" si="119"/>
        <v>131</v>
      </c>
      <c r="E62" s="1488">
        <v>155</v>
      </c>
      <c r="F62" s="1489">
        <v>114</v>
      </c>
      <c r="G62" s="3313">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1190</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14">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1191</v>
      </c>
      <c r="B64" s="1475">
        <f t="shared" si="149"/>
        <v>124.29032258064517</v>
      </c>
      <c r="C64" s="1475">
        <f t="shared" si="149"/>
        <v>123.8968609865471</v>
      </c>
      <c r="D64" s="1475">
        <f t="shared" si="119"/>
        <v>123.8968609865471</v>
      </c>
      <c r="E64" s="1475">
        <f t="shared" si="150"/>
        <v>138.00507614213197</v>
      </c>
      <c r="F64" s="1475">
        <f t="shared" si="150"/>
        <v>107.96106557377048</v>
      </c>
      <c r="G64" s="3314">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1192</v>
      </c>
      <c r="B65" s="1475">
        <f t="shared" si="149"/>
        <v>122.57204301075269</v>
      </c>
      <c r="C65" s="1475">
        <f t="shared" si="149"/>
        <v>123.4932735426009</v>
      </c>
      <c r="D65" s="1475">
        <f t="shared" si="119"/>
        <v>123.4932735426009</v>
      </c>
      <c r="E65" s="1475">
        <f t="shared" si="150"/>
        <v>129.82233502538071</v>
      </c>
      <c r="F65" s="1475">
        <f t="shared" si="150"/>
        <v>107.39446721311475</v>
      </c>
      <c r="G65" s="3315">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1193</v>
      </c>
      <c r="B66" s="1509">
        <v>121</v>
      </c>
      <c r="C66" s="1509">
        <v>122</v>
      </c>
      <c r="D66" s="1509">
        <f t="shared" si="119"/>
        <v>122</v>
      </c>
      <c r="E66" s="1509">
        <v>124</v>
      </c>
      <c r="F66" s="1510">
        <v>107</v>
      </c>
      <c r="G66" s="3313">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1194</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14">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1195</v>
      </c>
      <c r="B68" s="1475">
        <f t="shared" si="153"/>
        <v>116.99099099099099</v>
      </c>
      <c r="C68" s="1475">
        <f t="shared" si="153"/>
        <v>118.84848484848486</v>
      </c>
      <c r="D68" s="1475">
        <f t="shared" si="119"/>
        <v>118.84848484848486</v>
      </c>
      <c r="E68" s="1475">
        <f t="shared" si="154"/>
        <v>117.60960960960961</v>
      </c>
      <c r="F68" s="1475">
        <f t="shared" si="154"/>
        <v>104</v>
      </c>
      <c r="G68" s="3314">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1196</v>
      </c>
      <c r="B69" s="1512">
        <f t="shared" si="153"/>
        <v>112.48648648648648</v>
      </c>
      <c r="C69" s="1512">
        <f t="shared" si="153"/>
        <v>115.21212121212122</v>
      </c>
      <c r="D69" s="1512">
        <f t="shared" si="119"/>
        <v>115.21212121212122</v>
      </c>
      <c r="E69" s="1512">
        <f t="shared" si="154"/>
        <v>110.4024024024024</v>
      </c>
      <c r="F69" s="1512">
        <f t="shared" si="154"/>
        <v>104</v>
      </c>
      <c r="G69" s="3315">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1197</v>
      </c>
      <c r="B70" s="1530">
        <v>111</v>
      </c>
      <c r="C70" s="1530">
        <v>114</v>
      </c>
      <c r="D70" s="1530">
        <f t="shared" si="119"/>
        <v>114</v>
      </c>
      <c r="E70" s="1530">
        <v>108</v>
      </c>
      <c r="F70" s="1531">
        <v>104</v>
      </c>
      <c r="G70" s="3313">
        <v>2003</v>
      </c>
      <c r="H70" s="1520">
        <v>4</v>
      </c>
      <c r="I70" s="1532"/>
      <c r="J70" s="1532"/>
      <c r="K70" s="1532"/>
      <c r="L70" s="1532"/>
      <c r="N70" s="1533"/>
      <c r="O70" s="1532"/>
      <c r="P70" s="1532"/>
      <c r="Q70" s="1532"/>
      <c r="S70" s="1533"/>
      <c r="T70" s="1532"/>
      <c r="U70" s="1532"/>
      <c r="V70" s="1532"/>
      <c r="X70" s="1524"/>
      <c r="Y70" s="1524"/>
      <c r="Z70" s="1524"/>
    </row>
    <row r="71" spans="1:26">
      <c r="A71" s="1459" t="s">
        <v>1198</v>
      </c>
      <c r="B71" s="1534">
        <f t="shared" ref="B71:C73" si="155">B72+(B$70-B$74)/4</f>
        <v>109.75</v>
      </c>
      <c r="C71" s="1534">
        <f t="shared" si="155"/>
        <v>112.25</v>
      </c>
      <c r="D71" s="1534">
        <f t="shared" si="119"/>
        <v>112.25</v>
      </c>
      <c r="E71" s="1534">
        <f t="shared" ref="E71:F73" si="156">E72+(E$70-E$74)/4</f>
        <v>107.25</v>
      </c>
      <c r="F71" s="1534">
        <f t="shared" si="156"/>
        <v>103.5</v>
      </c>
      <c r="G71" s="3314">
        <v>2003</v>
      </c>
      <c r="H71" s="1485">
        <v>3</v>
      </c>
      <c r="I71" s="1532"/>
      <c r="J71" s="1532"/>
      <c r="K71" s="1532"/>
      <c r="L71" s="1532"/>
      <c r="X71" s="1524"/>
      <c r="Y71" s="1524"/>
      <c r="Z71" s="1524"/>
    </row>
    <row r="72" spans="1:26">
      <c r="A72" s="1459" t="s">
        <v>1199</v>
      </c>
      <c r="B72" s="1534">
        <f t="shared" si="155"/>
        <v>108.5</v>
      </c>
      <c r="C72" s="1534">
        <f t="shared" si="155"/>
        <v>110.5</v>
      </c>
      <c r="D72" s="1534">
        <f t="shared" si="119"/>
        <v>110.5</v>
      </c>
      <c r="E72" s="1534">
        <f t="shared" si="156"/>
        <v>106.5</v>
      </c>
      <c r="F72" s="1534">
        <f t="shared" si="156"/>
        <v>103</v>
      </c>
      <c r="G72" s="3314">
        <v>2003</v>
      </c>
      <c r="H72" s="1463">
        <v>2</v>
      </c>
      <c r="I72" s="1532"/>
      <c r="J72" s="1532"/>
      <c r="K72" s="1532"/>
      <c r="L72" s="1532"/>
      <c r="X72" s="1524"/>
      <c r="Y72" s="1524"/>
      <c r="Z72" s="1524"/>
    </row>
    <row r="73" spans="1:26" ht="13.5" thickBot="1">
      <c r="A73" s="1459" t="s">
        <v>1200</v>
      </c>
      <c r="B73" s="1534">
        <f t="shared" si="155"/>
        <v>107.25</v>
      </c>
      <c r="C73" s="1534">
        <f t="shared" si="155"/>
        <v>108.75</v>
      </c>
      <c r="D73" s="1534">
        <f t="shared" si="119"/>
        <v>108.75</v>
      </c>
      <c r="E73" s="1534">
        <f t="shared" si="156"/>
        <v>105.75</v>
      </c>
      <c r="F73" s="1534">
        <f t="shared" si="156"/>
        <v>102.5</v>
      </c>
      <c r="G73" s="3315">
        <v>2003</v>
      </c>
      <c r="H73" s="1535">
        <v>1</v>
      </c>
      <c r="I73" s="1532"/>
      <c r="J73" s="1532"/>
      <c r="K73" s="1532"/>
      <c r="L73" s="1532"/>
      <c r="S73" s="1470"/>
      <c r="T73" s="1471"/>
      <c r="U73" s="1471"/>
      <c r="X73" s="1524"/>
      <c r="Y73" s="1524"/>
      <c r="Z73" s="1524"/>
    </row>
    <row r="74" spans="1:26" ht="13.5" thickBot="1">
      <c r="A74" s="1459" t="s">
        <v>1201</v>
      </c>
      <c r="B74" s="1536">
        <v>106</v>
      </c>
      <c r="C74" s="1536">
        <v>107</v>
      </c>
      <c r="D74" s="1536">
        <f t="shared" si="119"/>
        <v>107</v>
      </c>
      <c r="E74" s="1536">
        <v>105</v>
      </c>
      <c r="F74" s="1537">
        <v>102</v>
      </c>
      <c r="G74" s="3313">
        <v>2002</v>
      </c>
      <c r="H74" s="1480">
        <v>4</v>
      </c>
      <c r="I74" s="1532"/>
      <c r="J74" s="1532"/>
      <c r="K74" s="1532"/>
      <c r="L74" s="1532"/>
      <c r="N74" s="1533"/>
      <c r="O74" s="1532"/>
      <c r="P74" s="1532"/>
      <c r="Q74" s="1532"/>
      <c r="S74" s="1533"/>
      <c r="T74" s="1532"/>
      <c r="U74" s="1532"/>
      <c r="V74" s="1532"/>
      <c r="X74" s="1524"/>
      <c r="Y74" s="1524"/>
      <c r="Z74" s="1524"/>
    </row>
    <row r="75" spans="1:26">
      <c r="A75" s="1459" t="s">
        <v>1202</v>
      </c>
      <c r="B75" s="1534">
        <f t="shared" ref="B75:C77" si="157">B76+(B$74-B$78)/4</f>
        <v>105</v>
      </c>
      <c r="C75" s="1534">
        <f t="shared" si="157"/>
        <v>106</v>
      </c>
      <c r="D75" s="1534">
        <f t="shared" si="119"/>
        <v>106</v>
      </c>
      <c r="E75" s="1534">
        <f t="shared" ref="E75:F77" si="158">E76+(E$74-E$78)/4</f>
        <v>104.5</v>
      </c>
      <c r="F75" s="1534">
        <f t="shared" si="158"/>
        <v>101.5</v>
      </c>
      <c r="G75" s="3314">
        <v>2002</v>
      </c>
      <c r="H75" s="1485">
        <v>3</v>
      </c>
      <c r="I75" s="1532"/>
      <c r="J75" s="1532"/>
      <c r="K75" s="1532"/>
      <c r="L75" s="1532"/>
      <c r="X75" s="1524"/>
      <c r="Y75" s="1524"/>
      <c r="Z75" s="1524"/>
    </row>
    <row r="76" spans="1:26">
      <c r="A76" s="1459" t="s">
        <v>1203</v>
      </c>
      <c r="B76" s="1534">
        <f t="shared" si="157"/>
        <v>104</v>
      </c>
      <c r="C76" s="1534">
        <f t="shared" si="157"/>
        <v>105</v>
      </c>
      <c r="D76" s="1534">
        <f t="shared" si="119"/>
        <v>105</v>
      </c>
      <c r="E76" s="1534">
        <f t="shared" si="158"/>
        <v>104</v>
      </c>
      <c r="F76" s="1534">
        <f t="shared" si="158"/>
        <v>101</v>
      </c>
      <c r="G76" s="3314">
        <v>2002</v>
      </c>
      <c r="H76" s="1463">
        <v>2</v>
      </c>
      <c r="I76" s="1532"/>
      <c r="J76" s="1532"/>
      <c r="K76" s="1532"/>
      <c r="L76" s="1532"/>
      <c r="X76" s="1524"/>
      <c r="Y76" s="1524"/>
      <c r="Z76" s="1524"/>
    </row>
    <row r="77" spans="1:26" s="1496" customFormat="1" ht="13.5" thickBot="1">
      <c r="A77" s="1492" t="s">
        <v>1204</v>
      </c>
      <c r="B77" s="1538">
        <f t="shared" si="157"/>
        <v>103</v>
      </c>
      <c r="C77" s="1538">
        <f t="shared" si="157"/>
        <v>104</v>
      </c>
      <c r="D77" s="1538">
        <f t="shared" si="119"/>
        <v>104</v>
      </c>
      <c r="E77" s="1538">
        <f t="shared" si="158"/>
        <v>103.5</v>
      </c>
      <c r="F77" s="1538">
        <f t="shared" si="158"/>
        <v>100.5</v>
      </c>
      <c r="G77" s="3315">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1205</v>
      </c>
      <c r="G80" s="1548"/>
      <c r="N80" s="1548"/>
      <c r="S80" s="1548"/>
    </row>
    <row r="81" spans="1:22" s="1547" customFormat="1">
      <c r="A81" s="1547" t="s">
        <v>1206</v>
      </c>
      <c r="G81" s="1548"/>
      <c r="N81" s="1548"/>
      <c r="S81" s="1548"/>
    </row>
    <row r="82" spans="1:22" s="1547" customFormat="1">
      <c r="A82" s="1547" t="s">
        <v>1207</v>
      </c>
      <c r="G82" s="1548"/>
      <c r="I82" s="1549"/>
      <c r="J82" s="1549"/>
      <c r="K82" s="1549"/>
      <c r="L82" s="1549"/>
      <c r="N82" s="1550"/>
      <c r="O82" s="1549"/>
      <c r="P82" s="1549"/>
      <c r="Q82" s="1549"/>
      <c r="S82" s="1550"/>
      <c r="T82" s="1549"/>
      <c r="U82" s="1549"/>
      <c r="V82" s="1549"/>
    </row>
    <row r="83" spans="1:22" s="1547" customFormat="1">
      <c r="A83" s="1547" t="s">
        <v>1208</v>
      </c>
      <c r="G83" s="1548"/>
      <c r="N83" s="1548"/>
      <c r="S83" s="1548"/>
    </row>
    <row r="90" spans="1:22" ht="13.5" thickBot="1"/>
    <row r="91" spans="1:22">
      <c r="G91" s="1469"/>
      <c r="S91" s="1551" t="s">
        <v>1209</v>
      </c>
      <c r="T91" s="1552" t="s">
        <v>1210</v>
      </c>
      <c r="U91" s="1552" t="s">
        <v>1211</v>
      </c>
      <c r="V91" s="1552" t="s">
        <v>1212</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2965</v>
      </c>
      <c r="C1" s="3323" t="s">
        <v>2966</v>
      </c>
      <c r="D1" s="3324"/>
      <c r="E1" s="3324"/>
      <c r="F1" s="3324"/>
      <c r="G1" s="3324"/>
      <c r="H1" s="3324"/>
      <c r="I1" s="3324"/>
      <c r="J1" s="3324"/>
      <c r="K1" s="3324"/>
      <c r="L1" s="3324"/>
      <c r="M1" s="3324"/>
      <c r="N1" s="3324"/>
      <c r="O1" s="3324"/>
      <c r="P1" s="3324"/>
      <c r="Q1" s="3324"/>
      <c r="R1" s="3324"/>
      <c r="S1" s="3325"/>
      <c r="T1" s="1202" t="s">
        <v>2967</v>
      </c>
    </row>
    <row r="2" spans="1:45" s="706" customFormat="1">
      <c r="A2" s="1203"/>
      <c r="B2" s="702" t="s">
        <v>2968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2969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2970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2971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2972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2973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2974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2" t="s">
        <v>2975</v>
      </c>
      <c r="B17" s="2903" t="s">
        <v>2976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4" t="s">
        <v>2977</v>
      </c>
      <c r="E19" s="1790"/>
      <c r="F19" s="1790"/>
      <c r="G19" s="1790"/>
      <c r="H19" s="1278"/>
      <c r="I19" s="167"/>
      <c r="J19" s="167"/>
      <c r="K19" s="167"/>
      <c r="L19" s="167"/>
      <c r="M19" s="167"/>
      <c r="N19" s="167"/>
      <c r="O19" s="167"/>
      <c r="P19" s="167"/>
      <c r="Q19" s="167"/>
      <c r="R19" s="787"/>
      <c r="S19" s="137"/>
    </row>
    <row r="20" spans="1:45" ht="16.5" thickBot="1">
      <c r="A20" s="714" t="s">
        <v>2978</v>
      </c>
      <c r="B20" s="337" t="e">
        <f ca="1">IF(D20="——",S22,S22-F20)</f>
        <v>#REF!</v>
      </c>
      <c r="C20" s="167"/>
      <c r="D20" s="2905" t="s">
        <v>2979</v>
      </c>
      <c r="E20" s="1791"/>
      <c r="F20" s="1202" t="e">
        <f ca="1">SUMIF(INDIRECT("'"&amp;H20&amp;"'"&amp;"!A:A"),"承租人权益价值",INDIRECT("'"&amp;H20&amp;"'"&amp;"!c:c"))</f>
        <v>#REF!</v>
      </c>
      <c r="G20" s="1202" t="s">
        <v>2980</v>
      </c>
      <c r="H20" s="2906"/>
      <c r="I20" s="167"/>
      <c r="J20" s="167"/>
      <c r="K20" s="167"/>
      <c r="L20" s="167"/>
      <c r="M20" s="167"/>
      <c r="N20" s="167"/>
      <c r="O20" s="167"/>
      <c r="P20" s="167"/>
      <c r="Q20" s="167"/>
      <c r="R20" s="787"/>
      <c r="S20" s="137"/>
    </row>
    <row r="21" spans="1:45" ht="15.75">
      <c r="A21" s="714" t="s">
        <v>2981</v>
      </c>
      <c r="B21" s="337">
        <f>R22</f>
        <v>10000</v>
      </c>
      <c r="C21" s="167"/>
      <c r="D21" s="167"/>
      <c r="E21" s="167"/>
      <c r="F21" s="167"/>
      <c r="G21" s="167"/>
      <c r="H21" s="167"/>
      <c r="I21" s="167"/>
      <c r="J21" s="167"/>
      <c r="K21" s="167"/>
      <c r="L21" s="167"/>
      <c r="M21" s="167"/>
      <c r="N21" s="167"/>
      <c r="O21" s="167"/>
      <c r="P21" s="167"/>
      <c r="Q21" s="167"/>
      <c r="R21" s="787"/>
      <c r="S21" s="137"/>
    </row>
    <row r="22" spans="1:45">
      <c r="A22" s="360" t="s">
        <v>2982</v>
      </c>
      <c r="B22" s="24">
        <f>SUM(B24:B10000)</f>
        <v>100</v>
      </c>
      <c r="C22" s="3100" t="s">
        <v>32</v>
      </c>
      <c r="D22" s="3101"/>
      <c r="E22" s="3101"/>
      <c r="F22" s="3101"/>
      <c r="G22" s="3101"/>
      <c r="H22" s="3101"/>
      <c r="I22" s="3101"/>
      <c r="J22" s="3101"/>
      <c r="K22" s="3101"/>
      <c r="L22" s="3101"/>
      <c r="M22" s="3101"/>
      <c r="N22" s="3101"/>
      <c r="O22" s="3101"/>
      <c r="P22" s="3101"/>
      <c r="Q22" s="3322"/>
      <c r="R22" s="715">
        <f>ROUND(S22*10000/B22,0)</f>
        <v>10000</v>
      </c>
      <c r="S22" s="24">
        <f>SUM(S24:S10000)</f>
        <v>100</v>
      </c>
    </row>
    <row r="23" spans="1:45" s="12" customFormat="1" ht="24">
      <c r="A23" s="11" t="s">
        <v>2983</v>
      </c>
      <c r="B23" s="11" t="s">
        <v>2984</v>
      </c>
      <c r="C23" s="11" t="s">
        <v>2985</v>
      </c>
      <c r="D23" s="11" t="str">
        <f>B5</f>
        <v>修正项2</v>
      </c>
      <c r="E23" s="11" t="s">
        <v>2985</v>
      </c>
      <c r="F23" s="11" t="str">
        <f>B7</f>
        <v>修正项3</v>
      </c>
      <c r="G23" s="11" t="s">
        <v>2985</v>
      </c>
      <c r="H23" s="11" t="str">
        <f>B9</f>
        <v>修正项4</v>
      </c>
      <c r="I23" s="11" t="s">
        <v>2985</v>
      </c>
      <c r="J23" s="11" t="str">
        <f>B11</f>
        <v>修正项5</v>
      </c>
      <c r="K23" s="11" t="s">
        <v>2985</v>
      </c>
      <c r="L23" s="11" t="str">
        <f>B13</f>
        <v>修正项6</v>
      </c>
      <c r="M23" s="11" t="s">
        <v>2985</v>
      </c>
      <c r="N23" s="11" t="str">
        <f>B15</f>
        <v>修正项7</v>
      </c>
      <c r="O23" s="11" t="s">
        <v>2985</v>
      </c>
      <c r="P23" s="11" t="str">
        <f>B17</f>
        <v>楼层</v>
      </c>
      <c r="Q23" s="11" t="s">
        <v>2985</v>
      </c>
      <c r="R23" s="716" t="s">
        <v>2986</v>
      </c>
      <c r="S23" s="11" t="s">
        <v>2987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24151</v>
      </c>
      <c r="C2" s="2" t="s">
        <v>132</v>
      </c>
      <c r="D2" s="242"/>
      <c r="E2" s="242"/>
      <c r="F2" s="242"/>
      <c r="G2" s="242"/>
    </row>
    <row r="3" spans="1:7" s="243" customFormat="1" ht="18" customHeight="1" thickBot="1">
      <c r="A3" s="246" t="s">
        <v>84</v>
      </c>
      <c r="B3" s="247">
        <f ca="1">ROUND(B2*10000/'数据-汇总表'!E3,0)</f>
        <v>1091521</v>
      </c>
      <c r="C3" s="2" t="s">
        <v>133</v>
      </c>
      <c r="D3" s="242"/>
      <c r="E3" s="242"/>
      <c r="F3" s="242"/>
      <c r="G3" s="242"/>
    </row>
    <row r="4" spans="1:7" s="251" customFormat="1" ht="15.75">
      <c r="A4" s="248" t="s">
        <v>85</v>
      </c>
      <c r="B4" s="249"/>
      <c r="C4" s="249"/>
      <c r="D4" s="249"/>
      <c r="E4" s="249"/>
      <c r="F4" s="249"/>
      <c r="G4" s="250"/>
    </row>
    <row r="5" spans="1:7" s="257" customFormat="1" ht="13.5" customHeight="1">
      <c r="A5" s="298" t="s">
        <v>1049</v>
      </c>
      <c r="B5" s="253" t="s">
        <v>86</v>
      </c>
      <c r="C5" s="254">
        <f>C6+C7+C8</f>
        <v>20810</v>
      </c>
      <c r="D5" s="254" t="s">
        <v>87</v>
      </c>
      <c r="E5" s="255" t="s">
        <v>88</v>
      </c>
      <c r="F5" s="255" t="s">
        <v>89</v>
      </c>
      <c r="G5" s="256"/>
    </row>
    <row r="6" spans="1:7" s="257" customFormat="1" ht="13.5" customHeight="1">
      <c r="A6" s="947" t="s">
        <v>790</v>
      </c>
      <c r="B6" s="258" t="s">
        <v>90</v>
      </c>
      <c r="C6" s="259">
        <v>20000</v>
      </c>
      <c r="D6" s="260"/>
      <c r="E6" s="261"/>
      <c r="F6" s="261"/>
      <c r="G6" s="262"/>
    </row>
    <row r="7" spans="1:7" s="257" customFormat="1" ht="13.5" customHeight="1">
      <c r="A7" s="947" t="s">
        <v>791</v>
      </c>
      <c r="B7" s="258" t="s">
        <v>56</v>
      </c>
      <c r="C7" s="263">
        <f>ROUND(C6*F7,0)</f>
        <v>810</v>
      </c>
      <c r="D7" s="263"/>
      <c r="E7" s="261"/>
      <c r="F7" s="264">
        <f>'数据-取费表'!B48+'数据-取费表'!B49</f>
        <v>4.0500000000000001E-2</v>
      </c>
      <c r="G7" s="262"/>
    </row>
    <row r="8" spans="1:7" s="266" customFormat="1">
      <c r="A8" s="947" t="s">
        <v>792</v>
      </c>
      <c r="B8" s="258" t="s">
        <v>91</v>
      </c>
      <c r="C8" s="263" t="str">
        <f>IF(G8="已包含在土地购买价格中","0",'数据-取费表'!B29)</f>
        <v>0</v>
      </c>
      <c r="D8" s="265"/>
      <c r="E8" s="263"/>
      <c r="F8" s="264"/>
      <c r="G8" s="1" t="s">
        <v>1143</v>
      </c>
    </row>
    <row r="9" spans="1:7" s="257" customFormat="1" ht="13.5" customHeight="1">
      <c r="A9" s="948" t="s">
        <v>799</v>
      </c>
      <c r="B9" s="267" t="s">
        <v>92</v>
      </c>
      <c r="C9" s="268">
        <f>ROUND(D9*E9/10000,0)</f>
        <v>2</v>
      </c>
      <c r="D9" s="1030">
        <f>'数据-汇总表'!E5</f>
        <v>221.26</v>
      </c>
      <c r="E9" s="268">
        <f>'数据-取费表'!B27</f>
        <v>105</v>
      </c>
      <c r="F9" s="264"/>
      <c r="G9" s="269"/>
    </row>
    <row r="10" spans="1:7" s="257" customFormat="1" ht="13.5" customHeight="1">
      <c r="A10" s="948" t="s">
        <v>800</v>
      </c>
      <c r="B10" s="267" t="s">
        <v>93</v>
      </c>
      <c r="C10" s="268">
        <f>ROUND(D10*E10/10000,0)</f>
        <v>0</v>
      </c>
      <c r="D10" s="1030">
        <f>'数据-汇总表'!E6</f>
        <v>0</v>
      </c>
      <c r="E10" s="268">
        <f>'数据-取费表'!B28</f>
        <v>105</v>
      </c>
      <c r="F10" s="264"/>
      <c r="G10" s="269"/>
    </row>
    <row r="11" spans="1:7" s="257" customFormat="1" ht="13.5" hidden="1" customHeight="1">
      <c r="A11" s="270" t="s">
        <v>7</v>
      </c>
      <c r="B11" s="258" t="s">
        <v>94</v>
      </c>
      <c r="C11" s="254"/>
      <c r="D11" s="1032"/>
      <c r="E11" s="261"/>
      <c r="F11" s="261"/>
      <c r="G11" s="262"/>
    </row>
    <row r="12" spans="1:7" s="257" customFormat="1" ht="13.5" hidden="1" customHeight="1">
      <c r="A12" s="270" t="s">
        <v>8</v>
      </c>
      <c r="B12" s="258" t="s">
        <v>95</v>
      </c>
      <c r="C12" s="254">
        <v>0</v>
      </c>
      <c r="D12" s="1032"/>
      <c r="E12" s="271"/>
      <c r="F12" s="264">
        <v>3.0499999999999999E-2</v>
      </c>
      <c r="G12" s="262"/>
    </row>
    <row r="13" spans="1:7" s="257" customFormat="1" ht="13.5" hidden="1" customHeight="1">
      <c r="A13" s="270" t="s">
        <v>9</v>
      </c>
      <c r="B13" s="258" t="s">
        <v>96</v>
      </c>
      <c r="C13" s="254"/>
      <c r="D13" s="1032"/>
      <c r="E13" s="261"/>
      <c r="F13" s="261"/>
      <c r="G13" s="262"/>
    </row>
    <row r="14" spans="1:7" s="257" customFormat="1" ht="13.5" hidden="1" customHeight="1">
      <c r="A14" s="270" t="s">
        <v>10</v>
      </c>
      <c r="B14" s="258" t="s">
        <v>91</v>
      </c>
      <c r="C14" s="254"/>
      <c r="D14" s="1032"/>
      <c r="E14" s="261"/>
      <c r="F14" s="261"/>
      <c r="G14" s="262" t="s">
        <v>97</v>
      </c>
    </row>
    <row r="15" spans="1:7" s="257" customFormat="1" ht="13.5" hidden="1" customHeight="1">
      <c r="A15" s="270" t="s">
        <v>11</v>
      </c>
      <c r="B15" s="258" t="s">
        <v>98</v>
      </c>
      <c r="C15" s="263"/>
      <c r="D15" s="1032"/>
      <c r="E15" s="261"/>
      <c r="F15" s="261"/>
      <c r="G15" s="262" t="s">
        <v>99</v>
      </c>
    </row>
    <row r="16" spans="1:7" s="257" customFormat="1" ht="13.5" hidden="1" customHeight="1">
      <c r="A16" s="270" t="s">
        <v>12</v>
      </c>
      <c r="B16" s="258" t="s">
        <v>91</v>
      </c>
      <c r="C16" s="263"/>
      <c r="D16" s="1032"/>
      <c r="E16" s="261"/>
      <c r="F16" s="261"/>
      <c r="G16" s="262"/>
    </row>
    <row r="17" spans="1:7" s="257" customFormat="1" ht="13.5" hidden="1" customHeight="1">
      <c r="A17" s="270" t="s">
        <v>13</v>
      </c>
      <c r="B17" s="258" t="s">
        <v>100</v>
      </c>
      <c r="C17" s="272"/>
      <c r="D17" s="1033"/>
      <c r="E17" s="272"/>
      <c r="F17" s="272"/>
      <c r="G17" s="262" t="s">
        <v>99</v>
      </c>
    </row>
    <row r="18" spans="1:7" s="257" customFormat="1" ht="13.5" hidden="1" customHeight="1">
      <c r="A18" s="270" t="s">
        <v>14</v>
      </c>
      <c r="B18" s="258" t="s">
        <v>101</v>
      </c>
      <c r="C18" s="263">
        <v>0</v>
      </c>
      <c r="D18" s="1032"/>
      <c r="E18" s="261"/>
      <c r="F18" s="264">
        <v>3.0499999999999999E-2</v>
      </c>
      <c r="G18" s="262" t="s">
        <v>102</v>
      </c>
    </row>
    <row r="19" spans="1:7" s="266" customFormat="1" ht="13.5" customHeight="1">
      <c r="A19" s="946" t="s">
        <v>1050</v>
      </c>
      <c r="B19" s="253" t="s">
        <v>110</v>
      </c>
      <c r="C19" s="254">
        <f>IF(G19="已包含在土地取得成本中","0",ROUND(D19*E19/10000,0))</f>
        <v>0</v>
      </c>
      <c r="D19" s="1034">
        <f>'数据-汇总表'!E3</f>
        <v>221.26</v>
      </c>
      <c r="E19" s="254">
        <f>'数据-取费表'!B31</f>
        <v>0</v>
      </c>
      <c r="F19" s="274"/>
      <c r="G19" s="1" t="s">
        <v>1069</v>
      </c>
    </row>
    <row r="20" spans="1:7" s="257" customFormat="1" ht="13.5" customHeight="1">
      <c r="A20" s="946" t="s">
        <v>1052</v>
      </c>
      <c r="B20" s="253" t="s">
        <v>103</v>
      </c>
      <c r="C20" s="275">
        <f>ROUND((C5+C19)*F20,0)</f>
        <v>312</v>
      </c>
      <c r="D20" s="275"/>
      <c r="E20" s="275"/>
      <c r="F20" s="276">
        <f>'数据-取费表'!B37</f>
        <v>1.4999999999999999E-2</v>
      </c>
      <c r="G20" s="1287" t="s">
        <v>1063</v>
      </c>
    </row>
    <row r="21" spans="1:7" s="257" customFormat="1" ht="13.5" customHeight="1">
      <c r="A21" s="946" t="s">
        <v>1054</v>
      </c>
      <c r="B21" s="253" t="s">
        <v>104</v>
      </c>
      <c r="C21" s="278">
        <f>F21</f>
        <v>1.4999999999999999E-2</v>
      </c>
      <c r="D21" s="279" t="s">
        <v>125</v>
      </c>
      <c r="E21" s="275"/>
      <c r="F21" s="276">
        <f>'数据-取费表'!B38</f>
        <v>1.4999999999999999E-2</v>
      </c>
      <c r="G21" s="277" t="s">
        <v>105</v>
      </c>
    </row>
    <row r="22" spans="1:7" s="257" customFormat="1" ht="13.5" customHeight="1">
      <c r="A22" s="946" t="s">
        <v>785</v>
      </c>
      <c r="B22" s="253" t="s">
        <v>106</v>
      </c>
      <c r="C22" s="1352">
        <f ca="1">ROUND(SUM(C23:C25),0)</f>
        <v>512</v>
      </c>
      <c r="D22" s="278">
        <f ca="1">C26</f>
        <v>2.0000000000000001E-4</v>
      </c>
      <c r="E22" s="279" t="s">
        <v>125</v>
      </c>
      <c r="F22" s="280">
        <f ca="1">'数据-取费表'!B40</f>
        <v>4.7500000000000001E-2</v>
      </c>
      <c r="G22" s="1287" t="str">
        <f>IF('数据-取费表'!B22&lt;=1,"单利计息","复利计息")</f>
        <v>复利计息</v>
      </c>
    </row>
    <row r="23" spans="1:7" s="257" customFormat="1" ht="13.5" customHeight="1">
      <c r="A23" s="949" t="s">
        <v>793</v>
      </c>
      <c r="B23" s="258" t="s">
        <v>1056</v>
      </c>
      <c r="C23" s="1353">
        <f ca="1">ROUND(IF('数据-取费表'!B22&lt;=1,C5*F22*'数据-取费表'!B23,C5*(POWER((1+F22),'数据-取费表'!B23)-1)),0)</f>
        <v>508</v>
      </c>
      <c r="D23" s="281"/>
      <c r="E23" s="281"/>
      <c r="F23" s="282"/>
      <c r="G23" s="283" t="s">
        <v>107</v>
      </c>
    </row>
    <row r="24" spans="1:7" s="257" customFormat="1" ht="13.5" customHeight="1">
      <c r="A24" s="949" t="s">
        <v>791</v>
      </c>
      <c r="B24" s="258" t="s">
        <v>1051</v>
      </c>
      <c r="C24" s="1353">
        <f ca="1">ROUND(IF('数据-取费表'!B22&lt;=1,C19*F22*('数据-取费表'!B19/2+'数据-取费表'!B21),C19*(POWER((1+F22),('数据-取费表'!B19/2+'数据-取费表'!B21))-1)),0)</f>
        <v>0</v>
      </c>
      <c r="D24" s="281"/>
      <c r="E24" s="281"/>
      <c r="F24" s="282"/>
      <c r="G24" s="283" t="s">
        <v>108</v>
      </c>
    </row>
    <row r="25" spans="1:7" s="257" customFormat="1" ht="24">
      <c r="A25" s="949" t="s">
        <v>792</v>
      </c>
      <c r="B25" s="258" t="s">
        <v>1053</v>
      </c>
      <c r="C25" s="1353">
        <f ca="1">ROUND(IF('数据-取费表'!B22&lt;=1,C20*F22*'数据-取费表'!B23/2,C20*(POWER((1+F22),'数据-取费表'!B23/2)-1)),0)</f>
        <v>4</v>
      </c>
      <c r="D25" s="281"/>
      <c r="E25" s="284"/>
      <c r="F25" s="282"/>
      <c r="G25" s="285" t="s">
        <v>109</v>
      </c>
    </row>
    <row r="26" spans="1:7" s="257" customFormat="1">
      <c r="A26" s="949" t="s">
        <v>794</v>
      </c>
      <c r="B26" s="258" t="s">
        <v>1055</v>
      </c>
      <c r="C26" s="281">
        <f ca="1">ROUND(IF('数据-取费表'!B22&lt;=1,F21*F22*'数据-取费表'!B23/2,F21*(POWER((1+F22),'数据-取费表'!B23/2)-1)),4)</f>
        <v>2.0000000000000001E-4</v>
      </c>
      <c r="D26" s="281"/>
      <c r="E26" s="284"/>
      <c r="F26" s="282"/>
      <c r="G26" s="286"/>
    </row>
    <row r="27" spans="1:7" s="257" customFormat="1" ht="24.75">
      <c r="A27" s="946" t="s">
        <v>786</v>
      </c>
      <c r="B27" s="287" t="s">
        <v>111</v>
      </c>
      <c r="C27" s="288">
        <f>C28</f>
        <v>824</v>
      </c>
      <c r="D27" s="278">
        <f>C29</f>
        <v>5.9999999999999995E-4</v>
      </c>
      <c r="E27" s="279" t="s">
        <v>125</v>
      </c>
      <c r="F27" s="289">
        <f>'数据-取费表'!Q16</f>
        <v>0.15</v>
      </c>
      <c r="G27" s="290" t="s">
        <v>1064</v>
      </c>
    </row>
    <row r="28" spans="1:7" s="257" customFormat="1" ht="13.5" customHeight="1">
      <c r="A28" s="949" t="s">
        <v>793</v>
      </c>
      <c r="B28" s="291" t="s">
        <v>1057</v>
      </c>
      <c r="C28" s="292">
        <f>ROUND((C5+C19+C20)*F27*'数据-取费表'!B21/'数据-取费表'!B20,0)</f>
        <v>824</v>
      </c>
      <c r="D28" s="278"/>
      <c r="E28" s="279"/>
      <c r="F28" s="289"/>
      <c r="G28" s="290"/>
    </row>
    <row r="29" spans="1:7" s="257" customFormat="1" ht="13.5" customHeight="1">
      <c r="A29" s="949" t="s">
        <v>791</v>
      </c>
      <c r="B29" s="291" t="s">
        <v>1058</v>
      </c>
      <c r="C29" s="281">
        <f>ROUND(C21*F27*'数据-取费表'!B21/'数据-取费表'!B20,4)</f>
        <v>5.9999999999999995E-4</v>
      </c>
      <c r="D29" s="278"/>
      <c r="E29" s="279"/>
      <c r="F29" s="289"/>
      <c r="G29" s="290"/>
    </row>
    <row r="30" spans="1:7" s="257" customFormat="1" ht="13.5" customHeight="1">
      <c r="A30" s="946" t="s">
        <v>787</v>
      </c>
      <c r="B30" s="253" t="s">
        <v>57</v>
      </c>
      <c r="C30" s="278">
        <f>F30</f>
        <v>5.6000000000000001E-2</v>
      </c>
      <c r="D30" s="279" t="s">
        <v>126</v>
      </c>
      <c r="E30" s="284"/>
      <c r="F30" s="280">
        <f>'数据-取费表'!B41</f>
        <v>5.6000000000000001E-2</v>
      </c>
      <c r="G30" s="277" t="s">
        <v>112</v>
      </c>
    </row>
    <row r="31" spans="1:7" ht="16.5" customHeight="1">
      <c r="A31" s="252">
        <v>1</v>
      </c>
      <c r="B31" s="253" t="s">
        <v>127</v>
      </c>
      <c r="C31" s="254">
        <f ca="1">ROUND((C5+C19+C20+C22+C27)/(1-C21-D22-D27-C30/(1+'数据-取费表'!B42)),0)</f>
        <v>24126</v>
      </c>
      <c r="D31" s="273"/>
      <c r="E31" s="254"/>
      <c r="F31" s="293"/>
      <c r="G31" s="277" t="s">
        <v>1065</v>
      </c>
    </row>
    <row r="32" spans="1:7" s="251" customFormat="1" ht="15.75">
      <c r="A32" s="295" t="s">
        <v>113</v>
      </c>
      <c r="B32" s="296"/>
      <c r="C32" s="296"/>
      <c r="D32" s="296"/>
      <c r="E32" s="296"/>
      <c r="F32" s="296"/>
      <c r="G32" s="297"/>
    </row>
    <row r="33" spans="1:7" s="257" customFormat="1" ht="13.5" customHeight="1">
      <c r="A33" s="298" t="s">
        <v>781</v>
      </c>
      <c r="B33" s="253" t="s">
        <v>114</v>
      </c>
      <c r="C33" s="299">
        <f>SUM(C34:C38)</f>
        <v>20</v>
      </c>
      <c r="D33" s="275"/>
      <c r="E33" s="255"/>
      <c r="F33" s="284"/>
      <c r="G33" s="277"/>
    </row>
    <row r="34" spans="1:7" s="301" customFormat="1" ht="13.5" customHeight="1">
      <c r="A34" s="949" t="s">
        <v>793</v>
      </c>
      <c r="B34" s="258" t="s">
        <v>58</v>
      </c>
      <c r="C34" s="263">
        <f>IF(F34=100%,'数据-取费表'!M16-SUMIF('数据-取费表'!C:C,"公共配套",'数据-取费表'!M:M),'数据-取费表'!O16-SUMIF('数据-取费表'!C:C,"公共配套",'数据-取费表'!O:O))</f>
        <v>17</v>
      </c>
      <c r="D34" s="260"/>
      <c r="E34" s="263"/>
      <c r="F34" s="300">
        <f>IF('数据-取费表'!B24=0,1,'数据-取费表'!N16)</f>
        <v>0.26</v>
      </c>
      <c r="G34" s="262" t="s">
        <v>115</v>
      </c>
    </row>
    <row r="35" spans="1:7" ht="13.5" customHeight="1">
      <c r="A35" s="949" t="s">
        <v>795</v>
      </c>
      <c r="B35" s="258" t="s">
        <v>59</v>
      </c>
      <c r="C35" s="263">
        <f>ROUND(C34*F35,0)</f>
        <v>1</v>
      </c>
      <c r="D35" s="263"/>
      <c r="E35" s="263"/>
      <c r="F35" s="302">
        <f>'数据-取费表'!B33</f>
        <v>0.03</v>
      </c>
      <c r="G35" s="262" t="s">
        <v>116</v>
      </c>
    </row>
    <row r="36" spans="1:7" ht="24">
      <c r="A36" s="949" t="s">
        <v>796</v>
      </c>
      <c r="B36" s="258" t="s">
        <v>60</v>
      </c>
      <c r="C36" s="263">
        <f>ROUND(IF(SUMIF('数据-取费表'!C:C,"住宅",IF(F34=100%,'数据-取费表'!M:M,'数据-取费表'!O:O))=0,0,IF(F36=0,SUMIF('数据-取费表'!C:C,"公共配套",IF(F34=100%,'数据-取费表'!M:M,'数据-取费表'!O:O)),SUMIF('数据-取费表'!C:C,"住宅",IF(F34=100%,'数据-取费表'!M:M,'数据-取费表'!O:O))*F36)),0)</f>
        <v>1</v>
      </c>
      <c r="D36" s="263"/>
      <c r="E36" s="263"/>
      <c r="F36" s="302">
        <f>'数据-取费表'!B34</f>
        <v>0.03</v>
      </c>
      <c r="G36" s="303" t="s">
        <v>61</v>
      </c>
    </row>
    <row r="37" spans="1:7" s="301" customFormat="1" ht="13.5" customHeight="1">
      <c r="A37" s="949" t="s">
        <v>797</v>
      </c>
      <c r="B37" s="258" t="s">
        <v>117</v>
      </c>
      <c r="C37" s="292">
        <f>ROUND(E37*D37*F34/10000,0)</f>
        <v>1</v>
      </c>
      <c r="D37" s="260">
        <f>'数据-汇总表'!E3</f>
        <v>221.26</v>
      </c>
      <c r="E37" s="292">
        <f>'数据-取费表'!B35</f>
        <v>150</v>
      </c>
      <c r="F37" s="302"/>
      <c r="G37" s="304" t="s">
        <v>118</v>
      </c>
    </row>
    <row r="38" spans="1:7" ht="13.5" customHeight="1">
      <c r="A38" s="949" t="s">
        <v>798</v>
      </c>
      <c r="B38" s="258" t="s">
        <v>62</v>
      </c>
      <c r="C38" s="263">
        <f>ROUND(C34*F38,0)</f>
        <v>0</v>
      </c>
      <c r="D38" s="263"/>
      <c r="E38" s="263"/>
      <c r="F38" s="302">
        <f>'数据-取费表'!B36</f>
        <v>1.4999999999999999E-2</v>
      </c>
      <c r="G38" s="262" t="s">
        <v>116</v>
      </c>
    </row>
    <row r="39" spans="1:7" s="257" customFormat="1" ht="13.5" customHeight="1">
      <c r="A39" s="946" t="s">
        <v>782</v>
      </c>
      <c r="B39" s="253" t="s">
        <v>103</v>
      </c>
      <c r="C39" s="275">
        <f>ROUND(C33*F20,0)</f>
        <v>0</v>
      </c>
      <c r="D39" s="275"/>
      <c r="E39" s="275"/>
      <c r="F39" s="276"/>
      <c r="G39" s="1287" t="s">
        <v>1066</v>
      </c>
    </row>
    <row r="40" spans="1:7" s="257" customFormat="1" ht="13.5" customHeight="1">
      <c r="A40" s="946" t="s">
        <v>783</v>
      </c>
      <c r="B40" s="253" t="s">
        <v>104</v>
      </c>
      <c r="C40" s="305">
        <f>F21</f>
        <v>1.4999999999999999E-2</v>
      </c>
      <c r="D40" s="279" t="s">
        <v>128</v>
      </c>
      <c r="E40" s="275"/>
      <c r="F40" s="276"/>
      <c r="G40" s="277" t="s">
        <v>119</v>
      </c>
    </row>
    <row r="41" spans="1:7" s="257" customFormat="1" ht="13.5" customHeight="1">
      <c r="A41" s="946" t="s">
        <v>784</v>
      </c>
      <c r="B41" s="253" t="s">
        <v>106</v>
      </c>
      <c r="C41" s="275">
        <f ca="1">ROUND(SUM(C42:C43),0)</f>
        <v>0</v>
      </c>
      <c r="D41" s="278">
        <f ca="1">C44</f>
        <v>2.0000000000000001E-4</v>
      </c>
      <c r="E41" s="279" t="s">
        <v>128</v>
      </c>
      <c r="F41" s="280"/>
      <c r="G41" s="1287" t="str">
        <f>IF('数据-取费表'!B22&lt;=1,"单利计息","复利计息")</f>
        <v>复利计息</v>
      </c>
    </row>
    <row r="42" spans="1:7" ht="13.5" customHeight="1">
      <c r="A42" s="949" t="s">
        <v>793</v>
      </c>
      <c r="B42" s="258" t="s">
        <v>1056</v>
      </c>
      <c r="C42" s="281">
        <f ca="1">ROUND(IF('数据-取费表'!B22&lt;=1,C33*F22*'数据-取费表'!B21/2,C33*(POWER((1+F22),'数据-取费表'!B21/2)-1)),0)</f>
        <v>0</v>
      </c>
      <c r="D42" s="281"/>
      <c r="E42" s="281"/>
      <c r="F42" s="282"/>
      <c r="G42" s="3185" t="s">
        <v>120</v>
      </c>
    </row>
    <row r="43" spans="1:7" ht="13.5" customHeight="1">
      <c r="A43" s="949" t="s">
        <v>791</v>
      </c>
      <c r="B43" s="258" t="s">
        <v>1059</v>
      </c>
      <c r="C43" s="281">
        <f ca="1">ROUND(IF('数据-取费表'!B22&lt;=1,C39*F22*'数据-取费表'!B21/2,C39*(POWER((1+F22),'数据-取费表'!B21/2)-1)),0)</f>
        <v>0</v>
      </c>
      <c r="D43" s="281"/>
      <c r="E43" s="281"/>
      <c r="F43" s="282"/>
      <c r="G43" s="3186"/>
    </row>
    <row r="44" spans="1:7" ht="13.5" customHeight="1">
      <c r="A44" s="949" t="s">
        <v>792</v>
      </c>
      <c r="B44" s="258" t="s">
        <v>1061</v>
      </c>
      <c r="C44" s="281">
        <f ca="1">ROUND(IF('数据-取费表'!B22&lt;=1,C40*F22*'数据-取费表'!B21/2,C40*(POWER((1+F22),'数据-取费表'!B21/2)-1)),4)</f>
        <v>2.0000000000000001E-4</v>
      </c>
      <c r="D44" s="281"/>
      <c r="E44" s="281"/>
      <c r="F44" s="282"/>
      <c r="G44" s="3187"/>
    </row>
    <row r="45" spans="1:7" s="257" customFormat="1" ht="13.5" customHeight="1">
      <c r="A45" s="946" t="s">
        <v>785</v>
      </c>
      <c r="B45" s="287" t="s">
        <v>111</v>
      </c>
      <c r="C45" s="288">
        <f>C46</f>
        <v>3</v>
      </c>
      <c r="D45" s="278">
        <f>C47</f>
        <v>2.3E-3</v>
      </c>
      <c r="E45" s="279" t="s">
        <v>128</v>
      </c>
      <c r="F45" s="289"/>
      <c r="G45" s="290" t="s">
        <v>1067</v>
      </c>
    </row>
    <row r="46" spans="1:7" s="257" customFormat="1" ht="13.5" customHeight="1">
      <c r="A46" s="949" t="s">
        <v>793</v>
      </c>
      <c r="B46" s="291" t="s">
        <v>1060</v>
      </c>
      <c r="C46" s="292">
        <f>ROUND((C33+C39)*F27,0)</f>
        <v>3</v>
      </c>
      <c r="D46" s="306"/>
      <c r="E46" s="279"/>
      <c r="F46" s="289"/>
      <c r="G46" s="290"/>
    </row>
    <row r="47" spans="1:7" s="257" customFormat="1" ht="13.5" customHeight="1">
      <c r="A47" s="949" t="s">
        <v>791</v>
      </c>
      <c r="B47" s="291" t="s">
        <v>1062</v>
      </c>
      <c r="C47" s="281">
        <f>ROUND(C40*F27,4)</f>
        <v>2.3E-3</v>
      </c>
      <c r="D47" s="306"/>
      <c r="E47" s="279"/>
      <c r="F47" s="289"/>
      <c r="G47" s="290"/>
    </row>
    <row r="48" spans="1:7" s="257" customFormat="1" ht="13.5" customHeight="1">
      <c r="A48" s="946" t="s">
        <v>786</v>
      </c>
      <c r="B48" s="253" t="s">
        <v>121</v>
      </c>
      <c r="C48" s="305">
        <f>F30</f>
        <v>5.6000000000000001E-2</v>
      </c>
      <c r="D48" s="279" t="s">
        <v>129</v>
      </c>
      <c r="E48" s="275"/>
      <c r="F48" s="280"/>
      <c r="G48" s="277" t="s">
        <v>122</v>
      </c>
    </row>
    <row r="49" spans="1:7" ht="16.5" customHeight="1">
      <c r="A49" s="946" t="s">
        <v>787</v>
      </c>
      <c r="B49" s="253" t="s">
        <v>130</v>
      </c>
      <c r="C49" s="275">
        <f ca="1">ROUND((C33+C39+C41+C45)/(1-C40-D41-D45-C48/(1+'数据-取费表'!B42)),0)</f>
        <v>25</v>
      </c>
      <c r="D49" s="275"/>
      <c r="E49" s="275"/>
      <c r="F49" s="307"/>
      <c r="G49" s="277" t="s">
        <v>1068</v>
      </c>
    </row>
    <row r="50" spans="1:7" s="301" customFormat="1" ht="24">
      <c r="A50" s="946" t="s">
        <v>788</v>
      </c>
      <c r="B50" s="253" t="s">
        <v>123</v>
      </c>
      <c r="C50" s="275"/>
      <c r="D50" s="275"/>
      <c r="E50" s="275"/>
      <c r="F50" s="307">
        <f>IF('数据-取费表'!B24=0,'数据-取费表'!N16,1)</f>
        <v>1</v>
      </c>
      <c r="G50" s="290" t="s">
        <v>124</v>
      </c>
    </row>
    <row r="51" spans="1:7" ht="16.5" customHeight="1">
      <c r="A51" s="946" t="s">
        <v>789</v>
      </c>
      <c r="B51" s="253" t="s">
        <v>131</v>
      </c>
      <c r="C51" s="275">
        <f ca="1">ROUND(C49*F50,0)</f>
        <v>25</v>
      </c>
      <c r="D51" s="275"/>
      <c r="E51" s="275"/>
      <c r="F51" s="307"/>
      <c r="G51" s="277" t="s">
        <v>63</v>
      </c>
    </row>
    <row r="52" spans="1:7" s="251" customFormat="1" ht="16.5" thickBot="1">
      <c r="A52" s="308" t="s">
        <v>64</v>
      </c>
      <c r="B52" s="309"/>
      <c r="C52" s="310">
        <f ca="1">C31+C51</f>
        <v>24151</v>
      </c>
      <c r="D52" s="309"/>
      <c r="E52" s="309"/>
      <c r="F52" s="309"/>
      <c r="G52" s="311"/>
    </row>
    <row r="55" spans="1:7" ht="15">
      <c r="B55" s="313" t="s">
        <v>65</v>
      </c>
      <c r="C55" s="314"/>
    </row>
    <row r="56" spans="1:7">
      <c r="B56" s="316" t="s">
        <v>66</v>
      </c>
      <c r="C56" s="317">
        <f ca="1">ROUND(C51/C52,3)</f>
        <v>1E-3</v>
      </c>
    </row>
    <row r="57" spans="1:7">
      <c r="B57" s="316" t="s">
        <v>67</v>
      </c>
      <c r="C57" s="318">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26" t="s">
        <v>155</v>
      </c>
      <c r="B1" s="3326"/>
      <c r="C1" s="3326"/>
      <c r="D1" s="3326"/>
      <c r="E1" s="3326"/>
      <c r="F1" s="3326"/>
      <c r="H1" s="828" t="s">
        <v>156</v>
      </c>
      <c r="I1" s="829" t="s">
        <v>157</v>
      </c>
      <c r="J1" s="829" t="s">
        <v>158</v>
      </c>
      <c r="K1" s="829" t="s">
        <v>159</v>
      </c>
      <c r="L1" s="829" t="s">
        <v>160</v>
      </c>
      <c r="M1" s="829" t="s">
        <v>161</v>
      </c>
      <c r="N1" s="829" t="s">
        <v>162</v>
      </c>
      <c r="O1" s="829" t="s">
        <v>163</v>
      </c>
      <c r="P1" s="829" t="s">
        <v>164</v>
      </c>
      <c r="Q1" s="829" t="s">
        <v>165</v>
      </c>
      <c r="R1" s="829" t="s">
        <v>166</v>
      </c>
      <c r="S1" s="830" t="s">
        <v>167</v>
      </c>
    </row>
    <row r="2" spans="1:19" ht="14.25" thickBot="1">
      <c r="A2" s="3327" t="s">
        <v>168</v>
      </c>
      <c r="B2" s="3327"/>
      <c r="C2" s="3327"/>
      <c r="D2" s="3327"/>
      <c r="E2" s="3327"/>
      <c r="F2" s="3327"/>
      <c r="H2" s="831" t="s">
        <v>169</v>
      </c>
      <c r="I2" s="832" t="s">
        <v>170</v>
      </c>
      <c r="J2" s="832" t="s">
        <v>171</v>
      </c>
      <c r="K2" s="832" t="s">
        <v>172</v>
      </c>
      <c r="L2" s="832" t="s">
        <v>173</v>
      </c>
      <c r="M2" s="832" t="s">
        <v>174</v>
      </c>
      <c r="N2" s="832" t="s">
        <v>175</v>
      </c>
      <c r="O2" s="832" t="s">
        <v>176</v>
      </c>
      <c r="P2" s="832" t="s">
        <v>177</v>
      </c>
      <c r="Q2" s="832" t="s">
        <v>178</v>
      </c>
      <c r="R2" s="832" t="s">
        <v>179</v>
      </c>
      <c r="S2" s="832" t="s">
        <v>180</v>
      </c>
    </row>
    <row r="3" spans="1:19" s="827" customFormat="1" ht="19.5" customHeight="1">
      <c r="A3" s="3328" t="s">
        <v>181</v>
      </c>
      <c r="B3" s="833"/>
      <c r="C3" s="834" t="s">
        <v>182</v>
      </c>
      <c r="D3" s="834" t="s">
        <v>183</v>
      </c>
      <c r="E3" s="834" t="s">
        <v>750</v>
      </c>
      <c r="F3" s="834" t="s">
        <v>185</v>
      </c>
      <c r="G3" s="835"/>
      <c r="H3" s="831" t="s">
        <v>186</v>
      </c>
      <c r="I3" s="832" t="s">
        <v>187</v>
      </c>
      <c r="J3" s="832" t="s">
        <v>188</v>
      </c>
      <c r="K3" s="832" t="s">
        <v>189</v>
      </c>
      <c r="L3" s="832" t="s">
        <v>190</v>
      </c>
      <c r="M3" s="832" t="s">
        <v>191</v>
      </c>
      <c r="N3" s="832" t="s">
        <v>192</v>
      </c>
      <c r="O3" s="832" t="s">
        <v>193</v>
      </c>
      <c r="P3" s="832" t="s">
        <v>194</v>
      </c>
      <c r="Q3" s="832" t="s">
        <v>195</v>
      </c>
      <c r="R3" s="832" t="s">
        <v>196</v>
      </c>
      <c r="S3" s="832" t="s">
        <v>197</v>
      </c>
    </row>
    <row r="4" spans="1:19" s="827" customFormat="1" ht="19.5" customHeight="1" thickBot="1">
      <c r="A4" s="3329"/>
      <c r="B4" s="836" t="s">
        <v>198</v>
      </c>
      <c r="C4" s="836" t="s">
        <v>199</v>
      </c>
      <c r="D4" s="836" t="s">
        <v>199</v>
      </c>
      <c r="E4" s="836" t="s">
        <v>199</v>
      </c>
      <c r="F4" s="837" t="s">
        <v>199</v>
      </c>
      <c r="G4" s="835"/>
      <c r="H4" s="831" t="s">
        <v>200</v>
      </c>
      <c r="I4" s="832" t="s">
        <v>137</v>
      </c>
      <c r="J4" s="832" t="s">
        <v>201</v>
      </c>
      <c r="K4" s="832" t="s">
        <v>202</v>
      </c>
      <c r="L4" s="832" t="s">
        <v>203</v>
      </c>
      <c r="M4" s="832" t="s">
        <v>204</v>
      </c>
      <c r="N4" s="832" t="s">
        <v>205</v>
      </c>
      <c r="O4" s="832" t="s">
        <v>206</v>
      </c>
      <c r="P4" s="832" t="s">
        <v>207</v>
      </c>
      <c r="Q4" s="832" t="s">
        <v>208</v>
      </c>
      <c r="R4" s="832" t="s">
        <v>209</v>
      </c>
      <c r="S4" s="832" t="s">
        <v>210</v>
      </c>
    </row>
    <row r="5" spans="1:19" ht="14.25" customHeight="1" thickBot="1">
      <c r="A5" s="838" t="s">
        <v>815</v>
      </c>
      <c r="B5" s="839" t="s">
        <v>816</v>
      </c>
      <c r="C5" s="839">
        <v>29530</v>
      </c>
      <c r="D5" s="839">
        <v>28130</v>
      </c>
      <c r="E5" s="839">
        <v>27930</v>
      </c>
      <c r="F5" s="840">
        <v>11300</v>
      </c>
      <c r="G5" s="835"/>
      <c r="H5" s="831" t="s">
        <v>212</v>
      </c>
      <c r="I5" s="832" t="s">
        <v>213</v>
      </c>
      <c r="J5" s="832" t="s">
        <v>214</v>
      </c>
      <c r="K5" s="832" t="s">
        <v>215</v>
      </c>
      <c r="L5" s="832" t="s">
        <v>216</v>
      </c>
      <c r="M5" s="832" t="s">
        <v>217</v>
      </c>
      <c r="N5" s="832" t="s">
        <v>218</v>
      </c>
      <c r="O5" s="832" t="s">
        <v>219</v>
      </c>
      <c r="P5" s="832" t="s">
        <v>220</v>
      </c>
      <c r="Q5" s="832" t="s">
        <v>221</v>
      </c>
      <c r="R5" s="832" t="s">
        <v>222</v>
      </c>
      <c r="S5" s="832" t="s">
        <v>223</v>
      </c>
    </row>
    <row r="6" spans="1:19" ht="14.25" customHeight="1" thickBot="1">
      <c r="A6" s="838" t="s">
        <v>211</v>
      </c>
      <c r="B6" s="832" t="s">
        <v>186</v>
      </c>
      <c r="C6" s="832">
        <v>30290</v>
      </c>
      <c r="D6" s="832">
        <v>29210</v>
      </c>
      <c r="E6" s="832">
        <v>28860</v>
      </c>
      <c r="F6" s="841">
        <v>12600</v>
      </c>
      <c r="G6" s="835"/>
      <c r="H6" s="831" t="s">
        <v>224</v>
      </c>
      <c r="I6" s="832" t="s">
        <v>225</v>
      </c>
      <c r="J6" s="832" t="s">
        <v>226</v>
      </c>
      <c r="K6" s="832" t="s">
        <v>227</v>
      </c>
      <c r="L6" s="832" t="s">
        <v>228</v>
      </c>
      <c r="M6" s="832" t="s">
        <v>229</v>
      </c>
      <c r="N6" s="832" t="s">
        <v>230</v>
      </c>
      <c r="O6" s="832" t="s">
        <v>231</v>
      </c>
      <c r="P6" s="832" t="s">
        <v>232</v>
      </c>
      <c r="Q6" s="832" t="s">
        <v>233</v>
      </c>
      <c r="R6" s="832" t="s">
        <v>234</v>
      </c>
      <c r="S6" s="832" t="s">
        <v>235</v>
      </c>
    </row>
    <row r="7" spans="1:19" ht="14.25" customHeight="1" thickBot="1">
      <c r="A7" s="838" t="s">
        <v>211</v>
      </c>
      <c r="B7" s="842" t="s">
        <v>200</v>
      </c>
      <c r="C7" s="832">
        <v>29350</v>
      </c>
      <c r="D7" s="832">
        <v>28410</v>
      </c>
      <c r="E7" s="832">
        <v>27990</v>
      </c>
      <c r="F7" s="841">
        <v>12300</v>
      </c>
      <c r="G7" s="835"/>
      <c r="I7" s="832" t="s">
        <v>236</v>
      </c>
      <c r="J7" s="832" t="s">
        <v>237</v>
      </c>
      <c r="K7" s="832" t="s">
        <v>238</v>
      </c>
      <c r="L7" s="832" t="s">
        <v>239</v>
      </c>
      <c r="M7" s="832" t="s">
        <v>240</v>
      </c>
      <c r="N7" s="832" t="s">
        <v>241</v>
      </c>
      <c r="O7" s="832" t="s">
        <v>242</v>
      </c>
      <c r="P7" s="832" t="s">
        <v>243</v>
      </c>
      <c r="Q7" s="832" t="s">
        <v>244</v>
      </c>
      <c r="R7" s="832" t="s">
        <v>245</v>
      </c>
      <c r="S7" s="842" t="s">
        <v>246</v>
      </c>
    </row>
    <row r="8" spans="1:19" ht="14.25" customHeight="1" thickBot="1">
      <c r="A8" s="838" t="s">
        <v>211</v>
      </c>
      <c r="B8" s="832" t="s">
        <v>212</v>
      </c>
      <c r="C8" s="832">
        <v>30890</v>
      </c>
      <c r="D8" s="832">
        <v>29780</v>
      </c>
      <c r="E8" s="832">
        <v>29270</v>
      </c>
      <c r="F8" s="841">
        <v>11600</v>
      </c>
      <c r="G8" s="835"/>
      <c r="I8" s="832" t="s">
        <v>247</v>
      </c>
      <c r="J8" s="832" t="s">
        <v>248</v>
      </c>
      <c r="K8" s="832" t="s">
        <v>249</v>
      </c>
      <c r="L8" s="832" t="s">
        <v>250</v>
      </c>
      <c r="M8" s="832" t="s">
        <v>251</v>
      </c>
      <c r="N8" s="832" t="s">
        <v>252</v>
      </c>
      <c r="O8" s="832" t="s">
        <v>253</v>
      </c>
      <c r="P8" s="832" t="s">
        <v>254</v>
      </c>
      <c r="Q8" s="832" t="s">
        <v>255</v>
      </c>
      <c r="R8" s="832" t="s">
        <v>256</v>
      </c>
      <c r="S8" s="832" t="s">
        <v>257</v>
      </c>
    </row>
    <row r="9" spans="1:19" ht="14.25" customHeight="1" thickBot="1">
      <c r="A9" s="838" t="s">
        <v>211</v>
      </c>
      <c r="B9" s="843" t="s">
        <v>224</v>
      </c>
      <c r="C9" s="844">
        <v>28140</v>
      </c>
      <c r="D9" s="844"/>
      <c r="E9" s="844"/>
      <c r="F9" s="845"/>
      <c r="G9" s="835"/>
      <c r="I9" s="832" t="s">
        <v>258</v>
      </c>
      <c r="J9" s="832" t="s">
        <v>259</v>
      </c>
      <c r="K9" s="832" t="s">
        <v>260</v>
      </c>
      <c r="L9" s="832" t="s">
        <v>261</v>
      </c>
      <c r="M9" s="832" t="s">
        <v>262</v>
      </c>
      <c r="N9" s="832" t="s">
        <v>263</v>
      </c>
      <c r="O9" s="832" t="s">
        <v>264</v>
      </c>
      <c r="P9" s="832" t="s">
        <v>265</v>
      </c>
      <c r="Q9" s="832" t="s">
        <v>266</v>
      </c>
      <c r="R9" s="832" t="s">
        <v>267</v>
      </c>
    </row>
    <row r="10" spans="1:19" ht="14.25" customHeight="1" thickBot="1">
      <c r="A10" s="838" t="s">
        <v>268</v>
      </c>
      <c r="B10" s="839" t="s">
        <v>269</v>
      </c>
      <c r="C10" s="839">
        <v>27450</v>
      </c>
      <c r="D10" s="839">
        <v>26180</v>
      </c>
      <c r="E10" s="839">
        <v>25980</v>
      </c>
      <c r="F10" s="840">
        <v>8910</v>
      </c>
      <c r="G10" s="835"/>
      <c r="I10" s="832" t="s">
        <v>270</v>
      </c>
      <c r="J10" s="832" t="s">
        <v>271</v>
      </c>
      <c r="K10" s="832" t="s">
        <v>272</v>
      </c>
      <c r="L10" s="832" t="s">
        <v>273</v>
      </c>
      <c r="M10" s="832" t="s">
        <v>274</v>
      </c>
      <c r="N10" s="832" t="s">
        <v>275</v>
      </c>
      <c r="O10" s="832" t="s">
        <v>276</v>
      </c>
      <c r="P10" s="832" t="s">
        <v>277</v>
      </c>
      <c r="Q10" s="832" t="s">
        <v>278</v>
      </c>
      <c r="R10" s="832" t="s">
        <v>279</v>
      </c>
    </row>
    <row r="11" spans="1:19" ht="14.25" customHeight="1" thickBot="1">
      <c r="A11" s="838" t="s">
        <v>268</v>
      </c>
      <c r="B11" s="842" t="s">
        <v>187</v>
      </c>
      <c r="C11" s="832">
        <v>22950</v>
      </c>
      <c r="D11" s="832">
        <v>22630</v>
      </c>
      <c r="E11" s="832">
        <v>22030</v>
      </c>
      <c r="F11" s="846">
        <v>8330</v>
      </c>
      <c r="G11" s="835"/>
      <c r="I11" s="832" t="s">
        <v>280</v>
      </c>
      <c r="J11" s="832" t="s">
        <v>281</v>
      </c>
      <c r="K11" s="832" t="s">
        <v>282</v>
      </c>
      <c r="L11" s="832" t="s">
        <v>283</v>
      </c>
      <c r="M11" s="832" t="s">
        <v>284</v>
      </c>
      <c r="N11" s="832" t="s">
        <v>285</v>
      </c>
      <c r="O11" s="832" t="s">
        <v>286</v>
      </c>
      <c r="P11" s="832" t="s">
        <v>287</v>
      </c>
      <c r="Q11" s="832" t="s">
        <v>288</v>
      </c>
      <c r="R11" s="832" t="s">
        <v>289</v>
      </c>
    </row>
    <row r="12" spans="1:19" ht="14.25" customHeight="1" thickBot="1">
      <c r="A12" s="838" t="s">
        <v>268</v>
      </c>
      <c r="B12" s="842" t="s">
        <v>137</v>
      </c>
      <c r="C12" s="832">
        <v>24940</v>
      </c>
      <c r="D12" s="832">
        <v>23180</v>
      </c>
      <c r="E12" s="832">
        <v>22910</v>
      </c>
      <c r="F12" s="846">
        <v>7180</v>
      </c>
      <c r="G12" s="835"/>
      <c r="I12" s="832" t="s">
        <v>290</v>
      </c>
      <c r="J12" s="832" t="s">
        <v>291</v>
      </c>
      <c r="K12" s="832" t="s">
        <v>292</v>
      </c>
      <c r="L12" s="832" t="s">
        <v>293</v>
      </c>
      <c r="M12" s="832" t="s">
        <v>294</v>
      </c>
      <c r="N12" s="832" t="s">
        <v>295</v>
      </c>
      <c r="O12" s="832" t="s">
        <v>296</v>
      </c>
      <c r="P12" s="832" t="s">
        <v>297</v>
      </c>
      <c r="Q12" s="832" t="s">
        <v>298</v>
      </c>
      <c r="R12" s="832" t="s">
        <v>299</v>
      </c>
    </row>
    <row r="13" spans="1:19" ht="14.25" customHeight="1" thickBot="1">
      <c r="A13" s="838" t="s">
        <v>268</v>
      </c>
      <c r="B13" s="842" t="s">
        <v>213</v>
      </c>
      <c r="C13" s="832">
        <v>24140</v>
      </c>
      <c r="D13" s="832">
        <v>22270</v>
      </c>
      <c r="E13" s="832">
        <v>21950</v>
      </c>
      <c r="F13" s="846">
        <v>7600</v>
      </c>
      <c r="G13" s="835"/>
      <c r="I13" s="832" t="s">
        <v>300</v>
      </c>
      <c r="J13" s="832" t="s">
        <v>301</v>
      </c>
      <c r="K13" s="832" t="s">
        <v>302</v>
      </c>
      <c r="L13" s="832" t="s">
        <v>303</v>
      </c>
      <c r="M13" s="832" t="s">
        <v>304</v>
      </c>
      <c r="N13" s="832" t="s">
        <v>305</v>
      </c>
      <c r="O13" s="832" t="s">
        <v>306</v>
      </c>
      <c r="P13" s="832" t="s">
        <v>307</v>
      </c>
      <c r="Q13" s="832" t="s">
        <v>308</v>
      </c>
      <c r="R13" s="832" t="s">
        <v>309</v>
      </c>
    </row>
    <row r="14" spans="1:19" ht="14.25" customHeight="1" thickBot="1">
      <c r="A14" s="838" t="s">
        <v>268</v>
      </c>
      <c r="B14" s="842" t="s">
        <v>225</v>
      </c>
      <c r="C14" s="832">
        <v>25600</v>
      </c>
      <c r="D14" s="832">
        <v>22260</v>
      </c>
      <c r="E14" s="832">
        <v>22110</v>
      </c>
      <c r="F14" s="846">
        <v>7630</v>
      </c>
      <c r="G14" s="835"/>
      <c r="I14" s="832" t="s">
        <v>310</v>
      </c>
      <c r="J14" s="832" t="s">
        <v>311</v>
      </c>
      <c r="K14" s="832" t="s">
        <v>312</v>
      </c>
      <c r="L14" s="832" t="s">
        <v>313</v>
      </c>
      <c r="M14" s="832" t="s">
        <v>314</v>
      </c>
      <c r="N14" s="832" t="s">
        <v>315</v>
      </c>
      <c r="O14" s="832" t="s">
        <v>316</v>
      </c>
      <c r="P14" s="832" t="s">
        <v>317</v>
      </c>
      <c r="Q14" s="832" t="s">
        <v>318</v>
      </c>
      <c r="R14" s="832" t="s">
        <v>319</v>
      </c>
    </row>
    <row r="15" spans="1:19" ht="14.25" customHeight="1" thickBot="1">
      <c r="A15" s="838" t="s">
        <v>268</v>
      </c>
      <c r="B15" s="842" t="s">
        <v>236</v>
      </c>
      <c r="C15" s="832">
        <v>24760</v>
      </c>
      <c r="D15" s="832">
        <v>24440</v>
      </c>
      <c r="E15" s="832">
        <v>24130</v>
      </c>
      <c r="F15" s="846">
        <v>9480</v>
      </c>
      <c r="G15" s="835"/>
      <c r="I15" s="832" t="s">
        <v>321</v>
      </c>
      <c r="J15" s="832" t="s">
        <v>322</v>
      </c>
      <c r="K15" s="832" t="s">
        <v>323</v>
      </c>
      <c r="L15" s="832" t="s">
        <v>324</v>
      </c>
      <c r="M15" s="832" t="s">
        <v>325</v>
      </c>
      <c r="N15" s="832" t="s">
        <v>326</v>
      </c>
      <c r="O15" s="832" t="s">
        <v>327</v>
      </c>
      <c r="P15" s="832" t="s">
        <v>328</v>
      </c>
      <c r="Q15" s="832" t="s">
        <v>329</v>
      </c>
      <c r="R15" s="832" t="s">
        <v>330</v>
      </c>
    </row>
    <row r="16" spans="1:19" ht="14.25" customHeight="1" thickBot="1">
      <c r="A16" s="838" t="s">
        <v>268</v>
      </c>
      <c r="B16" s="842" t="s">
        <v>247</v>
      </c>
      <c r="C16" s="832">
        <v>22220</v>
      </c>
      <c r="D16" s="832">
        <v>22310</v>
      </c>
      <c r="E16" s="832">
        <v>22000</v>
      </c>
      <c r="F16" s="846">
        <v>8900</v>
      </c>
      <c r="G16" s="835"/>
      <c r="I16" s="832" t="s">
        <v>332</v>
      </c>
      <c r="J16" s="832" t="s">
        <v>333</v>
      </c>
      <c r="K16" s="832" t="s">
        <v>334</v>
      </c>
      <c r="L16" s="832" t="s">
        <v>335</v>
      </c>
      <c r="M16" s="832" t="s">
        <v>336</v>
      </c>
      <c r="N16" s="832" t="s">
        <v>337</v>
      </c>
      <c r="O16" s="832" t="s">
        <v>338</v>
      </c>
      <c r="P16" s="832" t="s">
        <v>339</v>
      </c>
      <c r="Q16" s="832" t="s">
        <v>340</v>
      </c>
      <c r="R16" s="832" t="s">
        <v>341</v>
      </c>
    </row>
    <row r="17" spans="1:18" ht="14.25" customHeight="1" thickBot="1">
      <c r="A17" s="838" t="s">
        <v>268</v>
      </c>
      <c r="B17" s="842" t="s">
        <v>258</v>
      </c>
      <c r="C17" s="832">
        <v>24700</v>
      </c>
      <c r="D17" s="832">
        <v>25150</v>
      </c>
      <c r="E17" s="832">
        <v>24700</v>
      </c>
      <c r="F17" s="847"/>
      <c r="G17" s="835"/>
      <c r="I17" s="832" t="s">
        <v>342</v>
      </c>
      <c r="J17" s="832" t="s">
        <v>343</v>
      </c>
      <c r="K17" s="832" t="s">
        <v>344</v>
      </c>
      <c r="L17" s="832" t="s">
        <v>345</v>
      </c>
      <c r="M17" s="832" t="s">
        <v>346</v>
      </c>
      <c r="N17" s="832" t="s">
        <v>347</v>
      </c>
      <c r="O17" s="832" t="s">
        <v>348</v>
      </c>
      <c r="P17" s="832" t="s">
        <v>349</v>
      </c>
      <c r="Q17" s="832" t="s">
        <v>350</v>
      </c>
      <c r="R17" s="832" t="s">
        <v>351</v>
      </c>
    </row>
    <row r="18" spans="1:18" ht="14.25" customHeight="1" thickBot="1">
      <c r="A18" s="838" t="s">
        <v>268</v>
      </c>
      <c r="B18" s="842" t="s">
        <v>270</v>
      </c>
      <c r="C18" s="832">
        <v>22350</v>
      </c>
      <c r="D18" s="832">
        <v>24340</v>
      </c>
      <c r="E18" s="832">
        <v>24100</v>
      </c>
      <c r="F18" s="847"/>
      <c r="G18" s="835"/>
      <c r="I18" s="832" t="s">
        <v>352</v>
      </c>
      <c r="J18" s="832" t="s">
        <v>353</v>
      </c>
      <c r="K18" s="832" t="s">
        <v>354</v>
      </c>
      <c r="L18" s="832" t="s">
        <v>355</v>
      </c>
      <c r="M18" s="832" t="s">
        <v>356</v>
      </c>
      <c r="N18" s="832" t="s">
        <v>357</v>
      </c>
      <c r="O18" s="832" t="s">
        <v>358</v>
      </c>
      <c r="P18" s="832" t="s">
        <v>359</v>
      </c>
      <c r="Q18" s="832" t="s">
        <v>360</v>
      </c>
      <c r="R18" s="832" t="s">
        <v>361</v>
      </c>
    </row>
    <row r="19" spans="1:18" ht="14.25" customHeight="1" thickBot="1">
      <c r="A19" s="838" t="s">
        <v>268</v>
      </c>
      <c r="B19" s="842" t="s">
        <v>280</v>
      </c>
      <c r="C19" s="832">
        <v>23430</v>
      </c>
      <c r="D19" s="832">
        <v>21580</v>
      </c>
      <c r="E19" s="832">
        <v>21350</v>
      </c>
      <c r="F19" s="847"/>
      <c r="G19" s="835"/>
      <c r="I19" s="832" t="s">
        <v>362</v>
      </c>
      <c r="J19" s="832" t="s">
        <v>363</v>
      </c>
      <c r="K19" s="832" t="s">
        <v>364</v>
      </c>
      <c r="L19" s="832" t="s">
        <v>365</v>
      </c>
      <c r="M19" s="832" t="s">
        <v>366</v>
      </c>
      <c r="N19" s="832" t="s">
        <v>367</v>
      </c>
      <c r="O19" s="832" t="s">
        <v>368</v>
      </c>
      <c r="P19" s="832" t="s">
        <v>369</v>
      </c>
      <c r="Q19" s="832" t="s">
        <v>370</v>
      </c>
      <c r="R19" s="832" t="s">
        <v>371</v>
      </c>
    </row>
    <row r="20" spans="1:18" ht="14.25" customHeight="1" thickBot="1">
      <c r="A20" s="838" t="s">
        <v>268</v>
      </c>
      <c r="B20" s="842" t="s">
        <v>290</v>
      </c>
      <c r="C20" s="832">
        <v>27660</v>
      </c>
      <c r="D20" s="832">
        <v>24240</v>
      </c>
      <c r="E20" s="832">
        <v>24020</v>
      </c>
      <c r="F20" s="847"/>
      <c r="I20" s="832" t="s">
        <v>372</v>
      </c>
      <c r="J20" s="832" t="s">
        <v>373</v>
      </c>
      <c r="K20" s="832" t="s">
        <v>374</v>
      </c>
      <c r="L20" s="832" t="s">
        <v>375</v>
      </c>
      <c r="M20" s="832" t="s">
        <v>376</v>
      </c>
      <c r="N20" s="832" t="s">
        <v>377</v>
      </c>
      <c r="O20" s="832" t="s">
        <v>378</v>
      </c>
      <c r="P20" s="832" t="s">
        <v>379</v>
      </c>
      <c r="Q20" s="832" t="s">
        <v>380</v>
      </c>
      <c r="R20" s="832" t="s">
        <v>381</v>
      </c>
    </row>
    <row r="21" spans="1:18" ht="14.25" customHeight="1" thickBot="1">
      <c r="A21" s="838" t="s">
        <v>268</v>
      </c>
      <c r="B21" s="842" t="s">
        <v>300</v>
      </c>
      <c r="C21" s="832">
        <v>24720</v>
      </c>
      <c r="D21" s="832">
        <v>21670</v>
      </c>
      <c r="E21" s="832">
        <v>21510</v>
      </c>
      <c r="F21" s="847"/>
      <c r="J21" s="832" t="s">
        <v>382</v>
      </c>
      <c r="K21" s="832" t="s">
        <v>383</v>
      </c>
      <c r="L21" s="832" t="s">
        <v>384</v>
      </c>
      <c r="M21" s="832" t="s">
        <v>385</v>
      </c>
      <c r="N21" s="832" t="s">
        <v>386</v>
      </c>
      <c r="O21" s="832" t="s">
        <v>387</v>
      </c>
      <c r="P21" s="832" t="s">
        <v>388</v>
      </c>
      <c r="Q21" s="832" t="s">
        <v>389</v>
      </c>
      <c r="R21" s="832" t="s">
        <v>390</v>
      </c>
    </row>
    <row r="22" spans="1:18" ht="14.25" customHeight="1" thickBot="1">
      <c r="A22" s="838" t="s">
        <v>268</v>
      </c>
      <c r="B22" s="842" t="s">
        <v>391</v>
      </c>
      <c r="C22" s="832">
        <v>26530</v>
      </c>
      <c r="D22" s="832">
        <v>22980</v>
      </c>
      <c r="E22" s="832">
        <v>22650</v>
      </c>
      <c r="F22" s="847"/>
      <c r="K22" s="832" t="s">
        <v>392</v>
      </c>
      <c r="L22" s="832" t="s">
        <v>393</v>
      </c>
      <c r="M22" s="832" t="s">
        <v>394</v>
      </c>
      <c r="N22" s="832" t="s">
        <v>395</v>
      </c>
      <c r="O22" s="832" t="s">
        <v>396</v>
      </c>
      <c r="P22" s="832" t="s">
        <v>397</v>
      </c>
      <c r="Q22" s="832" t="s">
        <v>398</v>
      </c>
      <c r="R22" s="842" t="s">
        <v>399</v>
      </c>
    </row>
    <row r="23" spans="1:18" ht="14.25" customHeight="1" thickBot="1">
      <c r="A23" s="838" t="s">
        <v>268</v>
      </c>
      <c r="B23" s="842" t="s">
        <v>321</v>
      </c>
      <c r="C23" s="832">
        <v>24700</v>
      </c>
      <c r="D23" s="832">
        <v>27290</v>
      </c>
      <c r="E23" s="832">
        <v>26710</v>
      </c>
      <c r="F23" s="847"/>
      <c r="K23" s="832" t="s">
        <v>400</v>
      </c>
      <c r="L23" s="832" t="s">
        <v>401</v>
      </c>
      <c r="M23" s="832" t="s">
        <v>402</v>
      </c>
      <c r="N23" s="832" t="s">
        <v>403</v>
      </c>
      <c r="O23" s="832" t="s">
        <v>404</v>
      </c>
      <c r="P23" s="832" t="s">
        <v>405</v>
      </c>
      <c r="Q23" s="832" t="s">
        <v>406</v>
      </c>
    </row>
    <row r="24" spans="1:18" ht="14.25" customHeight="1" thickBot="1">
      <c r="A24" s="838" t="s">
        <v>268</v>
      </c>
      <c r="B24" s="842" t="s">
        <v>332</v>
      </c>
      <c r="C24" s="832">
        <v>23070</v>
      </c>
      <c r="D24" s="832">
        <v>24130</v>
      </c>
      <c r="E24" s="832">
        <v>23860</v>
      </c>
      <c r="F24" s="847"/>
      <c r="K24" s="832" t="s">
        <v>407</v>
      </c>
      <c r="L24" s="832" t="s">
        <v>408</v>
      </c>
      <c r="M24" s="832" t="s">
        <v>409</v>
      </c>
      <c r="N24" s="832" t="s">
        <v>410</v>
      </c>
      <c r="O24" s="832" t="s">
        <v>411</v>
      </c>
      <c r="P24" s="832" t="s">
        <v>412</v>
      </c>
      <c r="Q24" s="832" t="s">
        <v>413</v>
      </c>
    </row>
    <row r="25" spans="1:18" ht="14.25" customHeight="1" thickBot="1">
      <c r="A25" s="838" t="s">
        <v>268</v>
      </c>
      <c r="B25" s="842" t="s">
        <v>342</v>
      </c>
      <c r="C25" s="832">
        <v>27550</v>
      </c>
      <c r="D25" s="832">
        <v>25850</v>
      </c>
      <c r="E25" s="832">
        <v>25340</v>
      </c>
      <c r="F25" s="847"/>
      <c r="K25" s="832" t="s">
        <v>414</v>
      </c>
      <c r="L25" s="832" t="s">
        <v>415</v>
      </c>
      <c r="M25" s="832" t="s">
        <v>416</v>
      </c>
      <c r="N25" s="832" t="s">
        <v>417</v>
      </c>
      <c r="O25" s="832" t="s">
        <v>418</v>
      </c>
      <c r="P25" s="832" t="s">
        <v>419</v>
      </c>
      <c r="Q25" s="832" t="s">
        <v>420</v>
      </c>
    </row>
    <row r="26" spans="1:18" ht="14.25" customHeight="1" thickBot="1">
      <c r="A26" s="838" t="s">
        <v>268</v>
      </c>
      <c r="B26" s="842" t="s">
        <v>352</v>
      </c>
      <c r="C26" s="832"/>
      <c r="D26" s="832">
        <v>23900</v>
      </c>
      <c r="E26" s="832">
        <v>23590</v>
      </c>
      <c r="F26" s="847"/>
      <c r="K26" s="832" t="s">
        <v>421</v>
      </c>
      <c r="L26" s="832" t="s">
        <v>422</v>
      </c>
      <c r="M26" s="832" t="s">
        <v>423</v>
      </c>
      <c r="N26" s="832" t="s">
        <v>424</v>
      </c>
      <c r="O26" s="832" t="s">
        <v>425</v>
      </c>
      <c r="P26" s="832" t="s">
        <v>426</v>
      </c>
      <c r="Q26" s="832" t="s">
        <v>427</v>
      </c>
    </row>
    <row r="27" spans="1:18" ht="14.25" customHeight="1" thickBot="1">
      <c r="A27" s="838" t="s">
        <v>268</v>
      </c>
      <c r="B27" s="842" t="s">
        <v>362</v>
      </c>
      <c r="C27" s="832"/>
      <c r="D27" s="832">
        <v>22850</v>
      </c>
      <c r="E27" s="832">
        <v>21920</v>
      </c>
      <c r="F27" s="847"/>
      <c r="K27" s="832" t="s">
        <v>428</v>
      </c>
      <c r="L27" s="832" t="s">
        <v>429</v>
      </c>
      <c r="M27" s="832" t="s">
        <v>430</v>
      </c>
      <c r="N27" s="832" t="s">
        <v>431</v>
      </c>
      <c r="O27" s="832" t="s">
        <v>432</v>
      </c>
      <c r="P27" s="832" t="s">
        <v>433</v>
      </c>
      <c r="Q27" s="832" t="s">
        <v>434</v>
      </c>
    </row>
    <row r="28" spans="1:18" ht="14.25" customHeight="1" thickBot="1">
      <c r="A28" s="848" t="s">
        <v>268</v>
      </c>
      <c r="B28" s="843" t="s">
        <v>372</v>
      </c>
      <c r="C28" s="844"/>
      <c r="D28" s="844">
        <v>26610</v>
      </c>
      <c r="E28" s="844">
        <v>26370</v>
      </c>
      <c r="F28" s="845"/>
      <c r="K28" s="832" t="s">
        <v>435</v>
      </c>
      <c r="L28" s="832" t="s">
        <v>436</v>
      </c>
      <c r="M28" s="832" t="s">
        <v>437</v>
      </c>
      <c r="N28" s="832" t="s">
        <v>438</v>
      </c>
      <c r="O28" s="832" t="s">
        <v>439</v>
      </c>
      <c r="P28" s="832" t="s">
        <v>440</v>
      </c>
    </row>
    <row r="29" spans="1:18" ht="14.25" customHeight="1" thickBot="1">
      <c r="A29" s="838" t="s">
        <v>441</v>
      </c>
      <c r="B29" s="839" t="s">
        <v>442</v>
      </c>
      <c r="C29" s="839">
        <v>22090</v>
      </c>
      <c r="D29" s="839">
        <v>21860</v>
      </c>
      <c r="E29" s="839">
        <v>19380</v>
      </c>
      <c r="F29" s="840">
        <v>6610</v>
      </c>
      <c r="L29" s="832" t="s">
        <v>443</v>
      </c>
      <c r="M29" s="832" t="s">
        <v>444</v>
      </c>
      <c r="N29" s="832" t="s">
        <v>445</v>
      </c>
      <c r="O29" s="832" t="s">
        <v>446</v>
      </c>
      <c r="P29" s="832" t="s">
        <v>447</v>
      </c>
    </row>
    <row r="30" spans="1:18" ht="14.25" customHeight="1" thickBot="1">
      <c r="A30" s="838" t="s">
        <v>441</v>
      </c>
      <c r="B30" s="842" t="s">
        <v>188</v>
      </c>
      <c r="C30" s="832">
        <v>21380</v>
      </c>
      <c r="D30" s="832">
        <v>19930</v>
      </c>
      <c r="E30" s="832">
        <v>19860</v>
      </c>
      <c r="F30" s="846">
        <v>6010</v>
      </c>
      <c r="L30" s="832" t="s">
        <v>448</v>
      </c>
      <c r="M30" s="832" t="s">
        <v>449</v>
      </c>
      <c r="N30" s="832" t="s">
        <v>450</v>
      </c>
      <c r="O30" s="832" t="s">
        <v>1048</v>
      </c>
      <c r="P30" s="832" t="s">
        <v>451</v>
      </c>
    </row>
    <row r="31" spans="1:18" ht="14.25" customHeight="1" thickBot="1">
      <c r="A31" s="838" t="s">
        <v>441</v>
      </c>
      <c r="B31" s="842" t="s">
        <v>201</v>
      </c>
      <c r="C31" s="832">
        <v>21670</v>
      </c>
      <c r="D31" s="832">
        <v>20660</v>
      </c>
      <c r="E31" s="832">
        <v>20290</v>
      </c>
      <c r="F31" s="846">
        <v>5840</v>
      </c>
      <c r="L31" s="832" t="s">
        <v>452</v>
      </c>
      <c r="M31" s="832" t="s">
        <v>453</v>
      </c>
      <c r="N31" s="832" t="s">
        <v>454</v>
      </c>
      <c r="O31" s="832" t="s">
        <v>455</v>
      </c>
      <c r="P31" s="832" t="s">
        <v>456</v>
      </c>
    </row>
    <row r="32" spans="1:18" ht="14.25" customHeight="1" thickBot="1">
      <c r="A32" s="838" t="s">
        <v>441</v>
      </c>
      <c r="B32" s="842" t="s">
        <v>214</v>
      </c>
      <c r="C32" s="832">
        <v>22280</v>
      </c>
      <c r="D32" s="832">
        <v>21800</v>
      </c>
      <c r="E32" s="832">
        <v>17650</v>
      </c>
      <c r="F32" s="846">
        <v>4690</v>
      </c>
      <c r="L32" s="832" t="s">
        <v>457</v>
      </c>
      <c r="M32" s="832" t="s">
        <v>458</v>
      </c>
      <c r="N32" s="832" t="s">
        <v>459</v>
      </c>
      <c r="O32" s="832" t="s">
        <v>460</v>
      </c>
      <c r="P32" s="832" t="s">
        <v>461</v>
      </c>
    </row>
    <row r="33" spans="1:16" ht="14.25" customHeight="1" thickBot="1">
      <c r="A33" s="838" t="s">
        <v>441</v>
      </c>
      <c r="B33" s="842" t="s">
        <v>226</v>
      </c>
      <c r="C33" s="832">
        <v>22130</v>
      </c>
      <c r="D33" s="832">
        <v>20460</v>
      </c>
      <c r="E33" s="832">
        <v>18500</v>
      </c>
      <c r="F33" s="846">
        <v>5340</v>
      </c>
      <c r="L33" s="832" t="s">
        <v>462</v>
      </c>
      <c r="M33" s="832" t="s">
        <v>463</v>
      </c>
      <c r="N33" s="832" t="s">
        <v>464</v>
      </c>
      <c r="O33" s="832" t="s">
        <v>465</v>
      </c>
      <c r="P33" s="832" t="s">
        <v>466</v>
      </c>
    </row>
    <row r="34" spans="1:16" ht="14.25" customHeight="1" thickBot="1">
      <c r="A34" s="838" t="s">
        <v>441</v>
      </c>
      <c r="B34" s="842" t="s">
        <v>237</v>
      </c>
      <c r="C34" s="832">
        <v>22070</v>
      </c>
      <c r="D34" s="832">
        <v>20110</v>
      </c>
      <c r="E34" s="832">
        <v>18830</v>
      </c>
      <c r="F34" s="846">
        <v>5190</v>
      </c>
      <c r="L34" s="832" t="s">
        <v>467</v>
      </c>
      <c r="M34" s="832" t="s">
        <v>468</v>
      </c>
      <c r="N34" s="832" t="s">
        <v>469</v>
      </c>
      <c r="O34" s="832" t="s">
        <v>470</v>
      </c>
      <c r="P34" s="832" t="s">
        <v>471</v>
      </c>
    </row>
    <row r="35" spans="1:16" ht="14.25" customHeight="1" thickBot="1">
      <c r="A35" s="838" t="s">
        <v>441</v>
      </c>
      <c r="B35" s="842" t="s">
        <v>248</v>
      </c>
      <c r="C35" s="832">
        <v>22240</v>
      </c>
      <c r="D35" s="832">
        <v>19550</v>
      </c>
      <c r="E35" s="832">
        <v>19220</v>
      </c>
      <c r="F35" s="846">
        <v>5800</v>
      </c>
      <c r="L35" s="832" t="s">
        <v>472</v>
      </c>
      <c r="M35" s="832" t="s">
        <v>473</v>
      </c>
      <c r="N35" s="832" t="s">
        <v>474</v>
      </c>
      <c r="O35" s="832" t="s">
        <v>475</v>
      </c>
      <c r="P35" s="832" t="s">
        <v>476</v>
      </c>
    </row>
    <row r="36" spans="1:16" ht="14.25" customHeight="1" thickBot="1">
      <c r="A36" s="838" t="s">
        <v>441</v>
      </c>
      <c r="B36" s="842" t="s">
        <v>259</v>
      </c>
      <c r="C36" s="832">
        <v>19750</v>
      </c>
      <c r="D36" s="832">
        <v>19790</v>
      </c>
      <c r="E36" s="832">
        <v>18510</v>
      </c>
      <c r="F36" s="846">
        <v>6520</v>
      </c>
      <c r="M36" s="832" t="s">
        <v>477</v>
      </c>
      <c r="N36" s="832" t="s">
        <v>478</v>
      </c>
      <c r="O36" s="832" t="s">
        <v>479</v>
      </c>
      <c r="P36" s="832" t="s">
        <v>480</v>
      </c>
    </row>
    <row r="37" spans="1:16" ht="14.25" customHeight="1" thickBot="1">
      <c r="A37" s="838" t="s">
        <v>441</v>
      </c>
      <c r="B37" s="842" t="s">
        <v>271</v>
      </c>
      <c r="C37" s="832">
        <v>22380</v>
      </c>
      <c r="D37" s="832">
        <v>18530</v>
      </c>
      <c r="E37" s="832">
        <v>17930</v>
      </c>
      <c r="F37" s="846">
        <v>6270</v>
      </c>
      <c r="M37" s="832" t="s">
        <v>481</v>
      </c>
      <c r="N37" s="832" t="s">
        <v>482</v>
      </c>
      <c r="O37" s="832" t="s">
        <v>483</v>
      </c>
      <c r="P37" s="832" t="s">
        <v>484</v>
      </c>
    </row>
    <row r="38" spans="1:16" ht="14.25" customHeight="1" thickBot="1">
      <c r="A38" s="838" t="s">
        <v>441</v>
      </c>
      <c r="B38" s="842" t="s">
        <v>281</v>
      </c>
      <c r="C38" s="832">
        <v>20200</v>
      </c>
      <c r="D38" s="832">
        <v>20070</v>
      </c>
      <c r="E38" s="832">
        <v>19950</v>
      </c>
      <c r="F38" s="846"/>
      <c r="M38" s="832" t="s">
        <v>485</v>
      </c>
      <c r="N38" s="832" t="s">
        <v>486</v>
      </c>
      <c r="O38" s="832" t="s">
        <v>487</v>
      </c>
      <c r="P38" s="832" t="s">
        <v>488</v>
      </c>
    </row>
    <row r="39" spans="1:16" ht="14.25" customHeight="1" thickBot="1">
      <c r="A39" s="838" t="s">
        <v>441</v>
      </c>
      <c r="B39" s="842" t="s">
        <v>291</v>
      </c>
      <c r="C39" s="832">
        <v>19300</v>
      </c>
      <c r="D39" s="832">
        <v>20360</v>
      </c>
      <c r="E39" s="832">
        <v>20230</v>
      </c>
      <c r="F39" s="846"/>
      <c r="M39" s="832" t="s">
        <v>489</v>
      </c>
      <c r="N39" s="832" t="s">
        <v>490</v>
      </c>
      <c r="O39" s="832" t="s">
        <v>491</v>
      </c>
      <c r="P39" s="832" t="s">
        <v>492</v>
      </c>
    </row>
    <row r="40" spans="1:16" ht="14.25" customHeight="1" thickBot="1">
      <c r="A40" s="838" t="s">
        <v>441</v>
      </c>
      <c r="B40" s="842" t="s">
        <v>301</v>
      </c>
      <c r="C40" s="832">
        <v>20210</v>
      </c>
      <c r="D40" s="832">
        <v>19060</v>
      </c>
      <c r="E40" s="832">
        <v>18890</v>
      </c>
      <c r="F40" s="846"/>
      <c r="M40" s="832" t="s">
        <v>493</v>
      </c>
      <c r="N40" s="832" t="s">
        <v>494</v>
      </c>
      <c r="O40" s="832" t="s">
        <v>495</v>
      </c>
      <c r="P40" s="832" t="s">
        <v>496</v>
      </c>
    </row>
    <row r="41" spans="1:16" ht="14.25" customHeight="1" thickBot="1">
      <c r="A41" s="838" t="s">
        <v>441</v>
      </c>
      <c r="B41" s="842" t="s">
        <v>311</v>
      </c>
      <c r="C41" s="832">
        <v>20560</v>
      </c>
      <c r="D41" s="832">
        <v>21040</v>
      </c>
      <c r="E41" s="832">
        <v>20740</v>
      </c>
      <c r="F41" s="846"/>
      <c r="M41" s="842" t="s">
        <v>497</v>
      </c>
      <c r="N41" s="842" t="s">
        <v>498</v>
      </c>
      <c r="P41" s="842" t="s">
        <v>499</v>
      </c>
    </row>
    <row r="42" spans="1:16" ht="14.25" customHeight="1" thickBot="1">
      <c r="A42" s="838" t="s">
        <v>441</v>
      </c>
      <c r="B42" s="842" t="s">
        <v>322</v>
      </c>
      <c r="C42" s="832">
        <v>19280</v>
      </c>
      <c r="D42" s="832">
        <v>22940</v>
      </c>
      <c r="E42" s="832">
        <v>22500</v>
      </c>
      <c r="F42" s="846"/>
      <c r="M42" s="832" t="s">
        <v>500</v>
      </c>
      <c r="N42" s="832" t="s">
        <v>501</v>
      </c>
      <c r="P42" s="832" t="s">
        <v>502</v>
      </c>
    </row>
    <row r="43" spans="1:16" ht="14.25" customHeight="1" thickBot="1">
      <c r="A43" s="838" t="s">
        <v>441</v>
      </c>
      <c r="B43" s="842" t="s">
        <v>333</v>
      </c>
      <c r="C43" s="832">
        <v>21520</v>
      </c>
      <c r="D43" s="832">
        <v>19230</v>
      </c>
      <c r="E43" s="832">
        <v>18540</v>
      </c>
      <c r="F43" s="846"/>
      <c r="M43" s="832" t="s">
        <v>503</v>
      </c>
      <c r="N43" s="832" t="s">
        <v>504</v>
      </c>
      <c r="P43" s="832" t="s">
        <v>505</v>
      </c>
    </row>
    <row r="44" spans="1:16" ht="14.25" customHeight="1" thickBot="1">
      <c r="A44" s="838" t="s">
        <v>441</v>
      </c>
      <c r="B44" s="842" t="s">
        <v>343</v>
      </c>
      <c r="C44" s="832">
        <v>23260</v>
      </c>
      <c r="D44" s="832">
        <v>21180</v>
      </c>
      <c r="E44" s="832">
        <v>20730</v>
      </c>
      <c r="F44" s="846"/>
      <c r="M44" s="832" t="s">
        <v>506</v>
      </c>
      <c r="N44" s="832" t="s">
        <v>507</v>
      </c>
      <c r="P44" s="832" t="s">
        <v>508</v>
      </c>
    </row>
    <row r="45" spans="1:16" ht="14.25" customHeight="1" thickBot="1">
      <c r="A45" s="838" t="s">
        <v>441</v>
      </c>
      <c r="B45" s="842" t="s">
        <v>353</v>
      </c>
      <c r="C45" s="832">
        <v>19610</v>
      </c>
      <c r="D45" s="832">
        <v>18090</v>
      </c>
      <c r="E45" s="832">
        <v>17970</v>
      </c>
      <c r="F45" s="846"/>
      <c r="M45" s="832" t="s">
        <v>509</v>
      </c>
      <c r="N45" s="832" t="s">
        <v>510</v>
      </c>
      <c r="P45" s="832" t="s">
        <v>511</v>
      </c>
    </row>
    <row r="46" spans="1:16" ht="14.25" customHeight="1" thickBot="1">
      <c r="A46" s="838" t="s">
        <v>441</v>
      </c>
      <c r="B46" s="842" t="s">
        <v>363</v>
      </c>
      <c r="C46" s="832">
        <v>21660</v>
      </c>
      <c r="D46" s="832">
        <v>19190</v>
      </c>
      <c r="E46" s="832">
        <v>19790</v>
      </c>
      <c r="F46" s="846"/>
      <c r="M46" s="832" t="s">
        <v>512</v>
      </c>
      <c r="N46" s="832" t="s">
        <v>513</v>
      </c>
      <c r="P46" s="832" t="s">
        <v>514</v>
      </c>
    </row>
    <row r="47" spans="1:16" ht="14.25" customHeight="1" thickBot="1">
      <c r="A47" s="838" t="s">
        <v>441</v>
      </c>
      <c r="B47" s="842" t="s">
        <v>373</v>
      </c>
      <c r="C47" s="832">
        <v>18220</v>
      </c>
      <c r="D47" s="832"/>
      <c r="E47" s="832">
        <v>17220</v>
      </c>
      <c r="F47" s="846"/>
      <c r="M47" s="832" t="s">
        <v>515</v>
      </c>
      <c r="N47" s="832" t="s">
        <v>516</v>
      </c>
    </row>
    <row r="48" spans="1:16" ht="14.25" customHeight="1" thickBot="1">
      <c r="A48" s="838" t="s">
        <v>441</v>
      </c>
      <c r="B48" s="843" t="s">
        <v>382</v>
      </c>
      <c r="C48" s="844">
        <v>19430</v>
      </c>
      <c r="D48" s="844"/>
      <c r="E48" s="844">
        <v>17830</v>
      </c>
      <c r="F48" s="849"/>
      <c r="M48" s="832" t="s">
        <v>517</v>
      </c>
      <c r="N48" s="832" t="s">
        <v>518</v>
      </c>
    </row>
    <row r="49" spans="1:14" ht="14.25" customHeight="1" thickBot="1">
      <c r="A49" s="838" t="s">
        <v>136</v>
      </c>
      <c r="B49" s="839" t="s">
        <v>519</v>
      </c>
      <c r="C49" s="839">
        <v>17090</v>
      </c>
      <c r="D49" s="839">
        <v>16950</v>
      </c>
      <c r="E49" s="839">
        <v>16310</v>
      </c>
      <c r="F49" s="840">
        <v>4540</v>
      </c>
      <c r="M49" s="832" t="s">
        <v>520</v>
      </c>
      <c r="N49" s="832" t="s">
        <v>521</v>
      </c>
    </row>
    <row r="50" spans="1:14" ht="14.25" customHeight="1" thickBot="1">
      <c r="A50" s="838" t="s">
        <v>136</v>
      </c>
      <c r="B50" s="832" t="s">
        <v>189</v>
      </c>
      <c r="C50" s="832">
        <v>19040</v>
      </c>
      <c r="D50" s="832">
        <v>16960</v>
      </c>
      <c r="E50" s="832">
        <v>14800</v>
      </c>
      <c r="F50" s="846">
        <v>3940</v>
      </c>
    </row>
    <row r="51" spans="1:14" ht="14.25" customHeight="1" thickBot="1">
      <c r="A51" s="838" t="s">
        <v>136</v>
      </c>
      <c r="B51" s="832" t="s">
        <v>202</v>
      </c>
      <c r="C51" s="832">
        <v>17040</v>
      </c>
      <c r="D51" s="832">
        <v>16930</v>
      </c>
      <c r="E51" s="832">
        <v>15030</v>
      </c>
      <c r="F51" s="846">
        <v>4120</v>
      </c>
    </row>
    <row r="52" spans="1:14" ht="14.25" customHeight="1" thickBot="1">
      <c r="A52" s="838" t="s">
        <v>136</v>
      </c>
      <c r="B52" s="832" t="s">
        <v>215</v>
      </c>
      <c r="C52" s="832">
        <v>17110</v>
      </c>
      <c r="D52" s="832">
        <v>17750</v>
      </c>
      <c r="E52" s="832">
        <v>17310</v>
      </c>
      <c r="F52" s="846">
        <v>3220</v>
      </c>
    </row>
    <row r="53" spans="1:14" ht="14.25" customHeight="1" thickBot="1">
      <c r="A53" s="838" t="s">
        <v>136</v>
      </c>
      <c r="B53" s="832" t="s">
        <v>227</v>
      </c>
      <c r="C53" s="832">
        <v>17810</v>
      </c>
      <c r="D53" s="832">
        <v>17260</v>
      </c>
      <c r="E53" s="832">
        <v>17090</v>
      </c>
      <c r="F53" s="846">
        <v>3520</v>
      </c>
    </row>
    <row r="54" spans="1:14" ht="14.25" customHeight="1" thickBot="1">
      <c r="A54" s="838" t="s">
        <v>136</v>
      </c>
      <c r="B54" s="832" t="s">
        <v>238</v>
      </c>
      <c r="C54" s="832">
        <v>17410</v>
      </c>
      <c r="D54" s="832">
        <v>16780</v>
      </c>
      <c r="E54" s="832">
        <v>16370</v>
      </c>
      <c r="F54" s="846">
        <v>3410</v>
      </c>
    </row>
    <row r="55" spans="1:14" ht="14.25" customHeight="1" thickBot="1">
      <c r="A55" s="838" t="s">
        <v>136</v>
      </c>
      <c r="B55" s="832" t="s">
        <v>249</v>
      </c>
      <c r="C55" s="832">
        <v>16930</v>
      </c>
      <c r="D55" s="832">
        <v>14720</v>
      </c>
      <c r="E55" s="832">
        <v>15000</v>
      </c>
      <c r="F55" s="846">
        <v>3710</v>
      </c>
    </row>
    <row r="56" spans="1:14" ht="14.25" customHeight="1" thickBot="1">
      <c r="A56" s="838" t="s">
        <v>136</v>
      </c>
      <c r="B56" s="832" t="s">
        <v>260</v>
      </c>
      <c r="C56" s="832">
        <v>14930</v>
      </c>
      <c r="D56" s="832">
        <v>15850</v>
      </c>
      <c r="E56" s="832">
        <v>14320</v>
      </c>
      <c r="F56" s="846">
        <v>3960</v>
      </c>
    </row>
    <row r="57" spans="1:14" ht="14.25" customHeight="1" thickBot="1">
      <c r="A57" s="838" t="s">
        <v>136</v>
      </c>
      <c r="B57" s="832" t="s">
        <v>272</v>
      </c>
      <c r="C57" s="832">
        <v>16160</v>
      </c>
      <c r="D57" s="832">
        <v>16190</v>
      </c>
      <c r="E57" s="832">
        <v>15650</v>
      </c>
      <c r="F57" s="846">
        <v>4200</v>
      </c>
    </row>
    <row r="58" spans="1:14" ht="14.25" customHeight="1" thickBot="1">
      <c r="A58" s="838" t="s">
        <v>136</v>
      </c>
      <c r="B58" s="832" t="s">
        <v>282</v>
      </c>
      <c r="C58" s="832">
        <v>16360</v>
      </c>
      <c r="D58" s="832">
        <v>14050</v>
      </c>
      <c r="E58" s="832">
        <v>16070</v>
      </c>
      <c r="F58" s="846">
        <v>3990</v>
      </c>
    </row>
    <row r="59" spans="1:14" ht="14.25" customHeight="1" thickBot="1">
      <c r="A59" s="838" t="s">
        <v>136</v>
      </c>
      <c r="B59" s="832" t="s">
        <v>292</v>
      </c>
      <c r="C59" s="832">
        <v>14160</v>
      </c>
      <c r="D59" s="832">
        <v>16620</v>
      </c>
      <c r="E59" s="832">
        <v>13940</v>
      </c>
      <c r="F59" s="846">
        <v>4260</v>
      </c>
    </row>
    <row r="60" spans="1:14" ht="14.25" customHeight="1" thickBot="1">
      <c r="A60" s="838" t="s">
        <v>136</v>
      </c>
      <c r="B60" s="832" t="s">
        <v>302</v>
      </c>
      <c r="C60" s="832">
        <v>16750</v>
      </c>
      <c r="D60" s="832">
        <v>13910</v>
      </c>
      <c r="E60" s="832">
        <v>16550</v>
      </c>
      <c r="F60" s="846">
        <v>4550</v>
      </c>
    </row>
    <row r="61" spans="1:14" ht="14.25" customHeight="1" thickBot="1">
      <c r="A61" s="838" t="s">
        <v>136</v>
      </c>
      <c r="B61" s="832" t="s">
        <v>312</v>
      </c>
      <c r="C61" s="832">
        <v>14000</v>
      </c>
      <c r="D61" s="832">
        <v>14550</v>
      </c>
      <c r="E61" s="832">
        <v>13860</v>
      </c>
      <c r="F61" s="850"/>
    </row>
    <row r="62" spans="1:14" ht="14.25" customHeight="1" thickBot="1">
      <c r="A62" s="838" t="s">
        <v>136</v>
      </c>
      <c r="B62" s="832" t="s">
        <v>323</v>
      </c>
      <c r="C62" s="832">
        <v>14660</v>
      </c>
      <c r="D62" s="832">
        <v>17450</v>
      </c>
      <c r="E62" s="832">
        <v>14470</v>
      </c>
      <c r="F62" s="850"/>
    </row>
    <row r="63" spans="1:14" ht="14.25" customHeight="1" thickBot="1">
      <c r="A63" s="838" t="s">
        <v>136</v>
      </c>
      <c r="B63" s="832" t="s">
        <v>334</v>
      </c>
      <c r="C63" s="832">
        <v>17610</v>
      </c>
      <c r="D63" s="832">
        <v>16500</v>
      </c>
      <c r="E63" s="832">
        <v>17330</v>
      </c>
      <c r="F63" s="850"/>
    </row>
    <row r="64" spans="1:14" ht="14.25" customHeight="1" thickBot="1">
      <c r="A64" s="838" t="s">
        <v>136</v>
      </c>
      <c r="B64" s="832" t="s">
        <v>344</v>
      </c>
      <c r="C64" s="832">
        <v>16590</v>
      </c>
      <c r="D64" s="832">
        <v>15130</v>
      </c>
      <c r="E64" s="832">
        <v>16420</v>
      </c>
      <c r="F64" s="850"/>
    </row>
    <row r="65" spans="1:6" s="826" customFormat="1" ht="14.25" customHeight="1" thickBot="1">
      <c r="A65" s="838" t="s">
        <v>136</v>
      </c>
      <c r="B65" s="832" t="s">
        <v>354</v>
      </c>
      <c r="C65" s="832">
        <v>15220</v>
      </c>
      <c r="D65" s="832">
        <v>14660</v>
      </c>
      <c r="E65" s="832">
        <v>15060</v>
      </c>
      <c r="F65" s="846"/>
    </row>
    <row r="66" spans="1:6" s="826" customFormat="1" ht="14.25" customHeight="1" thickBot="1">
      <c r="A66" s="838" t="s">
        <v>136</v>
      </c>
      <c r="B66" s="832" t="s">
        <v>364</v>
      </c>
      <c r="C66" s="832">
        <v>14720</v>
      </c>
      <c r="D66" s="832">
        <v>15970</v>
      </c>
      <c r="E66" s="832">
        <v>14610</v>
      </c>
      <c r="F66" s="846"/>
    </row>
    <row r="67" spans="1:6" s="826" customFormat="1" ht="14.25" customHeight="1" thickBot="1">
      <c r="A67" s="838" t="s">
        <v>136</v>
      </c>
      <c r="B67" s="832" t="s">
        <v>374</v>
      </c>
      <c r="C67" s="832">
        <v>16080</v>
      </c>
      <c r="D67" s="832">
        <v>14840</v>
      </c>
      <c r="E67" s="832">
        <v>15630</v>
      </c>
      <c r="F67" s="846"/>
    </row>
    <row r="68" spans="1:6" s="826" customFormat="1" ht="14.25" customHeight="1" thickBot="1">
      <c r="A68" s="838" t="s">
        <v>136</v>
      </c>
      <c r="B68" s="832" t="s">
        <v>383</v>
      </c>
      <c r="C68" s="832">
        <v>14940</v>
      </c>
      <c r="D68" s="832">
        <v>18000</v>
      </c>
      <c r="E68" s="832">
        <v>14040</v>
      </c>
      <c r="F68" s="846"/>
    </row>
    <row r="69" spans="1:6" s="826" customFormat="1" ht="14.25" customHeight="1" thickBot="1">
      <c r="A69" s="838" t="s">
        <v>136</v>
      </c>
      <c r="B69" s="832" t="s">
        <v>392</v>
      </c>
      <c r="C69" s="832">
        <v>18810</v>
      </c>
      <c r="D69" s="832">
        <v>15100</v>
      </c>
      <c r="E69" s="832">
        <v>14710</v>
      </c>
      <c r="F69" s="846"/>
    </row>
    <row r="70" spans="1:6" s="826" customFormat="1" ht="14.25" customHeight="1" thickBot="1">
      <c r="A70" s="838" t="s">
        <v>136</v>
      </c>
      <c r="B70" s="832" t="s">
        <v>400</v>
      </c>
      <c r="C70" s="832">
        <v>18270</v>
      </c>
      <c r="D70" s="832"/>
      <c r="E70" s="832"/>
      <c r="F70" s="846"/>
    </row>
    <row r="71" spans="1:6" s="826" customFormat="1" ht="14.25" customHeight="1" thickBot="1">
      <c r="A71" s="838" t="s">
        <v>136</v>
      </c>
      <c r="B71" s="832" t="s">
        <v>407</v>
      </c>
      <c r="C71" s="832">
        <v>15230</v>
      </c>
      <c r="D71" s="832"/>
      <c r="E71" s="832"/>
      <c r="F71" s="846"/>
    </row>
    <row r="72" spans="1:6" s="826" customFormat="1" ht="14.25" customHeight="1" thickBot="1">
      <c r="A72" s="838" t="s">
        <v>136</v>
      </c>
      <c r="B72" s="832" t="s">
        <v>414</v>
      </c>
      <c r="C72" s="832"/>
      <c r="D72" s="832"/>
      <c r="E72" s="832"/>
      <c r="F72" s="846">
        <v>4120</v>
      </c>
    </row>
    <row r="73" spans="1:6" s="826" customFormat="1" ht="14.25" customHeight="1" thickBot="1">
      <c r="A73" s="838" t="s">
        <v>136</v>
      </c>
      <c r="B73" s="832" t="s">
        <v>421</v>
      </c>
      <c r="C73" s="832"/>
      <c r="D73" s="832"/>
      <c r="E73" s="832"/>
      <c r="F73" s="846">
        <v>3930</v>
      </c>
    </row>
    <row r="74" spans="1:6" s="826" customFormat="1" ht="14.25" customHeight="1" thickBot="1">
      <c r="A74" s="838" t="s">
        <v>136</v>
      </c>
      <c r="B74" s="832" t="s">
        <v>428</v>
      </c>
      <c r="C74" s="832"/>
      <c r="D74" s="832"/>
      <c r="E74" s="832"/>
      <c r="F74" s="846">
        <v>4060</v>
      </c>
    </row>
    <row r="75" spans="1:6" s="826" customFormat="1" ht="14.25" customHeight="1" thickBot="1">
      <c r="A75" s="838" t="s">
        <v>136</v>
      </c>
      <c r="B75" s="844" t="s">
        <v>435</v>
      </c>
      <c r="C75" s="844"/>
      <c r="D75" s="844"/>
      <c r="E75" s="844"/>
      <c r="F75" s="849">
        <v>3750</v>
      </c>
    </row>
    <row r="76" spans="1:6" s="826" customFormat="1" ht="14.25" customHeight="1" thickBot="1">
      <c r="A76" s="838" t="s">
        <v>522</v>
      </c>
      <c r="B76" s="839" t="s">
        <v>523</v>
      </c>
      <c r="C76" s="839">
        <v>14690</v>
      </c>
      <c r="D76" s="839">
        <v>14640</v>
      </c>
      <c r="E76" s="839">
        <v>14590</v>
      </c>
      <c r="F76" s="840">
        <v>3060</v>
      </c>
    </row>
    <row r="77" spans="1:6" s="826" customFormat="1" ht="14.25" customHeight="1" thickBot="1">
      <c r="A77" s="838" t="s">
        <v>522</v>
      </c>
      <c r="B77" s="832" t="s">
        <v>190</v>
      </c>
      <c r="C77" s="832">
        <v>12550</v>
      </c>
      <c r="D77" s="832">
        <v>12480</v>
      </c>
      <c r="E77" s="832">
        <v>12450</v>
      </c>
      <c r="F77" s="846">
        <v>2590</v>
      </c>
    </row>
    <row r="78" spans="1:6" s="826" customFormat="1" ht="14.25" customHeight="1" thickBot="1">
      <c r="A78" s="838" t="s">
        <v>522</v>
      </c>
      <c r="B78" s="832" t="s">
        <v>203</v>
      </c>
      <c r="C78" s="832">
        <v>14360</v>
      </c>
      <c r="D78" s="832">
        <v>14320</v>
      </c>
      <c r="E78" s="832">
        <v>12510</v>
      </c>
      <c r="F78" s="846">
        <v>2700</v>
      </c>
    </row>
    <row r="79" spans="1:6" s="826" customFormat="1" ht="14.25" customHeight="1" thickBot="1">
      <c r="A79" s="838" t="s">
        <v>522</v>
      </c>
      <c r="B79" s="832" t="s">
        <v>216</v>
      </c>
      <c r="C79" s="832">
        <v>12590</v>
      </c>
      <c r="D79" s="832">
        <v>12540</v>
      </c>
      <c r="E79" s="832">
        <v>12350</v>
      </c>
      <c r="F79" s="846">
        <v>2740</v>
      </c>
    </row>
    <row r="80" spans="1:6" s="826" customFormat="1" ht="14.25" customHeight="1" thickBot="1">
      <c r="A80" s="838" t="s">
        <v>522</v>
      </c>
      <c r="B80" s="832" t="s">
        <v>228</v>
      </c>
      <c r="C80" s="832">
        <v>12450</v>
      </c>
      <c r="D80" s="832">
        <v>12370</v>
      </c>
      <c r="E80" s="832">
        <v>10790</v>
      </c>
      <c r="F80" s="846">
        <v>2290</v>
      </c>
    </row>
    <row r="81" spans="1:6" s="826" customFormat="1" ht="14.25" customHeight="1" thickBot="1">
      <c r="A81" s="838" t="s">
        <v>522</v>
      </c>
      <c r="B81" s="832" t="s">
        <v>239</v>
      </c>
      <c r="C81" s="832">
        <v>14210</v>
      </c>
      <c r="D81" s="832">
        <v>14150</v>
      </c>
      <c r="E81" s="832">
        <v>12730</v>
      </c>
      <c r="F81" s="846">
        <v>2240</v>
      </c>
    </row>
    <row r="82" spans="1:6" s="826" customFormat="1" ht="14.25" customHeight="1" thickBot="1">
      <c r="A82" s="838" t="s">
        <v>522</v>
      </c>
      <c r="B82" s="832" t="s">
        <v>250</v>
      </c>
      <c r="C82" s="832">
        <v>10860</v>
      </c>
      <c r="D82" s="832">
        <v>10820</v>
      </c>
      <c r="E82" s="832">
        <v>14720</v>
      </c>
      <c r="F82" s="846">
        <v>2490</v>
      </c>
    </row>
    <row r="83" spans="1:6" s="826" customFormat="1" ht="14.25" customHeight="1" thickBot="1">
      <c r="A83" s="838" t="s">
        <v>522</v>
      </c>
      <c r="B83" s="832" t="s">
        <v>261</v>
      </c>
      <c r="C83" s="832">
        <v>12810</v>
      </c>
      <c r="D83" s="832">
        <v>12760</v>
      </c>
      <c r="E83" s="832">
        <v>14830</v>
      </c>
      <c r="F83" s="846">
        <v>2450</v>
      </c>
    </row>
    <row r="84" spans="1:6" s="826" customFormat="1" ht="14.25" customHeight="1" thickBot="1">
      <c r="A84" s="838" t="s">
        <v>522</v>
      </c>
      <c r="B84" s="832" t="s">
        <v>273</v>
      </c>
      <c r="C84" s="832">
        <v>14950</v>
      </c>
      <c r="D84" s="832">
        <v>14810</v>
      </c>
      <c r="E84" s="832">
        <v>12590</v>
      </c>
      <c r="F84" s="846">
        <v>2540</v>
      </c>
    </row>
    <row r="85" spans="1:6" s="826" customFormat="1" ht="14.25" customHeight="1" thickBot="1">
      <c r="A85" s="838" t="s">
        <v>522</v>
      </c>
      <c r="B85" s="832" t="s">
        <v>283</v>
      </c>
      <c r="C85" s="832">
        <v>14960</v>
      </c>
      <c r="D85" s="832">
        <v>14890</v>
      </c>
      <c r="E85" s="832">
        <v>12840</v>
      </c>
      <c r="F85" s="846">
        <v>2840</v>
      </c>
    </row>
    <row r="86" spans="1:6" s="826" customFormat="1" ht="14.25" customHeight="1" thickBot="1">
      <c r="A86" s="838" t="s">
        <v>522</v>
      </c>
      <c r="B86" s="832" t="s">
        <v>293</v>
      </c>
      <c r="C86" s="832">
        <v>12730</v>
      </c>
      <c r="D86" s="832">
        <v>12660</v>
      </c>
      <c r="E86" s="832">
        <v>13310</v>
      </c>
      <c r="F86" s="846">
        <v>3140</v>
      </c>
    </row>
    <row r="87" spans="1:6" s="826" customFormat="1" ht="14.25" customHeight="1" thickBot="1">
      <c r="A87" s="838" t="s">
        <v>522</v>
      </c>
      <c r="B87" s="832" t="s">
        <v>303</v>
      </c>
      <c r="C87" s="832">
        <v>12940</v>
      </c>
      <c r="D87" s="832">
        <v>12890</v>
      </c>
      <c r="E87" s="832">
        <v>11580</v>
      </c>
      <c r="F87" s="850"/>
    </row>
    <row r="88" spans="1:6" s="826" customFormat="1" ht="14.25" customHeight="1" thickBot="1">
      <c r="A88" s="838" t="s">
        <v>522</v>
      </c>
      <c r="B88" s="832" t="s">
        <v>313</v>
      </c>
      <c r="C88" s="832">
        <v>13430</v>
      </c>
      <c r="D88" s="832">
        <v>13360</v>
      </c>
      <c r="E88" s="832">
        <v>12790</v>
      </c>
      <c r="F88" s="850"/>
    </row>
    <row r="89" spans="1:6" s="826" customFormat="1" ht="14.25" customHeight="1" thickBot="1">
      <c r="A89" s="838" t="s">
        <v>522</v>
      </c>
      <c r="B89" s="832" t="s">
        <v>324</v>
      </c>
      <c r="C89" s="832">
        <v>11680</v>
      </c>
      <c r="D89" s="832">
        <v>11630</v>
      </c>
      <c r="E89" s="832">
        <v>11320</v>
      </c>
      <c r="F89" s="850"/>
    </row>
    <row r="90" spans="1:6" s="826" customFormat="1" ht="14.25" customHeight="1" thickBot="1">
      <c r="A90" s="838" t="s">
        <v>522</v>
      </c>
      <c r="B90" s="832" t="s">
        <v>335</v>
      </c>
      <c r="C90" s="832">
        <v>12890</v>
      </c>
      <c r="D90" s="832">
        <v>12820</v>
      </c>
      <c r="E90" s="832">
        <v>12710</v>
      </c>
      <c r="F90" s="850"/>
    </row>
    <row r="91" spans="1:6" s="826" customFormat="1" ht="14.25" customHeight="1" thickBot="1">
      <c r="A91" s="838" t="s">
        <v>522</v>
      </c>
      <c r="B91" s="832" t="s">
        <v>345</v>
      </c>
      <c r="C91" s="832">
        <v>11410</v>
      </c>
      <c r="D91" s="832">
        <v>11360</v>
      </c>
      <c r="E91" s="832">
        <v>12670</v>
      </c>
      <c r="F91" s="850"/>
    </row>
    <row r="92" spans="1:6" s="826" customFormat="1" ht="14.25" customHeight="1" thickBot="1">
      <c r="A92" s="838" t="s">
        <v>522</v>
      </c>
      <c r="B92" s="832" t="s">
        <v>355</v>
      </c>
      <c r="C92" s="832">
        <v>12770</v>
      </c>
      <c r="D92" s="832">
        <v>12740</v>
      </c>
      <c r="E92" s="832">
        <v>11970</v>
      </c>
      <c r="F92" s="850"/>
    </row>
    <row r="93" spans="1:6" s="826" customFormat="1" ht="14.25" customHeight="1" thickBot="1">
      <c r="A93" s="838" t="s">
        <v>522</v>
      </c>
      <c r="B93" s="832" t="s">
        <v>365</v>
      </c>
      <c r="C93" s="832">
        <v>12740</v>
      </c>
      <c r="D93" s="832">
        <v>12700</v>
      </c>
      <c r="E93" s="832">
        <v>12540</v>
      </c>
      <c r="F93" s="850"/>
    </row>
    <row r="94" spans="1:6" s="826" customFormat="1" ht="14.25" customHeight="1" thickBot="1">
      <c r="A94" s="838" t="s">
        <v>522</v>
      </c>
      <c r="B94" s="832" t="s">
        <v>375</v>
      </c>
      <c r="C94" s="832">
        <v>12020</v>
      </c>
      <c r="D94" s="832">
        <v>11990</v>
      </c>
      <c r="E94" s="832">
        <v>13110</v>
      </c>
      <c r="F94" s="850"/>
    </row>
    <row r="95" spans="1:6" s="826" customFormat="1" ht="14.25" customHeight="1" thickBot="1">
      <c r="A95" s="838" t="s">
        <v>522</v>
      </c>
      <c r="B95" s="832" t="s">
        <v>384</v>
      </c>
      <c r="C95" s="832">
        <v>12620</v>
      </c>
      <c r="D95" s="832">
        <v>12580</v>
      </c>
      <c r="E95" s="832">
        <v>13160</v>
      </c>
      <c r="F95" s="846"/>
    </row>
    <row r="96" spans="1:6" s="826" customFormat="1" ht="14.25" customHeight="1" thickBot="1">
      <c r="A96" s="838" t="s">
        <v>522</v>
      </c>
      <c r="B96" s="832" t="s">
        <v>393</v>
      </c>
      <c r="C96" s="832">
        <v>13200</v>
      </c>
      <c r="D96" s="832">
        <v>13150</v>
      </c>
      <c r="E96" s="832">
        <v>12900</v>
      </c>
      <c r="F96" s="846"/>
    </row>
    <row r="97" spans="1:6" s="826" customFormat="1" ht="14.25" customHeight="1" thickBot="1">
      <c r="A97" s="838" t="s">
        <v>522</v>
      </c>
      <c r="B97" s="832" t="s">
        <v>401</v>
      </c>
      <c r="C97" s="832">
        <v>13270</v>
      </c>
      <c r="D97" s="832">
        <v>13210</v>
      </c>
      <c r="E97" s="832">
        <v>11080</v>
      </c>
      <c r="F97" s="846"/>
    </row>
    <row r="98" spans="1:6" s="826" customFormat="1" ht="14.25" customHeight="1" thickBot="1">
      <c r="A98" s="838" t="s">
        <v>522</v>
      </c>
      <c r="B98" s="832" t="s">
        <v>408</v>
      </c>
      <c r="C98" s="832">
        <v>13010</v>
      </c>
      <c r="D98" s="832">
        <v>12930</v>
      </c>
      <c r="E98" s="832">
        <v>12840</v>
      </c>
      <c r="F98" s="846"/>
    </row>
    <row r="99" spans="1:6" s="826" customFormat="1" ht="14.25" customHeight="1" thickBot="1">
      <c r="A99" s="838" t="s">
        <v>522</v>
      </c>
      <c r="B99" s="832" t="s">
        <v>415</v>
      </c>
      <c r="C99" s="832">
        <v>11190</v>
      </c>
      <c r="D99" s="832">
        <v>11130</v>
      </c>
      <c r="E99" s="832"/>
      <c r="F99" s="846"/>
    </row>
    <row r="100" spans="1:6" s="826" customFormat="1" ht="14.25" customHeight="1" thickBot="1">
      <c r="A100" s="838" t="s">
        <v>522</v>
      </c>
      <c r="B100" s="832" t="s">
        <v>422</v>
      </c>
      <c r="C100" s="832">
        <v>14280</v>
      </c>
      <c r="D100" s="832">
        <v>14180</v>
      </c>
      <c r="E100" s="832"/>
      <c r="F100" s="846"/>
    </row>
    <row r="101" spans="1:6" s="826" customFormat="1" ht="14.25" customHeight="1" thickBot="1">
      <c r="A101" s="838" t="s">
        <v>522</v>
      </c>
      <c r="B101" s="832" t="s">
        <v>429</v>
      </c>
      <c r="C101" s="832">
        <v>12960</v>
      </c>
      <c r="D101" s="832">
        <v>12890</v>
      </c>
      <c r="E101" s="832"/>
      <c r="F101" s="846"/>
    </row>
    <row r="102" spans="1:6" s="826" customFormat="1" ht="14.25" customHeight="1" thickBot="1">
      <c r="A102" s="838" t="s">
        <v>522</v>
      </c>
      <c r="B102" s="832" t="s">
        <v>436</v>
      </c>
      <c r="C102" s="832"/>
      <c r="D102" s="832"/>
      <c r="E102" s="832"/>
      <c r="F102" s="846">
        <v>3100</v>
      </c>
    </row>
    <row r="103" spans="1:6" s="826" customFormat="1" ht="14.25" customHeight="1" thickBot="1">
      <c r="A103" s="838" t="s">
        <v>522</v>
      </c>
      <c r="B103" s="832" t="s">
        <v>443</v>
      </c>
      <c r="C103" s="832"/>
      <c r="D103" s="832"/>
      <c r="E103" s="832"/>
      <c r="F103" s="846">
        <v>2320</v>
      </c>
    </row>
    <row r="104" spans="1:6" s="826" customFormat="1" ht="14.25" customHeight="1" thickBot="1">
      <c r="A104" s="838" t="s">
        <v>522</v>
      </c>
      <c r="B104" s="832" t="s">
        <v>448</v>
      </c>
      <c r="C104" s="832"/>
      <c r="D104" s="832"/>
      <c r="E104" s="832"/>
      <c r="F104" s="846">
        <v>2320</v>
      </c>
    </row>
    <row r="105" spans="1:6" s="826" customFormat="1" ht="14.25" customHeight="1" thickBot="1">
      <c r="A105" s="838" t="s">
        <v>522</v>
      </c>
      <c r="B105" s="832" t="s">
        <v>452</v>
      </c>
      <c r="C105" s="832"/>
      <c r="D105" s="832"/>
      <c r="E105" s="832"/>
      <c r="F105" s="846">
        <v>2320</v>
      </c>
    </row>
    <row r="106" spans="1:6" s="826" customFormat="1" ht="14.25" customHeight="1" thickBot="1">
      <c r="A106" s="838" t="s">
        <v>522</v>
      </c>
      <c r="B106" s="832" t="s">
        <v>457</v>
      </c>
      <c r="C106" s="832"/>
      <c r="D106" s="832"/>
      <c r="E106" s="832"/>
      <c r="F106" s="846">
        <v>2320</v>
      </c>
    </row>
    <row r="107" spans="1:6" s="826" customFormat="1" ht="14.25" customHeight="1" thickBot="1">
      <c r="A107" s="838" t="s">
        <v>522</v>
      </c>
      <c r="B107" s="832" t="s">
        <v>462</v>
      </c>
      <c r="C107" s="832"/>
      <c r="D107" s="832"/>
      <c r="E107" s="832"/>
      <c r="F107" s="846">
        <v>2280</v>
      </c>
    </row>
    <row r="108" spans="1:6" s="826" customFormat="1" ht="14.25" customHeight="1" thickBot="1">
      <c r="A108" s="838" t="s">
        <v>522</v>
      </c>
      <c r="B108" s="832" t="s">
        <v>467</v>
      </c>
      <c r="C108" s="832"/>
      <c r="D108" s="832"/>
      <c r="E108" s="832"/>
      <c r="F108" s="846">
        <v>2280</v>
      </c>
    </row>
    <row r="109" spans="1:6" s="826" customFormat="1" ht="14.25" customHeight="1" thickBot="1">
      <c r="A109" s="838" t="s">
        <v>522</v>
      </c>
      <c r="B109" s="844" t="s">
        <v>472</v>
      </c>
      <c r="C109" s="844"/>
      <c r="D109" s="844"/>
      <c r="E109" s="844"/>
      <c r="F109" s="849">
        <v>2280</v>
      </c>
    </row>
    <row r="110" spans="1:6" s="826" customFormat="1" ht="14.25" customHeight="1" thickBot="1">
      <c r="A110" s="838" t="s">
        <v>55</v>
      </c>
      <c r="B110" s="839" t="s">
        <v>524</v>
      </c>
      <c r="C110" s="839">
        <v>10520</v>
      </c>
      <c r="D110" s="839">
        <v>10490</v>
      </c>
      <c r="E110" s="839">
        <v>10760</v>
      </c>
      <c r="F110" s="840">
        <v>2160</v>
      </c>
    </row>
    <row r="111" spans="1:6" s="826" customFormat="1" ht="14.25" customHeight="1" thickBot="1">
      <c r="A111" s="838" t="s">
        <v>55</v>
      </c>
      <c r="B111" s="832" t="s">
        <v>191</v>
      </c>
      <c r="C111" s="832">
        <v>10090</v>
      </c>
      <c r="D111" s="832">
        <v>10060</v>
      </c>
      <c r="E111" s="832">
        <v>10300</v>
      </c>
      <c r="F111" s="846">
        <v>2010</v>
      </c>
    </row>
    <row r="112" spans="1:6" s="826" customFormat="1" ht="14.25" customHeight="1" thickBot="1">
      <c r="A112" s="838" t="s">
        <v>55</v>
      </c>
      <c r="B112" s="832" t="s">
        <v>204</v>
      </c>
      <c r="C112" s="832">
        <v>9910</v>
      </c>
      <c r="D112" s="832">
        <v>9850</v>
      </c>
      <c r="E112" s="832">
        <v>9960</v>
      </c>
      <c r="F112" s="846">
        <v>2090</v>
      </c>
    </row>
    <row r="113" spans="1:6" s="826" customFormat="1" ht="14.25" customHeight="1" thickBot="1">
      <c r="A113" s="838" t="s">
        <v>55</v>
      </c>
      <c r="B113" s="832" t="s">
        <v>217</v>
      </c>
      <c r="C113" s="832">
        <v>11430</v>
      </c>
      <c r="D113" s="832">
        <v>11400</v>
      </c>
      <c r="E113" s="832">
        <v>11710</v>
      </c>
      <c r="F113" s="846">
        <v>2050</v>
      </c>
    </row>
    <row r="114" spans="1:6" s="826" customFormat="1" ht="14.25" customHeight="1" thickBot="1">
      <c r="A114" s="838" t="s">
        <v>55</v>
      </c>
      <c r="B114" s="832" t="s">
        <v>229</v>
      </c>
      <c r="C114" s="832">
        <v>11390</v>
      </c>
      <c r="D114" s="832">
        <v>11350</v>
      </c>
      <c r="E114" s="832">
        <v>11640</v>
      </c>
      <c r="F114" s="846">
        <v>1620</v>
      </c>
    </row>
    <row r="115" spans="1:6" s="826" customFormat="1" ht="14.25" customHeight="1" thickBot="1">
      <c r="A115" s="838" t="s">
        <v>55</v>
      </c>
      <c r="B115" s="832" t="s">
        <v>240</v>
      </c>
      <c r="C115" s="832">
        <v>9930</v>
      </c>
      <c r="D115" s="832">
        <v>9900</v>
      </c>
      <c r="E115" s="832">
        <v>10160</v>
      </c>
      <c r="F115" s="846">
        <v>1580</v>
      </c>
    </row>
    <row r="116" spans="1:6" s="826" customFormat="1" ht="14.25" customHeight="1" thickBot="1">
      <c r="A116" s="838" t="s">
        <v>55</v>
      </c>
      <c r="B116" s="832" t="s">
        <v>251</v>
      </c>
      <c r="C116" s="832">
        <v>9150</v>
      </c>
      <c r="D116" s="832">
        <v>9120</v>
      </c>
      <c r="E116" s="832">
        <v>9380</v>
      </c>
      <c r="F116" s="846">
        <v>1750</v>
      </c>
    </row>
    <row r="117" spans="1:6" s="826" customFormat="1" ht="14.25" customHeight="1" thickBot="1">
      <c r="A117" s="838" t="s">
        <v>55</v>
      </c>
      <c r="B117" s="832" t="s">
        <v>262</v>
      </c>
      <c r="C117" s="832">
        <v>10680</v>
      </c>
      <c r="D117" s="832">
        <v>10650</v>
      </c>
      <c r="E117" s="832">
        <v>10970</v>
      </c>
      <c r="F117" s="846">
        <v>1730</v>
      </c>
    </row>
    <row r="118" spans="1:6" s="826" customFormat="1" ht="14.25" customHeight="1" thickBot="1">
      <c r="A118" s="838" t="s">
        <v>55</v>
      </c>
      <c r="B118" s="832" t="s">
        <v>274</v>
      </c>
      <c r="C118" s="832">
        <v>10080</v>
      </c>
      <c r="D118" s="832">
        <v>10050</v>
      </c>
      <c r="E118" s="832">
        <v>10350</v>
      </c>
      <c r="F118" s="846">
        <v>1920</v>
      </c>
    </row>
    <row r="119" spans="1:6" s="826" customFormat="1" ht="14.25" customHeight="1" thickBot="1">
      <c r="A119" s="838" t="s">
        <v>55</v>
      </c>
      <c r="B119" s="832" t="s">
        <v>284</v>
      </c>
      <c r="C119" s="832">
        <v>9450</v>
      </c>
      <c r="D119" s="832">
        <v>9410</v>
      </c>
      <c r="E119" s="832">
        <v>9680</v>
      </c>
      <c r="F119" s="846">
        <v>1880</v>
      </c>
    </row>
    <row r="120" spans="1:6" s="826" customFormat="1" ht="14.25" customHeight="1" thickBot="1">
      <c r="A120" s="838" t="s">
        <v>55</v>
      </c>
      <c r="B120" s="832" t="s">
        <v>294</v>
      </c>
      <c r="C120" s="832">
        <v>8730</v>
      </c>
      <c r="D120" s="832">
        <v>8700</v>
      </c>
      <c r="E120" s="832">
        <v>8950</v>
      </c>
      <c r="F120" s="846">
        <v>1830</v>
      </c>
    </row>
    <row r="121" spans="1:6" s="826" customFormat="1" ht="14.25" customHeight="1" thickBot="1">
      <c r="A121" s="838" t="s">
        <v>55</v>
      </c>
      <c r="B121" s="832" t="s">
        <v>304</v>
      </c>
      <c r="C121" s="832">
        <v>10070</v>
      </c>
      <c r="D121" s="832">
        <v>10040</v>
      </c>
      <c r="E121" s="832">
        <v>10270</v>
      </c>
      <c r="F121" s="846">
        <v>1960</v>
      </c>
    </row>
    <row r="122" spans="1:6" s="826" customFormat="1" ht="14.25" customHeight="1" thickBot="1">
      <c r="A122" s="838" t="s">
        <v>55</v>
      </c>
      <c r="B122" s="832" t="s">
        <v>314</v>
      </c>
      <c r="C122" s="832">
        <v>10500</v>
      </c>
      <c r="D122" s="832">
        <v>10470</v>
      </c>
      <c r="E122" s="832">
        <v>10780</v>
      </c>
      <c r="F122" s="846">
        <v>2180</v>
      </c>
    </row>
    <row r="123" spans="1:6" s="826" customFormat="1" ht="14.25" customHeight="1" thickBot="1">
      <c r="A123" s="838" t="s">
        <v>55</v>
      </c>
      <c r="B123" s="832" t="s">
        <v>325</v>
      </c>
      <c r="C123" s="832">
        <v>10390</v>
      </c>
      <c r="D123" s="832">
        <v>10360</v>
      </c>
      <c r="E123" s="832">
        <v>10660</v>
      </c>
      <c r="F123" s="846">
        <v>2040</v>
      </c>
    </row>
    <row r="124" spans="1:6" s="826" customFormat="1" ht="14.25" customHeight="1" thickBot="1">
      <c r="A124" s="838" t="s">
        <v>55</v>
      </c>
      <c r="B124" s="832" t="s">
        <v>336</v>
      </c>
      <c r="C124" s="832">
        <v>10390</v>
      </c>
      <c r="D124" s="832">
        <v>10360</v>
      </c>
      <c r="E124" s="832">
        <v>10680</v>
      </c>
      <c r="F124" s="850"/>
    </row>
    <row r="125" spans="1:6" s="826" customFormat="1" ht="14.25" customHeight="1" thickBot="1">
      <c r="A125" s="838" t="s">
        <v>55</v>
      </c>
      <c r="B125" s="832" t="s">
        <v>346</v>
      </c>
      <c r="C125" s="832">
        <v>10440</v>
      </c>
      <c r="D125" s="832">
        <v>10410</v>
      </c>
      <c r="E125" s="832">
        <v>10710</v>
      </c>
      <c r="F125" s="850"/>
    </row>
    <row r="126" spans="1:6" s="826" customFormat="1" ht="14.25" customHeight="1" thickBot="1">
      <c r="A126" s="838" t="s">
        <v>55</v>
      </c>
      <c r="B126" s="832" t="s">
        <v>356</v>
      </c>
      <c r="C126" s="832">
        <v>10780</v>
      </c>
      <c r="D126" s="832">
        <v>10750</v>
      </c>
      <c r="E126" s="832">
        <v>11080</v>
      </c>
      <c r="F126" s="850"/>
    </row>
    <row r="127" spans="1:6" s="826" customFormat="1" ht="14.25" customHeight="1" thickBot="1">
      <c r="A127" s="838" t="s">
        <v>55</v>
      </c>
      <c r="B127" s="832" t="s">
        <v>366</v>
      </c>
      <c r="C127" s="832">
        <v>10100</v>
      </c>
      <c r="D127" s="832">
        <v>10070</v>
      </c>
      <c r="E127" s="832">
        <v>10350</v>
      </c>
      <c r="F127" s="850"/>
    </row>
    <row r="128" spans="1:6" s="826" customFormat="1" ht="14.25" customHeight="1" thickBot="1">
      <c r="A128" s="838" t="s">
        <v>55</v>
      </c>
      <c r="B128" s="832" t="s">
        <v>376</v>
      </c>
      <c r="C128" s="832">
        <v>9200</v>
      </c>
      <c r="D128" s="832">
        <v>9160</v>
      </c>
      <c r="E128" s="832">
        <v>9660</v>
      </c>
      <c r="F128" s="850"/>
    </row>
    <row r="129" spans="1:6" s="826" customFormat="1" ht="14.25" customHeight="1" thickBot="1">
      <c r="A129" s="838" t="s">
        <v>55</v>
      </c>
      <c r="B129" s="832" t="s">
        <v>385</v>
      </c>
      <c r="C129" s="832">
        <v>10340</v>
      </c>
      <c r="D129" s="832">
        <v>10310</v>
      </c>
      <c r="E129" s="832">
        <v>10580</v>
      </c>
      <c r="F129" s="850"/>
    </row>
    <row r="130" spans="1:6" s="826" customFormat="1" ht="14.25" customHeight="1" thickBot="1">
      <c r="A130" s="838" t="s">
        <v>55</v>
      </c>
      <c r="B130" s="832" t="s">
        <v>394</v>
      </c>
      <c r="C130" s="832">
        <v>9680</v>
      </c>
      <c r="D130" s="832">
        <v>9660</v>
      </c>
      <c r="E130" s="832">
        <v>9950</v>
      </c>
      <c r="F130" s="850"/>
    </row>
    <row r="131" spans="1:6" s="826" customFormat="1" ht="14.25" customHeight="1" thickBot="1">
      <c r="A131" s="838" t="s">
        <v>55</v>
      </c>
      <c r="B131" s="832" t="s">
        <v>402</v>
      </c>
      <c r="C131" s="832">
        <v>9540</v>
      </c>
      <c r="D131" s="832">
        <v>9510</v>
      </c>
      <c r="E131" s="832">
        <v>9790</v>
      </c>
      <c r="F131" s="850"/>
    </row>
    <row r="132" spans="1:6" s="826" customFormat="1" ht="14.25" customHeight="1" thickBot="1">
      <c r="A132" s="838" t="s">
        <v>55</v>
      </c>
      <c r="B132" s="832" t="s">
        <v>409</v>
      </c>
      <c r="C132" s="832">
        <v>9320</v>
      </c>
      <c r="D132" s="832">
        <v>9290</v>
      </c>
      <c r="E132" s="832">
        <v>9570</v>
      </c>
      <c r="F132" s="850"/>
    </row>
    <row r="133" spans="1:6" s="826" customFormat="1" ht="14.25" customHeight="1" thickBot="1">
      <c r="A133" s="838" t="s">
        <v>55</v>
      </c>
      <c r="B133" s="832" t="s">
        <v>416</v>
      </c>
      <c r="C133" s="832">
        <v>10310</v>
      </c>
      <c r="D133" s="832">
        <v>10280</v>
      </c>
      <c r="E133" s="832">
        <v>10530</v>
      </c>
      <c r="F133" s="850"/>
    </row>
    <row r="134" spans="1:6" s="826" customFormat="1" ht="14.25" customHeight="1" thickBot="1">
      <c r="A134" s="838" t="s">
        <v>55</v>
      </c>
      <c r="B134" s="832" t="s">
        <v>423</v>
      </c>
      <c r="C134" s="832">
        <v>10370</v>
      </c>
      <c r="D134" s="832">
        <v>10310</v>
      </c>
      <c r="E134" s="832">
        <v>10240</v>
      </c>
      <c r="F134" s="846">
        <v>2060</v>
      </c>
    </row>
    <row r="135" spans="1:6" s="826" customFormat="1" ht="14.25" customHeight="1" thickBot="1">
      <c r="A135" s="838" t="s">
        <v>55</v>
      </c>
      <c r="B135" s="832" t="s">
        <v>430</v>
      </c>
      <c r="C135" s="832">
        <v>9300</v>
      </c>
      <c r="D135" s="832">
        <v>9270</v>
      </c>
      <c r="E135" s="832">
        <v>9350</v>
      </c>
      <c r="F135" s="850"/>
    </row>
    <row r="136" spans="1:6" s="826" customFormat="1" ht="14.25" customHeight="1" thickBot="1">
      <c r="A136" s="838" t="s">
        <v>55</v>
      </c>
      <c r="B136" s="832" t="s">
        <v>437</v>
      </c>
      <c r="C136" s="832">
        <v>10160</v>
      </c>
      <c r="D136" s="832">
        <v>10110</v>
      </c>
      <c r="E136" s="832">
        <v>10080</v>
      </c>
      <c r="F136" s="850"/>
    </row>
    <row r="137" spans="1:6" s="826" customFormat="1" ht="14.25" customHeight="1" thickBot="1">
      <c r="A137" s="838" t="s">
        <v>55</v>
      </c>
      <c r="B137" s="832" t="s">
        <v>444</v>
      </c>
      <c r="C137" s="832">
        <v>9200</v>
      </c>
      <c r="D137" s="832">
        <v>9170</v>
      </c>
      <c r="E137" s="832">
        <v>9450</v>
      </c>
      <c r="F137" s="850"/>
    </row>
    <row r="138" spans="1:6" s="826" customFormat="1" ht="14.25" customHeight="1" thickBot="1">
      <c r="A138" s="838" t="s">
        <v>55</v>
      </c>
      <c r="B138" s="832" t="s">
        <v>449</v>
      </c>
      <c r="C138" s="832">
        <v>9690</v>
      </c>
      <c r="D138" s="832">
        <v>9660</v>
      </c>
      <c r="E138" s="832">
        <v>9840</v>
      </c>
      <c r="F138" s="850"/>
    </row>
    <row r="139" spans="1:6" s="826" customFormat="1" ht="14.25" customHeight="1" thickBot="1">
      <c r="A139" s="838" t="s">
        <v>55</v>
      </c>
      <c r="B139" s="832" t="s">
        <v>453</v>
      </c>
      <c r="C139" s="832">
        <v>10290</v>
      </c>
      <c r="D139" s="832">
        <v>10260</v>
      </c>
      <c r="E139" s="832">
        <v>10550</v>
      </c>
      <c r="F139" s="846">
        <v>1700</v>
      </c>
    </row>
    <row r="140" spans="1:6" s="826" customFormat="1" ht="14.25" customHeight="1" thickBot="1">
      <c r="A140" s="838" t="s">
        <v>55</v>
      </c>
      <c r="B140" s="832" t="s">
        <v>458</v>
      </c>
      <c r="C140" s="832">
        <v>9740</v>
      </c>
      <c r="D140" s="832">
        <v>9710</v>
      </c>
      <c r="E140" s="832">
        <v>10000</v>
      </c>
      <c r="F140" s="846">
        <v>2000</v>
      </c>
    </row>
    <row r="141" spans="1:6" s="826" customFormat="1" ht="14.25" customHeight="1" thickBot="1">
      <c r="A141" s="838" t="s">
        <v>55</v>
      </c>
      <c r="B141" s="832" t="s">
        <v>463</v>
      </c>
      <c r="C141" s="832">
        <v>9810</v>
      </c>
      <c r="D141" s="832">
        <v>9770</v>
      </c>
      <c r="E141" s="832">
        <v>10060</v>
      </c>
      <c r="F141" s="850"/>
    </row>
    <row r="142" spans="1:6" s="826" customFormat="1" ht="14.25" customHeight="1" thickBot="1">
      <c r="A142" s="838" t="s">
        <v>55</v>
      </c>
      <c r="B142" s="832" t="s">
        <v>468</v>
      </c>
      <c r="C142" s="832">
        <v>9300</v>
      </c>
      <c r="D142" s="832">
        <v>9270</v>
      </c>
      <c r="E142" s="832">
        <v>9530</v>
      </c>
      <c r="F142" s="850"/>
    </row>
    <row r="143" spans="1:6" s="826" customFormat="1" ht="14.25" customHeight="1" thickBot="1">
      <c r="A143" s="838" t="s">
        <v>55</v>
      </c>
      <c r="B143" s="832" t="s">
        <v>473</v>
      </c>
      <c r="C143" s="832">
        <v>10080</v>
      </c>
      <c r="D143" s="832">
        <v>10050</v>
      </c>
      <c r="E143" s="832">
        <v>10340</v>
      </c>
      <c r="F143" s="850"/>
    </row>
    <row r="144" spans="1:6" s="826" customFormat="1" ht="14.25" customHeight="1" thickBot="1">
      <c r="A144" s="838" t="s">
        <v>55</v>
      </c>
      <c r="B144" s="832" t="s">
        <v>477</v>
      </c>
      <c r="C144" s="832">
        <v>9820</v>
      </c>
      <c r="D144" s="832">
        <v>9750</v>
      </c>
      <c r="E144" s="832">
        <v>9900</v>
      </c>
      <c r="F144" s="850"/>
    </row>
    <row r="145" spans="1:6" s="826" customFormat="1" ht="14.25" customHeight="1" thickBot="1">
      <c r="A145" s="838" t="s">
        <v>55</v>
      </c>
      <c r="B145" s="832" t="s">
        <v>481</v>
      </c>
      <c r="C145" s="832"/>
      <c r="D145" s="832"/>
      <c r="E145" s="832"/>
      <c r="F145" s="846">
        <v>1740</v>
      </c>
    </row>
    <row r="146" spans="1:6" s="826" customFormat="1" ht="14.25" customHeight="1" thickBot="1">
      <c r="A146" s="838" t="s">
        <v>55</v>
      </c>
      <c r="B146" s="832" t="s">
        <v>485</v>
      </c>
      <c r="C146" s="832"/>
      <c r="D146" s="832"/>
      <c r="E146" s="832"/>
      <c r="F146" s="846">
        <v>1740</v>
      </c>
    </row>
    <row r="147" spans="1:6" s="826" customFormat="1" ht="14.25" customHeight="1" thickBot="1">
      <c r="A147" s="838" t="s">
        <v>55</v>
      </c>
      <c r="B147" s="832" t="s">
        <v>489</v>
      </c>
      <c r="C147" s="832"/>
      <c r="D147" s="832"/>
      <c r="E147" s="832"/>
      <c r="F147" s="846">
        <v>1740</v>
      </c>
    </row>
    <row r="148" spans="1:6" s="826" customFormat="1" ht="14.25" customHeight="1" thickBot="1">
      <c r="A148" s="838" t="s">
        <v>55</v>
      </c>
      <c r="B148" s="832" t="s">
        <v>493</v>
      </c>
      <c r="C148" s="832"/>
      <c r="D148" s="832"/>
      <c r="E148" s="832"/>
      <c r="F148" s="846">
        <v>1740</v>
      </c>
    </row>
    <row r="149" spans="1:6" s="826" customFormat="1" ht="14.25" customHeight="1" thickBot="1">
      <c r="A149" s="838" t="s">
        <v>55</v>
      </c>
      <c r="B149" s="832" t="s">
        <v>497</v>
      </c>
      <c r="C149" s="832"/>
      <c r="D149" s="832"/>
      <c r="E149" s="832"/>
      <c r="F149" s="846">
        <v>1740</v>
      </c>
    </row>
    <row r="150" spans="1:6" s="826" customFormat="1" ht="14.25" customHeight="1" thickBot="1">
      <c r="A150" s="838" t="s">
        <v>55</v>
      </c>
      <c r="B150" s="832" t="s">
        <v>500</v>
      </c>
      <c r="C150" s="832"/>
      <c r="D150" s="832"/>
      <c r="E150" s="832"/>
      <c r="F150" s="846">
        <v>1610</v>
      </c>
    </row>
    <row r="151" spans="1:6" s="826" customFormat="1" ht="14.25" customHeight="1" thickBot="1">
      <c r="A151" s="838" t="s">
        <v>55</v>
      </c>
      <c r="B151" s="832" t="s">
        <v>503</v>
      </c>
      <c r="C151" s="832"/>
      <c r="D151" s="832"/>
      <c r="E151" s="832"/>
      <c r="F151" s="846">
        <v>1610</v>
      </c>
    </row>
    <row r="152" spans="1:6" s="826" customFormat="1" ht="14.25" customHeight="1" thickBot="1">
      <c r="A152" s="838" t="s">
        <v>55</v>
      </c>
      <c r="B152" s="832" t="s">
        <v>506</v>
      </c>
      <c r="C152" s="832"/>
      <c r="D152" s="832"/>
      <c r="E152" s="832"/>
      <c r="F152" s="846">
        <v>1610</v>
      </c>
    </row>
    <row r="153" spans="1:6" s="826" customFormat="1" ht="14.25" customHeight="1" thickBot="1">
      <c r="A153" s="838" t="s">
        <v>55</v>
      </c>
      <c r="B153" s="832" t="s">
        <v>509</v>
      </c>
      <c r="C153" s="832"/>
      <c r="D153" s="832"/>
      <c r="E153" s="832"/>
      <c r="F153" s="846">
        <v>1610</v>
      </c>
    </row>
    <row r="154" spans="1:6" s="826" customFormat="1" ht="14.25" customHeight="1" thickBot="1">
      <c r="A154" s="838" t="s">
        <v>55</v>
      </c>
      <c r="B154" s="832" t="s">
        <v>512</v>
      </c>
      <c r="C154" s="832"/>
      <c r="D154" s="832"/>
      <c r="E154" s="832"/>
      <c r="F154" s="846">
        <v>1610</v>
      </c>
    </row>
    <row r="155" spans="1:6" s="826" customFormat="1" ht="14.25" customHeight="1" thickBot="1">
      <c r="A155" s="838" t="s">
        <v>55</v>
      </c>
      <c r="B155" s="832" t="s">
        <v>515</v>
      </c>
      <c r="C155" s="832"/>
      <c r="D155" s="832"/>
      <c r="E155" s="832"/>
      <c r="F155" s="846">
        <v>1800</v>
      </c>
    </row>
    <row r="156" spans="1:6" s="826" customFormat="1" ht="14.25" customHeight="1" thickBot="1">
      <c r="A156" s="838" t="s">
        <v>55</v>
      </c>
      <c r="B156" s="832" t="s">
        <v>517</v>
      </c>
      <c r="C156" s="832"/>
      <c r="D156" s="832"/>
      <c r="E156" s="832"/>
      <c r="F156" s="846">
        <v>1910</v>
      </c>
    </row>
    <row r="157" spans="1:6" s="826" customFormat="1" ht="14.25" customHeight="1" thickBot="1">
      <c r="A157" s="838" t="s">
        <v>55</v>
      </c>
      <c r="B157" s="844" t="s">
        <v>520</v>
      </c>
      <c r="C157" s="844"/>
      <c r="D157" s="844"/>
      <c r="E157" s="844"/>
      <c r="F157" s="849">
        <v>1500</v>
      </c>
    </row>
    <row r="158" spans="1:6" s="826" customFormat="1" ht="14.25" customHeight="1" thickBot="1">
      <c r="A158" s="838" t="s">
        <v>525</v>
      </c>
      <c r="B158" s="839" t="s">
        <v>526</v>
      </c>
      <c r="C158" s="839">
        <v>8170</v>
      </c>
      <c r="D158" s="839">
        <v>8140</v>
      </c>
      <c r="E158" s="839">
        <v>8590</v>
      </c>
      <c r="F158" s="840">
        <v>1450</v>
      </c>
    </row>
    <row r="159" spans="1:6" s="826" customFormat="1" ht="14.25" customHeight="1" thickBot="1">
      <c r="A159" s="838" t="s">
        <v>525</v>
      </c>
      <c r="B159" s="832" t="s">
        <v>192</v>
      </c>
      <c r="C159" s="832">
        <v>7410</v>
      </c>
      <c r="D159" s="832">
        <v>7370</v>
      </c>
      <c r="E159" s="832">
        <v>8030</v>
      </c>
      <c r="F159" s="846">
        <v>1510</v>
      </c>
    </row>
    <row r="160" spans="1:6" s="826" customFormat="1" ht="14.25" customHeight="1" thickBot="1">
      <c r="A160" s="838" t="s">
        <v>525</v>
      </c>
      <c r="B160" s="832" t="s">
        <v>205</v>
      </c>
      <c r="C160" s="832">
        <v>7240</v>
      </c>
      <c r="D160" s="832">
        <v>7210</v>
      </c>
      <c r="E160" s="832">
        <v>7860</v>
      </c>
      <c r="F160" s="846">
        <v>1370</v>
      </c>
    </row>
    <row r="161" spans="1:6" s="826" customFormat="1" ht="14.25" customHeight="1" thickBot="1">
      <c r="A161" s="838" t="s">
        <v>525</v>
      </c>
      <c r="B161" s="832" t="s">
        <v>218</v>
      </c>
      <c r="C161" s="832">
        <v>7720</v>
      </c>
      <c r="D161" s="832">
        <v>7690</v>
      </c>
      <c r="E161" s="832">
        <v>8200</v>
      </c>
      <c r="F161" s="846">
        <v>1190</v>
      </c>
    </row>
    <row r="162" spans="1:6" s="826" customFormat="1" ht="14.25" customHeight="1" thickBot="1">
      <c r="A162" s="838" t="s">
        <v>525</v>
      </c>
      <c r="B162" s="832" t="s">
        <v>230</v>
      </c>
      <c r="C162" s="832">
        <v>6900</v>
      </c>
      <c r="D162" s="832">
        <v>6870</v>
      </c>
      <c r="E162" s="832">
        <v>7500</v>
      </c>
      <c r="F162" s="846">
        <v>1390</v>
      </c>
    </row>
    <row r="163" spans="1:6" s="826" customFormat="1" ht="14.25" customHeight="1" thickBot="1">
      <c r="A163" s="838" t="s">
        <v>525</v>
      </c>
      <c r="B163" s="832" t="s">
        <v>241</v>
      </c>
      <c r="C163" s="832">
        <v>7120</v>
      </c>
      <c r="D163" s="832">
        <v>7090</v>
      </c>
      <c r="E163" s="832">
        <v>7690</v>
      </c>
      <c r="F163" s="846">
        <v>1230</v>
      </c>
    </row>
    <row r="164" spans="1:6" s="826" customFormat="1" ht="14.25" customHeight="1" thickBot="1">
      <c r="A164" s="838" t="s">
        <v>525</v>
      </c>
      <c r="B164" s="832" t="s">
        <v>252</v>
      </c>
      <c r="C164" s="832">
        <v>6560</v>
      </c>
      <c r="D164" s="832">
        <v>6530</v>
      </c>
      <c r="E164" s="832">
        <v>7110</v>
      </c>
      <c r="F164" s="846">
        <v>1340</v>
      </c>
    </row>
    <row r="165" spans="1:6" s="826" customFormat="1" ht="14.25" customHeight="1" thickBot="1">
      <c r="A165" s="838" t="s">
        <v>525</v>
      </c>
      <c r="B165" s="832" t="s">
        <v>263</v>
      </c>
      <c r="C165" s="832">
        <v>7450</v>
      </c>
      <c r="D165" s="832">
        <v>7430</v>
      </c>
      <c r="E165" s="832">
        <v>8110</v>
      </c>
      <c r="F165" s="846">
        <v>1290</v>
      </c>
    </row>
    <row r="166" spans="1:6" s="826" customFormat="1" ht="14.25" customHeight="1" thickBot="1">
      <c r="A166" s="838" t="s">
        <v>525</v>
      </c>
      <c r="B166" s="832" t="s">
        <v>275</v>
      </c>
      <c r="C166" s="832">
        <v>7490</v>
      </c>
      <c r="D166" s="832">
        <v>7460</v>
      </c>
      <c r="E166" s="832">
        <v>8150</v>
      </c>
      <c r="F166" s="846">
        <v>1350</v>
      </c>
    </row>
    <row r="167" spans="1:6" s="826" customFormat="1" ht="14.25" customHeight="1" thickBot="1">
      <c r="A167" s="838" t="s">
        <v>525</v>
      </c>
      <c r="B167" s="832" t="s">
        <v>285</v>
      </c>
      <c r="C167" s="832">
        <v>7540</v>
      </c>
      <c r="D167" s="832">
        <v>7510</v>
      </c>
      <c r="E167" s="832">
        <v>8030</v>
      </c>
      <c r="F167" s="850"/>
    </row>
    <row r="168" spans="1:6" s="826" customFormat="1" ht="14.25" customHeight="1" thickBot="1">
      <c r="A168" s="838" t="s">
        <v>525</v>
      </c>
      <c r="B168" s="832" t="s">
        <v>295</v>
      </c>
      <c r="C168" s="832">
        <v>7210</v>
      </c>
      <c r="D168" s="832">
        <v>7180</v>
      </c>
      <c r="E168" s="832">
        <v>7830</v>
      </c>
      <c r="F168" s="850"/>
    </row>
    <row r="169" spans="1:6" s="826" customFormat="1" ht="14.25" customHeight="1" thickBot="1">
      <c r="A169" s="838" t="s">
        <v>525</v>
      </c>
      <c r="B169" s="832" t="s">
        <v>305</v>
      </c>
      <c r="C169" s="832">
        <v>7040</v>
      </c>
      <c r="D169" s="832">
        <v>7020</v>
      </c>
      <c r="E169" s="832">
        <v>7670</v>
      </c>
      <c r="F169" s="850"/>
    </row>
    <row r="170" spans="1:6" s="826" customFormat="1" ht="14.25" customHeight="1" thickBot="1">
      <c r="A170" s="838" t="s">
        <v>525</v>
      </c>
      <c r="B170" s="832" t="s">
        <v>315</v>
      </c>
      <c r="C170" s="832">
        <v>8040</v>
      </c>
      <c r="D170" s="832">
        <v>7190</v>
      </c>
      <c r="E170" s="832">
        <v>7850</v>
      </c>
      <c r="F170" s="850"/>
    </row>
    <row r="171" spans="1:6" s="826" customFormat="1" ht="14.25" customHeight="1" thickBot="1">
      <c r="A171" s="838" t="s">
        <v>525</v>
      </c>
      <c r="B171" s="832" t="s">
        <v>326</v>
      </c>
      <c r="C171" s="832">
        <v>7860</v>
      </c>
      <c r="D171" s="832">
        <v>7720</v>
      </c>
      <c r="E171" s="832">
        <v>8150</v>
      </c>
      <c r="F171" s="846">
        <v>1110</v>
      </c>
    </row>
    <row r="172" spans="1:6" s="826" customFormat="1" ht="14.25" customHeight="1" thickBot="1">
      <c r="A172" s="838" t="s">
        <v>525</v>
      </c>
      <c r="B172" s="832" t="s">
        <v>337</v>
      </c>
      <c r="C172" s="832">
        <v>7210</v>
      </c>
      <c r="D172" s="832">
        <v>7170</v>
      </c>
      <c r="E172" s="832">
        <v>7320</v>
      </c>
      <c r="F172" s="850"/>
    </row>
    <row r="173" spans="1:6" s="826" customFormat="1" ht="14.25" customHeight="1" thickBot="1">
      <c r="A173" s="838" t="s">
        <v>525</v>
      </c>
      <c r="B173" s="832" t="s">
        <v>347</v>
      </c>
      <c r="C173" s="832">
        <v>6860</v>
      </c>
      <c r="D173" s="832">
        <v>6810</v>
      </c>
      <c r="E173" s="832">
        <v>7440</v>
      </c>
      <c r="F173" s="850"/>
    </row>
    <row r="174" spans="1:6" s="826" customFormat="1" ht="14.25" customHeight="1" thickBot="1">
      <c r="A174" s="838" t="s">
        <v>525</v>
      </c>
      <c r="B174" s="832" t="s">
        <v>357</v>
      </c>
      <c r="C174" s="832">
        <v>7120</v>
      </c>
      <c r="D174" s="832">
        <v>7090</v>
      </c>
      <c r="E174" s="832">
        <v>7500</v>
      </c>
      <c r="F174" s="846">
        <v>1490</v>
      </c>
    </row>
    <row r="175" spans="1:6" s="826" customFormat="1" ht="14.25" customHeight="1" thickBot="1">
      <c r="A175" s="838" t="s">
        <v>525</v>
      </c>
      <c r="B175" s="832" t="s">
        <v>367</v>
      </c>
      <c r="C175" s="832">
        <v>7850</v>
      </c>
      <c r="D175" s="832">
        <v>7820</v>
      </c>
      <c r="E175" s="832">
        <v>8120</v>
      </c>
      <c r="F175" s="846">
        <v>1530</v>
      </c>
    </row>
    <row r="176" spans="1:6" s="826" customFormat="1" ht="14.25" customHeight="1" thickBot="1">
      <c r="A176" s="838" t="s">
        <v>525</v>
      </c>
      <c r="B176" s="832" t="s">
        <v>377</v>
      </c>
      <c r="C176" s="832">
        <v>7620</v>
      </c>
      <c r="D176" s="832">
        <v>7570</v>
      </c>
      <c r="E176" s="832">
        <v>7990</v>
      </c>
      <c r="F176" s="846">
        <v>1480</v>
      </c>
    </row>
    <row r="177" spans="1:6" s="826" customFormat="1" ht="14.25" customHeight="1" thickBot="1">
      <c r="A177" s="838" t="s">
        <v>525</v>
      </c>
      <c r="B177" s="832" t="s">
        <v>386</v>
      </c>
      <c r="C177" s="832">
        <v>8590</v>
      </c>
      <c r="D177" s="832">
        <v>8570</v>
      </c>
      <c r="E177" s="832">
        <v>8740</v>
      </c>
      <c r="F177" s="846">
        <v>1540</v>
      </c>
    </row>
    <row r="178" spans="1:6" s="826" customFormat="1" ht="14.25" customHeight="1" thickBot="1">
      <c r="A178" s="838" t="s">
        <v>525</v>
      </c>
      <c r="B178" s="832" t="s">
        <v>395</v>
      </c>
      <c r="C178" s="832">
        <v>7510</v>
      </c>
      <c r="D178" s="832">
        <v>7470</v>
      </c>
      <c r="E178" s="832">
        <v>8090</v>
      </c>
      <c r="F178" s="846">
        <v>1320</v>
      </c>
    </row>
    <row r="179" spans="1:6" s="826" customFormat="1" ht="14.25" customHeight="1" thickBot="1">
      <c r="A179" s="838" t="s">
        <v>525</v>
      </c>
      <c r="B179" s="832" t="s">
        <v>403</v>
      </c>
      <c r="C179" s="832">
        <v>6380</v>
      </c>
      <c r="D179" s="832">
        <v>6340</v>
      </c>
      <c r="E179" s="832">
        <v>6810</v>
      </c>
      <c r="F179" s="850"/>
    </row>
    <row r="180" spans="1:6" s="826" customFormat="1" ht="14.25" customHeight="1" thickBot="1">
      <c r="A180" s="838" t="s">
        <v>525</v>
      </c>
      <c r="B180" s="832" t="s">
        <v>410</v>
      </c>
      <c r="C180" s="832">
        <v>7830</v>
      </c>
      <c r="D180" s="832">
        <v>7800</v>
      </c>
      <c r="E180" s="832">
        <v>7780</v>
      </c>
      <c r="F180" s="846">
        <v>1440</v>
      </c>
    </row>
    <row r="181" spans="1:6" s="826" customFormat="1" ht="14.25" customHeight="1" thickBot="1">
      <c r="A181" s="838" t="s">
        <v>525</v>
      </c>
      <c r="B181" s="832" t="s">
        <v>417</v>
      </c>
      <c r="C181" s="832">
        <v>7110</v>
      </c>
      <c r="D181" s="832">
        <v>7080</v>
      </c>
      <c r="E181" s="832">
        <v>7730</v>
      </c>
      <c r="F181" s="846">
        <v>1350</v>
      </c>
    </row>
    <row r="182" spans="1:6" s="826" customFormat="1" ht="14.25" customHeight="1" thickBot="1">
      <c r="A182" s="838" t="s">
        <v>525</v>
      </c>
      <c r="B182" s="832" t="s">
        <v>424</v>
      </c>
      <c r="C182" s="832">
        <v>7310</v>
      </c>
      <c r="D182" s="832">
        <v>7280</v>
      </c>
      <c r="E182" s="832">
        <v>7950</v>
      </c>
      <c r="F182" s="846">
        <v>1220</v>
      </c>
    </row>
    <row r="183" spans="1:6" s="826" customFormat="1" ht="14.25" customHeight="1" thickBot="1">
      <c r="A183" s="838" t="s">
        <v>525</v>
      </c>
      <c r="B183" s="832" t="s">
        <v>431</v>
      </c>
      <c r="C183" s="832">
        <v>7470</v>
      </c>
      <c r="D183" s="832">
        <v>7440</v>
      </c>
      <c r="E183" s="832">
        <v>7880</v>
      </c>
      <c r="F183" s="850"/>
    </row>
    <row r="184" spans="1:6" s="826" customFormat="1" ht="14.25" customHeight="1" thickBot="1">
      <c r="A184" s="838" t="s">
        <v>525</v>
      </c>
      <c r="B184" s="832" t="s">
        <v>438</v>
      </c>
      <c r="C184" s="832">
        <v>6960</v>
      </c>
      <c r="D184" s="832">
        <v>6930</v>
      </c>
      <c r="E184" s="832">
        <v>7570</v>
      </c>
      <c r="F184" s="850"/>
    </row>
    <row r="185" spans="1:6" s="826" customFormat="1" ht="14.25" customHeight="1" thickBot="1">
      <c r="A185" s="838" t="s">
        <v>525</v>
      </c>
      <c r="B185" s="832" t="s">
        <v>445</v>
      </c>
      <c r="C185" s="832">
        <v>7260</v>
      </c>
      <c r="D185" s="832">
        <v>7230</v>
      </c>
      <c r="E185" s="832">
        <v>7710</v>
      </c>
      <c r="F185" s="846">
        <v>1360</v>
      </c>
    </row>
    <row r="186" spans="1:6" s="826" customFormat="1" ht="14.25" customHeight="1" thickBot="1">
      <c r="A186" s="838" t="s">
        <v>525</v>
      </c>
      <c r="B186" s="832" t="s">
        <v>450</v>
      </c>
      <c r="C186" s="832"/>
      <c r="D186" s="832"/>
      <c r="E186" s="832"/>
      <c r="F186" s="846">
        <v>1560</v>
      </c>
    </row>
    <row r="187" spans="1:6" s="826" customFormat="1" ht="14.25" customHeight="1" thickBot="1">
      <c r="A187" s="838" t="s">
        <v>525</v>
      </c>
      <c r="B187" s="832" t="s">
        <v>454</v>
      </c>
      <c r="C187" s="832"/>
      <c r="D187" s="832"/>
      <c r="E187" s="832"/>
      <c r="F187" s="846">
        <v>1560</v>
      </c>
    </row>
    <row r="188" spans="1:6" s="826" customFormat="1" ht="14.25" customHeight="1" thickBot="1">
      <c r="A188" s="838" t="s">
        <v>525</v>
      </c>
      <c r="B188" s="832" t="s">
        <v>459</v>
      </c>
      <c r="C188" s="832"/>
      <c r="D188" s="832"/>
      <c r="E188" s="832"/>
      <c r="F188" s="846">
        <v>1560</v>
      </c>
    </row>
    <row r="189" spans="1:6" s="826" customFormat="1" ht="14.25" customHeight="1" thickBot="1">
      <c r="A189" s="838" t="s">
        <v>525</v>
      </c>
      <c r="B189" s="832" t="s">
        <v>464</v>
      </c>
      <c r="C189" s="832"/>
      <c r="D189" s="832"/>
      <c r="E189" s="832"/>
      <c r="F189" s="846">
        <v>1320</v>
      </c>
    </row>
    <row r="190" spans="1:6" s="826" customFormat="1" ht="14.25" customHeight="1" thickBot="1">
      <c r="A190" s="838" t="s">
        <v>525</v>
      </c>
      <c r="B190" s="832" t="s">
        <v>469</v>
      </c>
      <c r="C190" s="832"/>
      <c r="D190" s="832"/>
      <c r="E190" s="832"/>
      <c r="F190" s="846">
        <v>1320</v>
      </c>
    </row>
    <row r="191" spans="1:6" s="826" customFormat="1" ht="14.25" customHeight="1" thickBot="1">
      <c r="A191" s="838" t="s">
        <v>525</v>
      </c>
      <c r="B191" s="832" t="s">
        <v>474</v>
      </c>
      <c r="C191" s="832"/>
      <c r="D191" s="832"/>
      <c r="E191" s="832"/>
      <c r="F191" s="846">
        <v>1320</v>
      </c>
    </row>
    <row r="192" spans="1:6" s="826" customFormat="1" ht="14.25" customHeight="1" thickBot="1">
      <c r="A192" s="838" t="s">
        <v>525</v>
      </c>
      <c r="B192" s="832" t="s">
        <v>478</v>
      </c>
      <c r="C192" s="832"/>
      <c r="D192" s="832"/>
      <c r="E192" s="832"/>
      <c r="F192" s="846">
        <v>1100</v>
      </c>
    </row>
    <row r="193" spans="1:6" s="826" customFormat="1" ht="14.25" customHeight="1" thickBot="1">
      <c r="A193" s="838" t="s">
        <v>525</v>
      </c>
      <c r="B193" s="832" t="s">
        <v>482</v>
      </c>
      <c r="C193" s="832"/>
      <c r="D193" s="832"/>
      <c r="E193" s="832"/>
      <c r="F193" s="846">
        <v>1100</v>
      </c>
    </row>
    <row r="194" spans="1:6" s="826" customFormat="1" ht="14.25" customHeight="1" thickBot="1">
      <c r="A194" s="838" t="s">
        <v>525</v>
      </c>
      <c r="B194" s="832" t="s">
        <v>486</v>
      </c>
      <c r="C194" s="832"/>
      <c r="D194" s="832"/>
      <c r="E194" s="832"/>
      <c r="F194" s="846">
        <v>1080</v>
      </c>
    </row>
    <row r="195" spans="1:6" s="826" customFormat="1" ht="14.25" customHeight="1" thickBot="1">
      <c r="A195" s="838" t="s">
        <v>525</v>
      </c>
      <c r="B195" s="832" t="s">
        <v>490</v>
      </c>
      <c r="C195" s="832"/>
      <c r="D195" s="832"/>
      <c r="E195" s="832"/>
      <c r="F195" s="846">
        <v>1270</v>
      </c>
    </row>
    <row r="196" spans="1:6" s="826" customFormat="1" ht="14.25" customHeight="1" thickBot="1">
      <c r="A196" s="838" t="s">
        <v>525</v>
      </c>
      <c r="B196" s="832" t="s">
        <v>494</v>
      </c>
      <c r="C196" s="832"/>
      <c r="D196" s="832"/>
      <c r="E196" s="832"/>
      <c r="F196" s="846">
        <v>1150</v>
      </c>
    </row>
    <row r="197" spans="1:6" s="826" customFormat="1" ht="14.25" customHeight="1" thickBot="1">
      <c r="A197" s="838" t="s">
        <v>525</v>
      </c>
      <c r="B197" s="832" t="s">
        <v>498</v>
      </c>
      <c r="C197" s="832"/>
      <c r="D197" s="832"/>
      <c r="E197" s="832"/>
      <c r="F197" s="846">
        <v>1330</v>
      </c>
    </row>
    <row r="198" spans="1:6" s="826" customFormat="1" ht="14.25" customHeight="1" thickBot="1">
      <c r="A198" s="838" t="s">
        <v>525</v>
      </c>
      <c r="B198" s="832" t="s">
        <v>501</v>
      </c>
      <c r="C198" s="832"/>
      <c r="D198" s="832"/>
      <c r="E198" s="832"/>
      <c r="F198" s="846">
        <v>1170</v>
      </c>
    </row>
    <row r="199" spans="1:6" s="826" customFormat="1" ht="14.25" customHeight="1" thickBot="1">
      <c r="A199" s="838" t="s">
        <v>525</v>
      </c>
      <c r="B199" s="832" t="s">
        <v>504</v>
      </c>
      <c r="C199" s="832"/>
      <c r="D199" s="832"/>
      <c r="E199" s="832"/>
      <c r="F199" s="846">
        <v>1120</v>
      </c>
    </row>
    <row r="200" spans="1:6" s="826" customFormat="1" ht="14.25" customHeight="1" thickBot="1">
      <c r="A200" s="838" t="s">
        <v>525</v>
      </c>
      <c r="B200" s="832" t="s">
        <v>507</v>
      </c>
      <c r="C200" s="832"/>
      <c r="D200" s="832"/>
      <c r="E200" s="832"/>
      <c r="F200" s="846">
        <v>1120</v>
      </c>
    </row>
    <row r="201" spans="1:6" s="826" customFormat="1" ht="14.25" customHeight="1" thickBot="1">
      <c r="A201" s="838" t="s">
        <v>525</v>
      </c>
      <c r="B201" s="832" t="s">
        <v>510</v>
      </c>
      <c r="C201" s="832"/>
      <c r="D201" s="832"/>
      <c r="E201" s="832"/>
      <c r="F201" s="846">
        <v>1540</v>
      </c>
    </row>
    <row r="202" spans="1:6" s="826" customFormat="1" ht="14.25" customHeight="1" thickBot="1">
      <c r="A202" s="838" t="s">
        <v>525</v>
      </c>
      <c r="B202" s="832" t="s">
        <v>513</v>
      </c>
      <c r="C202" s="832"/>
      <c r="D202" s="832"/>
      <c r="E202" s="832"/>
      <c r="F202" s="846">
        <v>1310</v>
      </c>
    </row>
    <row r="203" spans="1:6" s="826" customFormat="1" ht="14.25" customHeight="1" thickBot="1">
      <c r="A203" s="838" t="s">
        <v>525</v>
      </c>
      <c r="B203" s="832" t="s">
        <v>516</v>
      </c>
      <c r="C203" s="832"/>
      <c r="D203" s="832"/>
      <c r="E203" s="832"/>
      <c r="F203" s="846">
        <v>1310</v>
      </c>
    </row>
    <row r="204" spans="1:6" s="826" customFormat="1" ht="14.25" customHeight="1" thickBot="1">
      <c r="A204" s="838" t="s">
        <v>525</v>
      </c>
      <c r="B204" s="832" t="s">
        <v>518</v>
      </c>
      <c r="C204" s="832"/>
      <c r="D204" s="832"/>
      <c r="E204" s="832"/>
      <c r="F204" s="846">
        <v>1080</v>
      </c>
    </row>
    <row r="205" spans="1:6" s="826" customFormat="1" ht="14.25" customHeight="1" thickBot="1">
      <c r="A205" s="838" t="s">
        <v>525</v>
      </c>
      <c r="B205" s="832" t="s">
        <v>521</v>
      </c>
      <c r="C205" s="832"/>
      <c r="D205" s="832"/>
      <c r="E205" s="832"/>
      <c r="F205" s="846">
        <v>1080</v>
      </c>
    </row>
    <row r="206" spans="1:6" s="826" customFormat="1" ht="14.25" customHeight="1" thickBot="1">
      <c r="A206" s="838" t="s">
        <v>527</v>
      </c>
      <c r="B206" s="839" t="s">
        <v>528</v>
      </c>
      <c r="C206" s="839">
        <v>5450</v>
      </c>
      <c r="D206" s="839">
        <v>5430</v>
      </c>
      <c r="E206" s="839">
        <v>5700</v>
      </c>
      <c r="F206" s="840">
        <v>1020</v>
      </c>
    </row>
    <row r="207" spans="1:6" s="826" customFormat="1" ht="14.25" customHeight="1" thickBot="1">
      <c r="A207" s="838" t="s">
        <v>527</v>
      </c>
      <c r="B207" s="832" t="s">
        <v>193</v>
      </c>
      <c r="C207" s="832">
        <v>5860</v>
      </c>
      <c r="D207" s="832">
        <v>5820</v>
      </c>
      <c r="E207" s="832">
        <v>6050</v>
      </c>
      <c r="F207" s="846">
        <v>1080</v>
      </c>
    </row>
    <row r="208" spans="1:6" s="826" customFormat="1" ht="14.25" customHeight="1" thickBot="1">
      <c r="A208" s="838" t="s">
        <v>527</v>
      </c>
      <c r="B208" s="832" t="s">
        <v>206</v>
      </c>
      <c r="C208" s="832">
        <v>4630</v>
      </c>
      <c r="D208" s="832">
        <v>4600</v>
      </c>
      <c r="E208" s="832">
        <v>4840</v>
      </c>
      <c r="F208" s="846">
        <v>900</v>
      </c>
    </row>
    <row r="209" spans="1:6" s="826" customFormat="1" ht="14.25" customHeight="1" thickBot="1">
      <c r="A209" s="838" t="s">
        <v>527</v>
      </c>
      <c r="B209" s="832" t="s">
        <v>219</v>
      </c>
      <c r="C209" s="832">
        <v>5320</v>
      </c>
      <c r="D209" s="832">
        <v>5270</v>
      </c>
      <c r="E209" s="832">
        <v>5540</v>
      </c>
      <c r="F209" s="846">
        <v>980</v>
      </c>
    </row>
    <row r="210" spans="1:6" s="826" customFormat="1" ht="14.25" customHeight="1" thickBot="1">
      <c r="A210" s="838" t="s">
        <v>527</v>
      </c>
      <c r="B210" s="832" t="s">
        <v>231</v>
      </c>
      <c r="C210" s="832">
        <v>5760</v>
      </c>
      <c r="D210" s="832">
        <v>5710</v>
      </c>
      <c r="E210" s="832">
        <v>6010</v>
      </c>
      <c r="F210" s="846">
        <v>870</v>
      </c>
    </row>
    <row r="211" spans="1:6" s="826" customFormat="1" ht="14.25" customHeight="1" thickBot="1">
      <c r="A211" s="838" t="s">
        <v>527</v>
      </c>
      <c r="B211" s="832" t="s">
        <v>242</v>
      </c>
      <c r="C211" s="832">
        <v>4160</v>
      </c>
      <c r="D211" s="832">
        <v>4100</v>
      </c>
      <c r="E211" s="832">
        <v>4270</v>
      </c>
      <c r="F211" s="846">
        <v>790</v>
      </c>
    </row>
    <row r="212" spans="1:6" s="826" customFormat="1" ht="14.25" customHeight="1" thickBot="1">
      <c r="A212" s="838" t="s">
        <v>527</v>
      </c>
      <c r="B212" s="832" t="s">
        <v>253</v>
      </c>
      <c r="C212" s="832">
        <v>4880</v>
      </c>
      <c r="D212" s="832">
        <v>4850</v>
      </c>
      <c r="E212" s="832">
        <v>5110</v>
      </c>
      <c r="F212" s="846">
        <v>940</v>
      </c>
    </row>
    <row r="213" spans="1:6" s="826" customFormat="1" ht="14.25" customHeight="1" thickBot="1">
      <c r="A213" s="838" t="s">
        <v>527</v>
      </c>
      <c r="B213" s="832" t="s">
        <v>264</v>
      </c>
      <c r="C213" s="832">
        <v>4640</v>
      </c>
      <c r="D213" s="832">
        <v>4590</v>
      </c>
      <c r="E213" s="832">
        <v>4700</v>
      </c>
      <c r="F213" s="846">
        <v>1030</v>
      </c>
    </row>
    <row r="214" spans="1:6" s="826" customFormat="1" ht="14.25" customHeight="1" thickBot="1">
      <c r="A214" s="838" t="s">
        <v>527</v>
      </c>
      <c r="B214" s="832" t="s">
        <v>276</v>
      </c>
      <c r="C214" s="832">
        <v>4540</v>
      </c>
      <c r="D214" s="832">
        <v>4490</v>
      </c>
      <c r="E214" s="832">
        <v>4610</v>
      </c>
      <c r="F214" s="850"/>
    </row>
    <row r="215" spans="1:6" s="826" customFormat="1" ht="14.25" customHeight="1" thickBot="1">
      <c r="A215" s="838" t="s">
        <v>527</v>
      </c>
      <c r="B215" s="832" t="s">
        <v>286</v>
      </c>
      <c r="C215" s="832">
        <v>5280</v>
      </c>
      <c r="D215" s="832">
        <v>5250</v>
      </c>
      <c r="E215" s="832">
        <v>5520</v>
      </c>
      <c r="F215" s="846">
        <v>1000</v>
      </c>
    </row>
    <row r="216" spans="1:6" s="826" customFormat="1" ht="14.25" customHeight="1" thickBot="1">
      <c r="A216" s="838" t="s">
        <v>527</v>
      </c>
      <c r="B216" s="832" t="s">
        <v>296</v>
      </c>
      <c r="C216" s="832">
        <v>5100</v>
      </c>
      <c r="D216" s="832">
        <v>5050</v>
      </c>
      <c r="E216" s="832">
        <v>5300</v>
      </c>
      <c r="F216" s="846">
        <v>950</v>
      </c>
    </row>
    <row r="217" spans="1:6" s="826" customFormat="1" ht="14.25" customHeight="1" thickBot="1">
      <c r="A217" s="838" t="s">
        <v>527</v>
      </c>
      <c r="B217" s="832" t="s">
        <v>306</v>
      </c>
      <c r="C217" s="832">
        <v>5370</v>
      </c>
      <c r="D217" s="832">
        <v>5320</v>
      </c>
      <c r="E217" s="832">
        <v>5410</v>
      </c>
      <c r="F217" s="846">
        <v>950</v>
      </c>
    </row>
    <row r="218" spans="1:6" s="826" customFormat="1" ht="14.25" customHeight="1" thickBot="1">
      <c r="A218" s="838" t="s">
        <v>527</v>
      </c>
      <c r="B218" s="832" t="s">
        <v>316</v>
      </c>
      <c r="C218" s="832">
        <v>5540</v>
      </c>
      <c r="D218" s="832">
        <v>5480</v>
      </c>
      <c r="E218" s="832">
        <v>5740</v>
      </c>
      <c r="F218" s="846">
        <v>1020</v>
      </c>
    </row>
    <row r="219" spans="1:6" s="826" customFormat="1" ht="14.25" customHeight="1" thickBot="1">
      <c r="A219" s="838" t="s">
        <v>527</v>
      </c>
      <c r="B219" s="832" t="s">
        <v>327</v>
      </c>
      <c r="C219" s="832">
        <v>5140</v>
      </c>
      <c r="D219" s="832">
        <v>5100</v>
      </c>
      <c r="E219" s="832">
        <v>5350</v>
      </c>
      <c r="F219" s="846">
        <v>1120</v>
      </c>
    </row>
    <row r="220" spans="1:6" s="826" customFormat="1" ht="14.25" customHeight="1" thickBot="1">
      <c r="A220" s="838" t="s">
        <v>527</v>
      </c>
      <c r="B220" s="832" t="s">
        <v>338</v>
      </c>
      <c r="C220" s="832">
        <v>5040</v>
      </c>
      <c r="D220" s="832">
        <v>5000</v>
      </c>
      <c r="E220" s="832">
        <v>5240</v>
      </c>
      <c r="F220" s="846">
        <v>980</v>
      </c>
    </row>
    <row r="221" spans="1:6" s="826" customFormat="1" ht="14.25" customHeight="1" thickBot="1">
      <c r="A221" s="838" t="s">
        <v>527</v>
      </c>
      <c r="B221" s="832" t="s">
        <v>348</v>
      </c>
      <c r="C221" s="851"/>
      <c r="D221" s="851"/>
      <c r="E221" s="851"/>
      <c r="F221" s="846">
        <v>1070</v>
      </c>
    </row>
    <row r="222" spans="1:6" s="826" customFormat="1" ht="14.25" customHeight="1" thickBot="1">
      <c r="A222" s="838" t="s">
        <v>527</v>
      </c>
      <c r="B222" s="832" t="s">
        <v>358</v>
      </c>
      <c r="C222" s="851"/>
      <c r="D222" s="851"/>
      <c r="E222" s="851"/>
      <c r="F222" s="846">
        <v>870</v>
      </c>
    </row>
    <row r="223" spans="1:6" s="826" customFormat="1" ht="14.25" customHeight="1" thickBot="1">
      <c r="A223" s="838" t="s">
        <v>527</v>
      </c>
      <c r="B223" s="832" t="s">
        <v>368</v>
      </c>
      <c r="C223" s="851"/>
      <c r="D223" s="851"/>
      <c r="E223" s="851"/>
      <c r="F223" s="846">
        <v>940</v>
      </c>
    </row>
    <row r="224" spans="1:6" s="826" customFormat="1" ht="14.25" customHeight="1" thickBot="1">
      <c r="A224" s="838" t="s">
        <v>527</v>
      </c>
      <c r="B224" s="832" t="s">
        <v>378</v>
      </c>
      <c r="C224" s="851"/>
      <c r="D224" s="851"/>
      <c r="E224" s="851"/>
      <c r="F224" s="846">
        <v>990</v>
      </c>
    </row>
    <row r="225" spans="1:6" s="826" customFormat="1" ht="14.25" customHeight="1" thickBot="1">
      <c r="A225" s="838" t="s">
        <v>527</v>
      </c>
      <c r="B225" s="832" t="s">
        <v>387</v>
      </c>
      <c r="C225" s="832">
        <v>5730</v>
      </c>
      <c r="D225" s="832">
        <v>5680</v>
      </c>
      <c r="E225" s="832">
        <v>6020</v>
      </c>
      <c r="F225" s="846">
        <v>1000</v>
      </c>
    </row>
    <row r="226" spans="1:6" s="826" customFormat="1" ht="14.25" customHeight="1" thickBot="1">
      <c r="A226" s="838" t="s">
        <v>527</v>
      </c>
      <c r="B226" s="832" t="s">
        <v>396</v>
      </c>
      <c r="C226" s="832">
        <v>4970</v>
      </c>
      <c r="D226" s="832">
        <v>4940</v>
      </c>
      <c r="E226" s="832">
        <v>5180</v>
      </c>
      <c r="F226" s="846">
        <v>960</v>
      </c>
    </row>
    <row r="227" spans="1:6" s="826" customFormat="1" ht="14.25" customHeight="1" thickBot="1">
      <c r="A227" s="838" t="s">
        <v>527</v>
      </c>
      <c r="B227" s="832" t="s">
        <v>404</v>
      </c>
      <c r="C227" s="832">
        <v>5550</v>
      </c>
      <c r="D227" s="832">
        <v>5500</v>
      </c>
      <c r="E227" s="832">
        <v>5780</v>
      </c>
      <c r="F227" s="846">
        <v>940</v>
      </c>
    </row>
    <row r="228" spans="1:6" s="826" customFormat="1" ht="14.25" customHeight="1" thickBot="1">
      <c r="A228" s="838" t="s">
        <v>527</v>
      </c>
      <c r="B228" s="832" t="s">
        <v>411</v>
      </c>
      <c r="C228" s="832">
        <v>5460</v>
      </c>
      <c r="D228" s="832">
        <v>5420</v>
      </c>
      <c r="E228" s="832">
        <v>5690</v>
      </c>
      <c r="F228" s="846">
        <v>910</v>
      </c>
    </row>
    <row r="229" spans="1:6" s="826" customFormat="1" ht="14.25" customHeight="1" thickBot="1">
      <c r="A229" s="838" t="s">
        <v>527</v>
      </c>
      <c r="B229" s="832" t="s">
        <v>418</v>
      </c>
      <c r="C229" s="832">
        <v>5310</v>
      </c>
      <c r="D229" s="832">
        <v>5270</v>
      </c>
      <c r="E229" s="832">
        <v>5510</v>
      </c>
      <c r="F229" s="850"/>
    </row>
    <row r="230" spans="1:6" s="826" customFormat="1" ht="14.25" customHeight="1" thickBot="1">
      <c r="A230" s="838" t="s">
        <v>527</v>
      </c>
      <c r="B230" s="832" t="s">
        <v>425</v>
      </c>
      <c r="C230" s="832">
        <v>4540</v>
      </c>
      <c r="D230" s="832">
        <v>4500</v>
      </c>
      <c r="E230" s="832">
        <v>4730</v>
      </c>
      <c r="F230" s="850"/>
    </row>
    <row r="231" spans="1:6" s="826" customFormat="1" ht="14.25" customHeight="1" thickBot="1">
      <c r="A231" s="838" t="s">
        <v>527</v>
      </c>
      <c r="B231" s="832" t="s">
        <v>432</v>
      </c>
      <c r="C231" s="832">
        <v>4480</v>
      </c>
      <c r="D231" s="832">
        <v>4410</v>
      </c>
      <c r="E231" s="832">
        <v>4640</v>
      </c>
      <c r="F231" s="850"/>
    </row>
    <row r="232" spans="1:6" s="826" customFormat="1" ht="14.25" customHeight="1" thickBot="1">
      <c r="A232" s="838" t="s">
        <v>527</v>
      </c>
      <c r="B232" s="832" t="s">
        <v>439</v>
      </c>
      <c r="C232" s="832">
        <v>5670</v>
      </c>
      <c r="D232" s="832">
        <v>5600</v>
      </c>
      <c r="E232" s="832">
        <v>5890</v>
      </c>
      <c r="F232" s="846">
        <v>1150</v>
      </c>
    </row>
    <row r="233" spans="1:6" s="826" customFormat="1" ht="14.25" customHeight="1" thickBot="1">
      <c r="A233" s="838" t="s">
        <v>527</v>
      </c>
      <c r="B233" s="832" t="s">
        <v>446</v>
      </c>
      <c r="C233" s="832">
        <v>4590</v>
      </c>
      <c r="D233" s="832">
        <v>4500</v>
      </c>
      <c r="E233" s="832">
        <v>4600</v>
      </c>
      <c r="F233" s="850"/>
    </row>
    <row r="234" spans="1:6" s="826" customFormat="1" ht="14.25" customHeight="1" thickBot="1">
      <c r="A234" s="838" t="s">
        <v>527</v>
      </c>
      <c r="B234" s="832" t="s">
        <v>1048</v>
      </c>
      <c r="C234" s="832">
        <v>3990</v>
      </c>
      <c r="D234" s="832">
        <v>3950</v>
      </c>
      <c r="E234" s="832">
        <v>4180</v>
      </c>
      <c r="F234" s="850"/>
    </row>
    <row r="235" spans="1:6" s="826" customFormat="1" ht="14.25" customHeight="1" thickBot="1">
      <c r="A235" s="838" t="s">
        <v>527</v>
      </c>
      <c r="B235" s="832" t="s">
        <v>455</v>
      </c>
      <c r="C235" s="832">
        <v>5590</v>
      </c>
      <c r="D235" s="832">
        <v>5540</v>
      </c>
      <c r="E235" s="832">
        <v>5810</v>
      </c>
      <c r="F235" s="846">
        <v>970</v>
      </c>
    </row>
    <row r="236" spans="1:6" s="826" customFormat="1" ht="14.25" customHeight="1" thickBot="1">
      <c r="A236" s="838" t="s">
        <v>527</v>
      </c>
      <c r="B236" s="832" t="s">
        <v>460</v>
      </c>
      <c r="C236" s="832"/>
      <c r="D236" s="832"/>
      <c r="E236" s="832"/>
      <c r="F236" s="846">
        <v>1020</v>
      </c>
    </row>
    <row r="237" spans="1:6" s="826" customFormat="1" ht="14.25" customHeight="1" thickBot="1">
      <c r="A237" s="838" t="s">
        <v>527</v>
      </c>
      <c r="B237" s="832" t="s">
        <v>465</v>
      </c>
      <c r="C237" s="832"/>
      <c r="D237" s="832"/>
      <c r="E237" s="832"/>
      <c r="F237" s="846">
        <v>960</v>
      </c>
    </row>
    <row r="238" spans="1:6" s="826" customFormat="1" ht="14.25" customHeight="1" thickBot="1">
      <c r="A238" s="838" t="s">
        <v>527</v>
      </c>
      <c r="B238" s="832" t="s">
        <v>470</v>
      </c>
      <c r="C238" s="832"/>
      <c r="D238" s="832"/>
      <c r="E238" s="832"/>
      <c r="F238" s="846">
        <v>960</v>
      </c>
    </row>
    <row r="239" spans="1:6" s="826" customFormat="1" ht="14.25" customHeight="1" thickBot="1">
      <c r="A239" s="838" t="s">
        <v>527</v>
      </c>
      <c r="B239" s="832" t="s">
        <v>475</v>
      </c>
      <c r="C239" s="832"/>
      <c r="D239" s="832"/>
      <c r="E239" s="832"/>
      <c r="F239" s="846">
        <v>960</v>
      </c>
    </row>
    <row r="240" spans="1:6" s="826" customFormat="1" ht="14.25" customHeight="1" thickBot="1">
      <c r="A240" s="838" t="s">
        <v>527</v>
      </c>
      <c r="B240" s="832" t="s">
        <v>479</v>
      </c>
      <c r="C240" s="832"/>
      <c r="D240" s="832"/>
      <c r="E240" s="832"/>
      <c r="F240" s="846">
        <v>990</v>
      </c>
    </row>
    <row r="241" spans="1:6" s="826" customFormat="1" ht="14.25" customHeight="1" thickBot="1">
      <c r="A241" s="838" t="s">
        <v>527</v>
      </c>
      <c r="B241" s="832" t="s">
        <v>483</v>
      </c>
      <c r="C241" s="832"/>
      <c r="D241" s="832"/>
      <c r="E241" s="832"/>
      <c r="F241" s="846">
        <v>1000</v>
      </c>
    </row>
    <row r="242" spans="1:6" s="826" customFormat="1" ht="14.25" customHeight="1" thickBot="1">
      <c r="A242" s="838" t="s">
        <v>527</v>
      </c>
      <c r="B242" s="832" t="s">
        <v>487</v>
      </c>
      <c r="C242" s="832"/>
      <c r="D242" s="832"/>
      <c r="E242" s="832"/>
      <c r="F242" s="846">
        <v>980</v>
      </c>
    </row>
    <row r="243" spans="1:6" s="826" customFormat="1" ht="14.25" customHeight="1" thickBot="1">
      <c r="A243" s="838" t="s">
        <v>527</v>
      </c>
      <c r="B243" s="832" t="s">
        <v>491</v>
      </c>
      <c r="C243" s="832"/>
      <c r="D243" s="832"/>
      <c r="E243" s="832"/>
      <c r="F243" s="846">
        <v>970</v>
      </c>
    </row>
    <row r="244" spans="1:6" s="826" customFormat="1" ht="14.25" customHeight="1" thickBot="1">
      <c r="A244" s="838" t="s">
        <v>527</v>
      </c>
      <c r="B244" s="844" t="s">
        <v>495</v>
      </c>
      <c r="C244" s="844"/>
      <c r="D244" s="844"/>
      <c r="E244" s="844"/>
      <c r="F244" s="849">
        <v>970</v>
      </c>
    </row>
    <row r="245" spans="1:6" s="826" customFormat="1" ht="14.25" customHeight="1" thickBot="1">
      <c r="A245" s="838" t="s">
        <v>529</v>
      </c>
      <c r="B245" s="839" t="s">
        <v>530</v>
      </c>
      <c r="C245" s="839">
        <v>4050</v>
      </c>
      <c r="D245" s="839">
        <v>4020</v>
      </c>
      <c r="E245" s="839">
        <v>4160</v>
      </c>
      <c r="F245" s="840">
        <v>840</v>
      </c>
    </row>
    <row r="246" spans="1:6" s="826" customFormat="1" ht="14.25" customHeight="1" thickBot="1">
      <c r="A246" s="838" t="s">
        <v>529</v>
      </c>
      <c r="B246" s="832" t="s">
        <v>194</v>
      </c>
      <c r="C246" s="832">
        <v>4010</v>
      </c>
      <c r="D246" s="832">
        <v>3960</v>
      </c>
      <c r="E246" s="832">
        <v>4130</v>
      </c>
      <c r="F246" s="846">
        <v>840</v>
      </c>
    </row>
    <row r="247" spans="1:6" s="826" customFormat="1" ht="14.25" customHeight="1" thickBot="1">
      <c r="A247" s="838" t="s">
        <v>529</v>
      </c>
      <c r="B247" s="832" t="s">
        <v>531</v>
      </c>
      <c r="C247" s="832">
        <v>3170</v>
      </c>
      <c r="D247" s="832">
        <v>3140</v>
      </c>
      <c r="E247" s="832">
        <v>3270</v>
      </c>
      <c r="F247" s="846">
        <v>640</v>
      </c>
    </row>
    <row r="248" spans="1:6" s="826" customFormat="1" ht="14.25" customHeight="1" thickBot="1">
      <c r="A248" s="838" t="s">
        <v>529</v>
      </c>
      <c r="B248" s="832" t="s">
        <v>532</v>
      </c>
      <c r="C248" s="832">
        <v>3140</v>
      </c>
      <c r="D248" s="832">
        <v>3120</v>
      </c>
      <c r="E248" s="832">
        <v>3240</v>
      </c>
      <c r="F248" s="846">
        <v>620</v>
      </c>
    </row>
    <row r="249" spans="1:6" s="826" customFormat="1" ht="14.25" customHeight="1" thickBot="1">
      <c r="A249" s="838" t="s">
        <v>529</v>
      </c>
      <c r="B249" s="832" t="s">
        <v>232</v>
      </c>
      <c r="C249" s="832">
        <v>3200</v>
      </c>
      <c r="D249" s="832">
        <v>3100</v>
      </c>
      <c r="E249" s="832">
        <v>3230</v>
      </c>
      <c r="F249" s="846">
        <v>750</v>
      </c>
    </row>
    <row r="250" spans="1:6" s="826" customFormat="1" ht="14.25" customHeight="1" thickBot="1">
      <c r="A250" s="838" t="s">
        <v>529</v>
      </c>
      <c r="B250" s="832" t="s">
        <v>243</v>
      </c>
      <c r="C250" s="832">
        <v>4060</v>
      </c>
      <c r="D250" s="832">
        <v>4000</v>
      </c>
      <c r="E250" s="832">
        <v>4140</v>
      </c>
      <c r="F250" s="846">
        <v>790</v>
      </c>
    </row>
    <row r="251" spans="1:6" s="826" customFormat="1" ht="14.25" customHeight="1" thickBot="1">
      <c r="A251" s="838" t="s">
        <v>529</v>
      </c>
      <c r="B251" s="832" t="s">
        <v>254</v>
      </c>
      <c r="C251" s="832">
        <v>3990</v>
      </c>
      <c r="D251" s="832">
        <v>3970</v>
      </c>
      <c r="E251" s="832">
        <v>4110</v>
      </c>
      <c r="F251" s="846">
        <v>730</v>
      </c>
    </row>
    <row r="252" spans="1:6" s="826" customFormat="1" ht="14.25" customHeight="1" thickBot="1">
      <c r="A252" s="838" t="s">
        <v>529</v>
      </c>
      <c r="B252" s="832" t="s">
        <v>265</v>
      </c>
      <c r="C252" s="832">
        <v>3560</v>
      </c>
      <c r="D252" s="832">
        <v>3530</v>
      </c>
      <c r="E252" s="832">
        <v>3650</v>
      </c>
      <c r="F252" s="846">
        <v>750</v>
      </c>
    </row>
    <row r="253" spans="1:6" s="826" customFormat="1" ht="14.25" customHeight="1" thickBot="1">
      <c r="A253" s="838" t="s">
        <v>529</v>
      </c>
      <c r="B253" s="832" t="s">
        <v>277</v>
      </c>
      <c r="C253" s="832">
        <v>3780</v>
      </c>
      <c r="D253" s="832">
        <v>3750</v>
      </c>
      <c r="E253" s="832">
        <v>3870</v>
      </c>
      <c r="F253" s="846">
        <v>770</v>
      </c>
    </row>
    <row r="254" spans="1:6" s="826" customFormat="1" ht="14.25" customHeight="1" thickBot="1">
      <c r="A254" s="838" t="s">
        <v>529</v>
      </c>
      <c r="B254" s="832" t="s">
        <v>287</v>
      </c>
      <c r="C254" s="851"/>
      <c r="D254" s="851"/>
      <c r="E254" s="851"/>
      <c r="F254" s="846">
        <v>740</v>
      </c>
    </row>
    <row r="255" spans="1:6" s="826" customFormat="1" ht="14.25" customHeight="1" thickBot="1">
      <c r="A255" s="838" t="s">
        <v>529</v>
      </c>
      <c r="B255" s="832" t="s">
        <v>297</v>
      </c>
      <c r="C255" s="851"/>
      <c r="D255" s="851"/>
      <c r="E255" s="851"/>
      <c r="F255" s="846">
        <v>760</v>
      </c>
    </row>
    <row r="256" spans="1:6" s="826" customFormat="1" ht="14.25" customHeight="1" thickBot="1">
      <c r="A256" s="838" t="s">
        <v>529</v>
      </c>
      <c r="B256" s="832" t="s">
        <v>307</v>
      </c>
      <c r="C256" s="832">
        <v>3760</v>
      </c>
      <c r="D256" s="832">
        <v>3730</v>
      </c>
      <c r="E256" s="832">
        <v>3870</v>
      </c>
      <c r="F256" s="846">
        <v>830</v>
      </c>
    </row>
    <row r="257" spans="1:6" s="826" customFormat="1" ht="14.25" customHeight="1" thickBot="1">
      <c r="A257" s="838" t="s">
        <v>529</v>
      </c>
      <c r="B257" s="832" t="s">
        <v>317</v>
      </c>
      <c r="C257" s="832">
        <v>3570</v>
      </c>
      <c r="D257" s="832">
        <v>3540</v>
      </c>
      <c r="E257" s="832">
        <v>3650</v>
      </c>
      <c r="F257" s="846">
        <v>790</v>
      </c>
    </row>
    <row r="258" spans="1:6" s="826" customFormat="1" ht="14.25" customHeight="1" thickBot="1">
      <c r="A258" s="838" t="s">
        <v>529</v>
      </c>
      <c r="B258" s="832" t="s">
        <v>328</v>
      </c>
      <c r="C258" s="832">
        <v>3410</v>
      </c>
      <c r="D258" s="832">
        <v>3380</v>
      </c>
      <c r="E258" s="832">
        <v>3500</v>
      </c>
      <c r="F258" s="846">
        <v>830</v>
      </c>
    </row>
    <row r="259" spans="1:6" s="826" customFormat="1" ht="14.25" customHeight="1" thickBot="1">
      <c r="A259" s="838" t="s">
        <v>529</v>
      </c>
      <c r="B259" s="832" t="s">
        <v>339</v>
      </c>
      <c r="C259" s="832">
        <v>3870</v>
      </c>
      <c r="D259" s="832">
        <v>3840</v>
      </c>
      <c r="E259" s="832">
        <v>3970</v>
      </c>
      <c r="F259" s="846">
        <v>830</v>
      </c>
    </row>
    <row r="260" spans="1:6" s="826" customFormat="1" ht="14.25" customHeight="1" thickBot="1">
      <c r="A260" s="838" t="s">
        <v>529</v>
      </c>
      <c r="B260" s="832" t="s">
        <v>349</v>
      </c>
      <c r="C260" s="832">
        <v>3700</v>
      </c>
      <c r="D260" s="832">
        <v>3660</v>
      </c>
      <c r="E260" s="832">
        <v>3810</v>
      </c>
      <c r="F260" s="846">
        <v>790</v>
      </c>
    </row>
    <row r="261" spans="1:6" s="826" customFormat="1" ht="14.25" customHeight="1" thickBot="1">
      <c r="A261" s="838" t="s">
        <v>529</v>
      </c>
      <c r="B261" s="832" t="s">
        <v>359</v>
      </c>
      <c r="C261" s="832">
        <v>3470</v>
      </c>
      <c r="D261" s="832">
        <v>3430</v>
      </c>
      <c r="E261" s="832">
        <v>3640</v>
      </c>
      <c r="F261" s="846">
        <v>760</v>
      </c>
    </row>
    <row r="262" spans="1:6" s="826" customFormat="1" ht="14.25" customHeight="1" thickBot="1">
      <c r="A262" s="838" t="s">
        <v>529</v>
      </c>
      <c r="B262" s="832" t="s">
        <v>369</v>
      </c>
      <c r="C262" s="832">
        <v>3510</v>
      </c>
      <c r="D262" s="832">
        <v>3470</v>
      </c>
      <c r="E262" s="832">
        <v>3680</v>
      </c>
      <c r="F262" s="850"/>
    </row>
    <row r="263" spans="1:6" s="826" customFormat="1" ht="14.25" customHeight="1" thickBot="1">
      <c r="A263" s="838" t="s">
        <v>529</v>
      </c>
      <c r="B263" s="832" t="s">
        <v>379</v>
      </c>
      <c r="C263" s="832">
        <v>3960</v>
      </c>
      <c r="D263" s="832">
        <v>3930</v>
      </c>
      <c r="E263" s="832">
        <v>4070</v>
      </c>
      <c r="F263" s="846">
        <v>830</v>
      </c>
    </row>
    <row r="264" spans="1:6" s="826" customFormat="1" ht="14.25" customHeight="1" thickBot="1">
      <c r="A264" s="838" t="s">
        <v>529</v>
      </c>
      <c r="B264" s="832" t="s">
        <v>388</v>
      </c>
      <c r="C264" s="832">
        <v>4010</v>
      </c>
      <c r="D264" s="832">
        <v>3980</v>
      </c>
      <c r="E264" s="832">
        <v>4150</v>
      </c>
      <c r="F264" s="846">
        <v>760</v>
      </c>
    </row>
    <row r="265" spans="1:6" s="826" customFormat="1" ht="14.25" customHeight="1" thickBot="1">
      <c r="A265" s="838" t="s">
        <v>529</v>
      </c>
      <c r="B265" s="832" t="s">
        <v>397</v>
      </c>
      <c r="C265" s="832">
        <v>3910</v>
      </c>
      <c r="D265" s="832">
        <v>3890</v>
      </c>
      <c r="E265" s="832">
        <v>4040</v>
      </c>
      <c r="F265" s="846">
        <v>780</v>
      </c>
    </row>
    <row r="266" spans="1:6" s="826" customFormat="1" ht="14.25" customHeight="1" thickBot="1">
      <c r="A266" s="838" t="s">
        <v>529</v>
      </c>
      <c r="B266" s="832" t="s">
        <v>405</v>
      </c>
      <c r="C266" s="832">
        <v>3930</v>
      </c>
      <c r="D266" s="832">
        <v>3900</v>
      </c>
      <c r="E266" s="832">
        <v>4080</v>
      </c>
      <c r="F266" s="846">
        <v>770</v>
      </c>
    </row>
    <row r="267" spans="1:6" s="826" customFormat="1" ht="14.25" customHeight="1" thickBot="1">
      <c r="A267" s="838" t="s">
        <v>529</v>
      </c>
      <c r="B267" s="832" t="s">
        <v>412</v>
      </c>
      <c r="C267" s="832">
        <v>3800</v>
      </c>
      <c r="D267" s="832">
        <v>3780</v>
      </c>
      <c r="E267" s="832">
        <v>3930</v>
      </c>
      <c r="F267" s="850"/>
    </row>
    <row r="268" spans="1:6" s="826" customFormat="1" ht="14.25" customHeight="1" thickBot="1">
      <c r="A268" s="838" t="s">
        <v>529</v>
      </c>
      <c r="B268" s="832" t="s">
        <v>419</v>
      </c>
      <c r="C268" s="832">
        <v>3460</v>
      </c>
      <c r="D268" s="832">
        <v>3430</v>
      </c>
      <c r="E268" s="832">
        <v>3560</v>
      </c>
      <c r="F268" s="846">
        <v>840</v>
      </c>
    </row>
    <row r="269" spans="1:6" s="826" customFormat="1" ht="14.25" customHeight="1" thickBot="1">
      <c r="A269" s="838" t="s">
        <v>529</v>
      </c>
      <c r="B269" s="832" t="s">
        <v>426</v>
      </c>
      <c r="C269" s="832">
        <v>3210</v>
      </c>
      <c r="D269" s="832">
        <v>3190</v>
      </c>
      <c r="E269" s="832">
        <v>3310</v>
      </c>
      <c r="F269" s="846">
        <v>730</v>
      </c>
    </row>
    <row r="270" spans="1:6" s="826" customFormat="1" ht="14.25" customHeight="1" thickBot="1">
      <c r="A270" s="838" t="s">
        <v>529</v>
      </c>
      <c r="B270" s="832" t="s">
        <v>433</v>
      </c>
      <c r="C270" s="832">
        <v>3240</v>
      </c>
      <c r="D270" s="832">
        <v>3210</v>
      </c>
      <c r="E270" s="832">
        <v>3390</v>
      </c>
      <c r="F270" s="846">
        <v>820</v>
      </c>
    </row>
    <row r="271" spans="1:6" s="826" customFormat="1" ht="14.25" customHeight="1" thickBot="1">
      <c r="A271" s="838" t="s">
        <v>529</v>
      </c>
      <c r="B271" s="832" t="s">
        <v>440</v>
      </c>
      <c r="C271" s="832">
        <v>3300</v>
      </c>
      <c r="D271" s="832">
        <v>3270</v>
      </c>
      <c r="E271" s="832">
        <v>3380</v>
      </c>
      <c r="F271" s="846">
        <v>750</v>
      </c>
    </row>
    <row r="272" spans="1:6" s="826" customFormat="1" ht="14.25" customHeight="1" thickBot="1">
      <c r="A272" s="838" t="s">
        <v>529</v>
      </c>
      <c r="B272" s="832" t="s">
        <v>447</v>
      </c>
      <c r="C272" s="851"/>
      <c r="D272" s="851"/>
      <c r="E272" s="851"/>
      <c r="F272" s="846">
        <v>740</v>
      </c>
    </row>
    <row r="273" spans="1:6" s="826" customFormat="1" ht="14.25" customHeight="1" thickBot="1">
      <c r="A273" s="838" t="s">
        <v>529</v>
      </c>
      <c r="B273" s="832" t="s">
        <v>451</v>
      </c>
      <c r="C273" s="832">
        <v>3130</v>
      </c>
      <c r="D273" s="832">
        <v>3100</v>
      </c>
      <c r="E273" s="832">
        <v>3230</v>
      </c>
      <c r="F273" s="846">
        <v>700</v>
      </c>
    </row>
    <row r="274" spans="1:6" s="826" customFormat="1" ht="14.25" customHeight="1" thickBot="1">
      <c r="A274" s="838" t="s">
        <v>529</v>
      </c>
      <c r="B274" s="832" t="s">
        <v>456</v>
      </c>
      <c r="C274" s="832">
        <v>3460</v>
      </c>
      <c r="D274" s="832">
        <v>3430</v>
      </c>
      <c r="E274" s="832">
        <v>3560</v>
      </c>
      <c r="F274" s="846">
        <v>690</v>
      </c>
    </row>
    <row r="275" spans="1:6" s="826" customFormat="1" ht="14.25" customHeight="1" thickBot="1">
      <c r="A275" s="838" t="s">
        <v>529</v>
      </c>
      <c r="B275" s="832" t="s">
        <v>461</v>
      </c>
      <c r="C275" s="832">
        <v>4040</v>
      </c>
      <c r="D275" s="832">
        <v>4020</v>
      </c>
      <c r="E275" s="832">
        <v>4160</v>
      </c>
      <c r="F275" s="846">
        <v>820</v>
      </c>
    </row>
    <row r="276" spans="1:6" s="826" customFormat="1" ht="14.25" customHeight="1" thickBot="1">
      <c r="A276" s="838" t="s">
        <v>529</v>
      </c>
      <c r="B276" s="832" t="s">
        <v>466</v>
      </c>
      <c r="C276" s="832">
        <v>3270</v>
      </c>
      <c r="D276" s="832">
        <v>3240</v>
      </c>
      <c r="E276" s="832">
        <v>3350</v>
      </c>
      <c r="F276" s="846">
        <v>680</v>
      </c>
    </row>
    <row r="277" spans="1:6" s="826" customFormat="1" ht="14.25" customHeight="1" thickBot="1">
      <c r="A277" s="838" t="s">
        <v>529</v>
      </c>
      <c r="B277" s="832" t="s">
        <v>471</v>
      </c>
      <c r="C277" s="832">
        <v>2930</v>
      </c>
      <c r="D277" s="832">
        <v>2900</v>
      </c>
      <c r="E277" s="832">
        <v>3000</v>
      </c>
      <c r="F277" s="846">
        <v>640</v>
      </c>
    </row>
    <row r="278" spans="1:6" s="826" customFormat="1" ht="14.25" customHeight="1" thickBot="1">
      <c r="A278" s="838" t="s">
        <v>529</v>
      </c>
      <c r="B278" s="832" t="s">
        <v>476</v>
      </c>
      <c r="C278" s="832">
        <v>4080</v>
      </c>
      <c r="D278" s="832">
        <v>4030</v>
      </c>
      <c r="E278" s="832">
        <v>4140</v>
      </c>
      <c r="F278" s="846">
        <v>850</v>
      </c>
    </row>
    <row r="279" spans="1:6" s="826" customFormat="1" ht="14.25" customHeight="1" thickBot="1">
      <c r="A279" s="838" t="s">
        <v>529</v>
      </c>
      <c r="B279" s="832" t="s">
        <v>480</v>
      </c>
      <c r="C279" s="832"/>
      <c r="D279" s="832"/>
      <c r="E279" s="832"/>
      <c r="F279" s="846">
        <v>760</v>
      </c>
    </row>
    <row r="280" spans="1:6" s="826" customFormat="1" ht="14.25" customHeight="1" thickBot="1">
      <c r="A280" s="838" t="s">
        <v>529</v>
      </c>
      <c r="B280" s="832" t="s">
        <v>484</v>
      </c>
      <c r="C280" s="832"/>
      <c r="D280" s="832"/>
      <c r="E280" s="832"/>
      <c r="F280" s="846">
        <v>760</v>
      </c>
    </row>
    <row r="281" spans="1:6" s="826" customFormat="1" ht="14.25" customHeight="1" thickBot="1">
      <c r="A281" s="838" t="s">
        <v>529</v>
      </c>
      <c r="B281" s="832" t="s">
        <v>488</v>
      </c>
      <c r="C281" s="832"/>
      <c r="D281" s="832"/>
      <c r="E281" s="832"/>
      <c r="F281" s="846">
        <v>780</v>
      </c>
    </row>
    <row r="282" spans="1:6" s="826" customFormat="1" ht="14.25" customHeight="1" thickBot="1">
      <c r="A282" s="838" t="s">
        <v>529</v>
      </c>
      <c r="B282" s="832" t="s">
        <v>492</v>
      </c>
      <c r="C282" s="832"/>
      <c r="D282" s="832"/>
      <c r="E282" s="832"/>
      <c r="F282" s="846">
        <v>730</v>
      </c>
    </row>
    <row r="283" spans="1:6" s="826" customFormat="1" ht="14.25" customHeight="1" thickBot="1">
      <c r="A283" s="838" t="s">
        <v>529</v>
      </c>
      <c r="B283" s="832" t="s">
        <v>496</v>
      </c>
      <c r="C283" s="832"/>
      <c r="D283" s="832"/>
      <c r="E283" s="832"/>
      <c r="F283" s="846">
        <v>770</v>
      </c>
    </row>
    <row r="284" spans="1:6" s="826" customFormat="1" ht="14.25" customHeight="1" thickBot="1">
      <c r="A284" s="838" t="s">
        <v>529</v>
      </c>
      <c r="B284" s="832" t="s">
        <v>499</v>
      </c>
      <c r="C284" s="832"/>
      <c r="D284" s="832"/>
      <c r="E284" s="832"/>
      <c r="F284" s="846">
        <v>640</v>
      </c>
    </row>
    <row r="285" spans="1:6" s="826" customFormat="1" ht="14.25" customHeight="1" thickBot="1">
      <c r="A285" s="838" t="s">
        <v>529</v>
      </c>
      <c r="B285" s="832" t="s">
        <v>502</v>
      </c>
      <c r="C285" s="832"/>
      <c r="D285" s="832"/>
      <c r="E285" s="832"/>
      <c r="F285" s="846">
        <v>640</v>
      </c>
    </row>
    <row r="286" spans="1:6" s="826" customFormat="1" ht="14.25" customHeight="1" thickBot="1">
      <c r="A286" s="838" t="s">
        <v>529</v>
      </c>
      <c r="B286" s="832" t="s">
        <v>505</v>
      </c>
      <c r="C286" s="832"/>
      <c r="D286" s="832"/>
      <c r="E286" s="832"/>
      <c r="F286" s="846">
        <v>850</v>
      </c>
    </row>
    <row r="287" spans="1:6" s="826" customFormat="1" ht="14.25" customHeight="1" thickBot="1">
      <c r="A287" s="838" t="s">
        <v>529</v>
      </c>
      <c r="B287" s="832" t="s">
        <v>508</v>
      </c>
      <c r="C287" s="832"/>
      <c r="D287" s="832"/>
      <c r="E287" s="832"/>
      <c r="F287" s="846">
        <v>760</v>
      </c>
    </row>
    <row r="288" spans="1:6" s="826" customFormat="1" ht="14.25" customHeight="1" thickBot="1">
      <c r="A288" s="838" t="s">
        <v>529</v>
      </c>
      <c r="B288" s="832" t="s">
        <v>511</v>
      </c>
      <c r="C288" s="832"/>
      <c r="D288" s="832"/>
      <c r="E288" s="832"/>
      <c r="F288" s="846">
        <v>830</v>
      </c>
    </row>
    <row r="289" spans="1:6" s="826" customFormat="1" ht="14.25" customHeight="1" thickBot="1">
      <c r="A289" s="838" t="s">
        <v>529</v>
      </c>
      <c r="B289" s="844" t="s">
        <v>514</v>
      </c>
      <c r="C289" s="844"/>
      <c r="D289" s="844"/>
      <c r="E289" s="844"/>
      <c r="F289" s="849">
        <v>680</v>
      </c>
    </row>
    <row r="290" spans="1:6" s="826" customFormat="1" ht="14.25" customHeight="1" thickBot="1">
      <c r="A290" s="838" t="s">
        <v>533</v>
      </c>
      <c r="B290" s="839" t="s">
        <v>534</v>
      </c>
      <c r="C290" s="839">
        <v>2770</v>
      </c>
      <c r="D290" s="839">
        <v>2740</v>
      </c>
      <c r="E290" s="839">
        <v>2720</v>
      </c>
      <c r="F290" s="852"/>
    </row>
    <row r="291" spans="1:6" s="826" customFormat="1" ht="14.25" customHeight="1" thickBot="1">
      <c r="A291" s="838" t="s">
        <v>533</v>
      </c>
      <c r="B291" s="832" t="s">
        <v>195</v>
      </c>
      <c r="C291" s="832">
        <v>2670</v>
      </c>
      <c r="D291" s="832">
        <v>2640</v>
      </c>
      <c r="E291" s="832">
        <v>2620</v>
      </c>
      <c r="F291" s="850"/>
    </row>
    <row r="292" spans="1:6" s="826" customFormat="1" ht="14.25" customHeight="1" thickBot="1">
      <c r="A292" s="838" t="s">
        <v>533</v>
      </c>
      <c r="B292" s="832" t="s">
        <v>535</v>
      </c>
      <c r="C292" s="832">
        <v>2180</v>
      </c>
      <c r="D292" s="832">
        <v>2140</v>
      </c>
      <c r="E292" s="832">
        <v>2120</v>
      </c>
      <c r="F292" s="846">
        <v>490</v>
      </c>
    </row>
    <row r="293" spans="1:6" s="826" customFormat="1" ht="14.25" customHeight="1" thickBot="1">
      <c r="A293" s="838" t="s">
        <v>533</v>
      </c>
      <c r="B293" s="832" t="s">
        <v>536</v>
      </c>
      <c r="C293" s="832"/>
      <c r="D293" s="832"/>
      <c r="E293" s="832"/>
      <c r="F293" s="846">
        <v>470</v>
      </c>
    </row>
    <row r="294" spans="1:6" s="826" customFormat="1" ht="14.25" customHeight="1" thickBot="1">
      <c r="A294" s="838" t="s">
        <v>533</v>
      </c>
      <c r="B294" s="832" t="s">
        <v>537</v>
      </c>
      <c r="C294" s="832">
        <v>2730</v>
      </c>
      <c r="D294" s="832">
        <v>2700</v>
      </c>
      <c r="E294" s="832">
        <v>2680</v>
      </c>
      <c r="F294" s="846">
        <v>490</v>
      </c>
    </row>
    <row r="295" spans="1:6" s="826" customFormat="1" ht="14.25" customHeight="1" thickBot="1">
      <c r="A295" s="838" t="s">
        <v>533</v>
      </c>
      <c r="B295" s="832" t="s">
        <v>233</v>
      </c>
      <c r="C295" s="832">
        <v>2380</v>
      </c>
      <c r="D295" s="832">
        <v>2350</v>
      </c>
      <c r="E295" s="832">
        <v>2330</v>
      </c>
      <c r="F295" s="846">
        <v>530</v>
      </c>
    </row>
    <row r="296" spans="1:6" s="826" customFormat="1" ht="14.25" customHeight="1" thickBot="1">
      <c r="A296" s="838" t="s">
        <v>533</v>
      </c>
      <c r="B296" s="832" t="s">
        <v>244</v>
      </c>
      <c r="C296" s="832">
        <v>2650</v>
      </c>
      <c r="D296" s="832">
        <v>2620</v>
      </c>
      <c r="E296" s="832">
        <v>2590</v>
      </c>
      <c r="F296" s="846">
        <v>590</v>
      </c>
    </row>
    <row r="297" spans="1:6" s="826" customFormat="1" ht="14.25" customHeight="1" thickBot="1">
      <c r="A297" s="838" t="s">
        <v>533</v>
      </c>
      <c r="B297" s="832" t="s">
        <v>255</v>
      </c>
      <c r="C297" s="832">
        <v>2700</v>
      </c>
      <c r="D297" s="832">
        <v>2670</v>
      </c>
      <c r="E297" s="832">
        <v>2650</v>
      </c>
      <c r="F297" s="846">
        <v>630</v>
      </c>
    </row>
    <row r="298" spans="1:6" s="826" customFormat="1" ht="14.25" customHeight="1" thickBot="1">
      <c r="A298" s="838" t="s">
        <v>533</v>
      </c>
      <c r="B298" s="832" t="s">
        <v>266</v>
      </c>
      <c r="C298" s="832">
        <v>2650</v>
      </c>
      <c r="D298" s="832">
        <v>2620</v>
      </c>
      <c r="E298" s="832">
        <v>2590</v>
      </c>
      <c r="F298" s="846">
        <v>640</v>
      </c>
    </row>
    <row r="299" spans="1:6" s="826" customFormat="1" ht="14.25" customHeight="1" thickBot="1">
      <c r="A299" s="838" t="s">
        <v>533</v>
      </c>
      <c r="B299" s="832" t="s">
        <v>278</v>
      </c>
      <c r="C299" s="832">
        <v>2500</v>
      </c>
      <c r="D299" s="832">
        <v>2480</v>
      </c>
      <c r="E299" s="832">
        <v>2460</v>
      </c>
      <c r="F299" s="850"/>
    </row>
    <row r="300" spans="1:6" s="826" customFormat="1" ht="14.25" customHeight="1" thickBot="1">
      <c r="A300" s="838" t="s">
        <v>533</v>
      </c>
      <c r="B300" s="832" t="s">
        <v>288</v>
      </c>
      <c r="C300" s="832">
        <v>2760</v>
      </c>
      <c r="D300" s="832">
        <v>2730</v>
      </c>
      <c r="E300" s="832">
        <v>2700</v>
      </c>
      <c r="F300" s="846">
        <v>630</v>
      </c>
    </row>
    <row r="301" spans="1:6" s="826" customFormat="1" ht="14.25" customHeight="1" thickBot="1">
      <c r="A301" s="838" t="s">
        <v>533</v>
      </c>
      <c r="B301" s="832" t="s">
        <v>298</v>
      </c>
      <c r="C301" s="832">
        <v>2510</v>
      </c>
      <c r="D301" s="832">
        <v>2480</v>
      </c>
      <c r="E301" s="832">
        <v>2460</v>
      </c>
      <c r="F301" s="850"/>
    </row>
    <row r="302" spans="1:6" s="826" customFormat="1" ht="14.25" customHeight="1" thickBot="1">
      <c r="A302" s="838" t="s">
        <v>533</v>
      </c>
      <c r="B302" s="832" t="s">
        <v>308</v>
      </c>
      <c r="C302" s="832">
        <v>2480</v>
      </c>
      <c r="D302" s="832">
        <v>2450</v>
      </c>
      <c r="E302" s="832">
        <v>2420</v>
      </c>
      <c r="F302" s="846">
        <v>600</v>
      </c>
    </row>
    <row r="303" spans="1:6" s="826" customFormat="1" ht="14.25" customHeight="1" thickBot="1">
      <c r="A303" s="838" t="s">
        <v>533</v>
      </c>
      <c r="B303" s="832" t="s">
        <v>318</v>
      </c>
      <c r="C303" s="832">
        <v>2270</v>
      </c>
      <c r="D303" s="832">
        <v>2240</v>
      </c>
      <c r="E303" s="832">
        <v>2210</v>
      </c>
      <c r="F303" s="846">
        <v>540</v>
      </c>
    </row>
    <row r="304" spans="1:6" s="826" customFormat="1" ht="14.25" customHeight="1" thickBot="1">
      <c r="A304" s="838" t="s">
        <v>533</v>
      </c>
      <c r="B304" s="832" t="s">
        <v>329</v>
      </c>
      <c r="C304" s="832">
        <v>2310</v>
      </c>
      <c r="D304" s="832">
        <v>2290</v>
      </c>
      <c r="E304" s="832">
        <v>2270</v>
      </c>
      <c r="F304" s="850"/>
    </row>
    <row r="305" spans="1:6" s="826" customFormat="1" ht="14.25" customHeight="1" thickBot="1">
      <c r="A305" s="838" t="s">
        <v>533</v>
      </c>
      <c r="B305" s="832" t="s">
        <v>340</v>
      </c>
      <c r="C305" s="832">
        <v>2490</v>
      </c>
      <c r="D305" s="832">
        <v>2470</v>
      </c>
      <c r="E305" s="832">
        <v>2440</v>
      </c>
      <c r="F305" s="846">
        <v>560</v>
      </c>
    </row>
    <row r="306" spans="1:6" s="826" customFormat="1" ht="14.25" customHeight="1" thickBot="1">
      <c r="A306" s="838" t="s">
        <v>533</v>
      </c>
      <c r="B306" s="832" t="s">
        <v>350</v>
      </c>
      <c r="C306" s="832">
        <v>2420</v>
      </c>
      <c r="D306" s="832">
        <v>2400</v>
      </c>
      <c r="E306" s="832">
        <v>2380</v>
      </c>
      <c r="F306" s="850"/>
    </row>
    <row r="307" spans="1:6" s="826" customFormat="1" ht="14.25" customHeight="1" thickBot="1">
      <c r="A307" s="838" t="s">
        <v>533</v>
      </c>
      <c r="B307" s="832" t="s">
        <v>360</v>
      </c>
      <c r="C307" s="832">
        <v>2770</v>
      </c>
      <c r="D307" s="832">
        <v>2740</v>
      </c>
      <c r="E307" s="832">
        <v>2710</v>
      </c>
      <c r="F307" s="846">
        <v>650</v>
      </c>
    </row>
    <row r="308" spans="1:6" s="826" customFormat="1" ht="14.25" customHeight="1" thickBot="1">
      <c r="A308" s="838" t="s">
        <v>533</v>
      </c>
      <c r="B308" s="832" t="s">
        <v>370</v>
      </c>
      <c r="C308" s="832">
        <v>2610</v>
      </c>
      <c r="D308" s="832">
        <v>2580</v>
      </c>
      <c r="E308" s="832">
        <v>2550</v>
      </c>
      <c r="F308" s="846">
        <v>580</v>
      </c>
    </row>
    <row r="309" spans="1:6" s="826" customFormat="1" ht="14.25" customHeight="1" thickBot="1">
      <c r="A309" s="838" t="s">
        <v>533</v>
      </c>
      <c r="B309" s="832" t="s">
        <v>380</v>
      </c>
      <c r="C309" s="832">
        <v>2690</v>
      </c>
      <c r="D309" s="832">
        <v>2670</v>
      </c>
      <c r="E309" s="832">
        <v>2650</v>
      </c>
      <c r="F309" s="850"/>
    </row>
    <row r="310" spans="1:6" s="826" customFormat="1" ht="14.25" customHeight="1" thickBot="1">
      <c r="A310" s="838" t="s">
        <v>533</v>
      </c>
      <c r="B310" s="832" t="s">
        <v>389</v>
      </c>
      <c r="C310" s="832">
        <v>2360</v>
      </c>
      <c r="D310" s="832">
        <v>2330</v>
      </c>
      <c r="E310" s="832">
        <v>2310</v>
      </c>
      <c r="F310" s="846">
        <v>560</v>
      </c>
    </row>
    <row r="311" spans="1:6" s="826" customFormat="1" ht="14.25" customHeight="1" thickBot="1">
      <c r="A311" s="838" t="s">
        <v>533</v>
      </c>
      <c r="B311" s="832" t="s">
        <v>398</v>
      </c>
      <c r="C311" s="832">
        <v>1970</v>
      </c>
      <c r="D311" s="832">
        <v>1950</v>
      </c>
      <c r="E311" s="832">
        <v>1920</v>
      </c>
      <c r="F311" s="846">
        <v>470</v>
      </c>
    </row>
    <row r="312" spans="1:6" s="826" customFormat="1" ht="14.25" customHeight="1" thickBot="1">
      <c r="A312" s="838" t="s">
        <v>533</v>
      </c>
      <c r="B312" s="832" t="s">
        <v>406</v>
      </c>
      <c r="C312" s="832">
        <v>2230</v>
      </c>
      <c r="D312" s="832">
        <v>2200</v>
      </c>
      <c r="E312" s="832">
        <v>2170</v>
      </c>
      <c r="F312" s="846">
        <v>460</v>
      </c>
    </row>
    <row r="313" spans="1:6" s="826" customFormat="1" ht="14.25" customHeight="1" thickBot="1">
      <c r="A313" s="838" t="s">
        <v>533</v>
      </c>
      <c r="B313" s="832" t="s">
        <v>413</v>
      </c>
      <c r="C313" s="832">
        <v>2770</v>
      </c>
      <c r="D313" s="832">
        <v>2740</v>
      </c>
      <c r="E313" s="832">
        <v>2710</v>
      </c>
      <c r="F313" s="846">
        <v>610</v>
      </c>
    </row>
    <row r="314" spans="1:6" s="826" customFormat="1" ht="14.25" customHeight="1" thickBot="1">
      <c r="A314" s="838" t="s">
        <v>533</v>
      </c>
      <c r="B314" s="832" t="s">
        <v>420</v>
      </c>
      <c r="C314" s="832"/>
      <c r="D314" s="832"/>
      <c r="E314" s="832"/>
      <c r="F314" s="846">
        <v>490</v>
      </c>
    </row>
    <row r="315" spans="1:6" s="826" customFormat="1" ht="14.25" customHeight="1" thickBot="1">
      <c r="A315" s="838" t="s">
        <v>533</v>
      </c>
      <c r="B315" s="832" t="s">
        <v>427</v>
      </c>
      <c r="C315" s="832"/>
      <c r="D315" s="832"/>
      <c r="E315" s="832"/>
      <c r="F315" s="846">
        <v>520</v>
      </c>
    </row>
    <row r="316" spans="1:6" s="826" customFormat="1" ht="14.25" customHeight="1" thickBot="1">
      <c r="A316" s="838" t="s">
        <v>533</v>
      </c>
      <c r="B316" s="844" t="s">
        <v>434</v>
      </c>
      <c r="C316" s="844"/>
      <c r="D316" s="844"/>
      <c r="E316" s="844"/>
      <c r="F316" s="849">
        <v>460</v>
      </c>
    </row>
    <row r="317" spans="1:6" s="826" customFormat="1" ht="14.25" customHeight="1" thickBot="1">
      <c r="A317" s="838" t="s">
        <v>320</v>
      </c>
      <c r="B317" s="839" t="s">
        <v>538</v>
      </c>
      <c r="C317" s="839">
        <v>1200</v>
      </c>
      <c r="D317" s="839">
        <v>1180</v>
      </c>
      <c r="E317" s="839">
        <v>1160</v>
      </c>
      <c r="F317" s="840">
        <v>370</v>
      </c>
    </row>
    <row r="318" spans="1:6" s="826" customFormat="1" ht="14.25" customHeight="1" thickBot="1">
      <c r="A318" s="838" t="s">
        <v>320</v>
      </c>
      <c r="B318" s="832" t="s">
        <v>539</v>
      </c>
      <c r="C318" s="832">
        <v>1090</v>
      </c>
      <c r="D318" s="832">
        <v>1060</v>
      </c>
      <c r="E318" s="832">
        <v>1040</v>
      </c>
      <c r="F318" s="850"/>
    </row>
    <row r="319" spans="1:6" s="826" customFormat="1" ht="14.25" customHeight="1" thickBot="1">
      <c r="A319" s="838" t="s">
        <v>320</v>
      </c>
      <c r="B319" s="832" t="s">
        <v>540</v>
      </c>
      <c r="C319" s="832">
        <v>1520</v>
      </c>
      <c r="D319" s="832">
        <v>1470</v>
      </c>
      <c r="E319" s="832">
        <v>1440</v>
      </c>
      <c r="F319" s="846">
        <v>370</v>
      </c>
    </row>
    <row r="320" spans="1:6" s="826" customFormat="1" ht="14.25" customHeight="1" thickBot="1">
      <c r="A320" s="838" t="s">
        <v>320</v>
      </c>
      <c r="B320" s="832" t="s">
        <v>222</v>
      </c>
      <c r="C320" s="832">
        <v>1360</v>
      </c>
      <c r="D320" s="832">
        <v>1300</v>
      </c>
      <c r="E320" s="832">
        <v>1270</v>
      </c>
      <c r="F320" s="850"/>
    </row>
    <row r="321" spans="1:6" s="826" customFormat="1" ht="14.25" customHeight="1" thickBot="1">
      <c r="A321" s="838" t="s">
        <v>320</v>
      </c>
      <c r="B321" s="832" t="s">
        <v>234</v>
      </c>
      <c r="C321" s="832">
        <v>1750</v>
      </c>
      <c r="D321" s="832">
        <v>1690</v>
      </c>
      <c r="E321" s="832">
        <v>1660</v>
      </c>
      <c r="F321" s="850"/>
    </row>
    <row r="322" spans="1:6" s="826" customFormat="1" ht="14.25" customHeight="1" thickBot="1">
      <c r="A322" s="838" t="s">
        <v>320</v>
      </c>
      <c r="B322" s="832" t="s">
        <v>245</v>
      </c>
      <c r="C322" s="832">
        <v>1650</v>
      </c>
      <c r="D322" s="832">
        <v>1610</v>
      </c>
      <c r="E322" s="832">
        <v>1580</v>
      </c>
      <c r="F322" s="846">
        <v>500</v>
      </c>
    </row>
    <row r="323" spans="1:6" s="826" customFormat="1" ht="14.25" customHeight="1" thickBot="1">
      <c r="A323" s="838" t="s">
        <v>320</v>
      </c>
      <c r="B323" s="832" t="s">
        <v>256</v>
      </c>
      <c r="C323" s="832">
        <v>1780</v>
      </c>
      <c r="D323" s="832">
        <v>1740</v>
      </c>
      <c r="E323" s="832">
        <v>1720</v>
      </c>
      <c r="F323" s="850"/>
    </row>
    <row r="324" spans="1:6" s="826" customFormat="1" ht="14.25" customHeight="1" thickBot="1">
      <c r="A324" s="838" t="s">
        <v>320</v>
      </c>
      <c r="B324" s="832" t="s">
        <v>267</v>
      </c>
      <c r="C324" s="832">
        <v>1650</v>
      </c>
      <c r="D324" s="832">
        <v>1610</v>
      </c>
      <c r="E324" s="832">
        <v>1580</v>
      </c>
      <c r="F324" s="850"/>
    </row>
    <row r="325" spans="1:6" s="826" customFormat="1" ht="14.25" customHeight="1" thickBot="1">
      <c r="A325" s="838" t="s">
        <v>320</v>
      </c>
      <c r="B325" s="832" t="s">
        <v>279</v>
      </c>
      <c r="C325" s="832">
        <v>1330</v>
      </c>
      <c r="D325" s="832">
        <v>1270</v>
      </c>
      <c r="E325" s="832">
        <v>1240</v>
      </c>
      <c r="F325" s="846">
        <v>430</v>
      </c>
    </row>
    <row r="326" spans="1:6" s="826" customFormat="1" ht="14.25" customHeight="1" thickBot="1">
      <c r="A326" s="838" t="s">
        <v>320</v>
      </c>
      <c r="B326" s="832" t="s">
        <v>289</v>
      </c>
      <c r="C326" s="832">
        <v>1470</v>
      </c>
      <c r="D326" s="832">
        <v>1430</v>
      </c>
      <c r="E326" s="832">
        <v>1400</v>
      </c>
      <c r="F326" s="850"/>
    </row>
    <row r="327" spans="1:6" s="826" customFormat="1" ht="14.25" customHeight="1" thickBot="1">
      <c r="A327" s="838" t="s">
        <v>320</v>
      </c>
      <c r="B327" s="832" t="s">
        <v>299</v>
      </c>
      <c r="C327" s="832">
        <v>1420</v>
      </c>
      <c r="D327" s="832">
        <v>1380</v>
      </c>
      <c r="E327" s="832">
        <v>1360</v>
      </c>
      <c r="F327" s="846">
        <v>420</v>
      </c>
    </row>
    <row r="328" spans="1:6" s="826" customFormat="1" ht="14.25" customHeight="1" thickBot="1">
      <c r="A328" s="838" t="s">
        <v>320</v>
      </c>
      <c r="B328" s="832" t="s">
        <v>309</v>
      </c>
      <c r="C328" s="832">
        <v>1400</v>
      </c>
      <c r="D328" s="832">
        <v>1360</v>
      </c>
      <c r="E328" s="832">
        <v>1330</v>
      </c>
      <c r="F328" s="846">
        <v>460</v>
      </c>
    </row>
    <row r="329" spans="1:6" s="826" customFormat="1" ht="14.25" customHeight="1" thickBot="1">
      <c r="A329" s="838" t="s">
        <v>320</v>
      </c>
      <c r="B329" s="832" t="s">
        <v>319</v>
      </c>
      <c r="C329" s="832">
        <v>1640</v>
      </c>
      <c r="D329" s="832">
        <v>1610</v>
      </c>
      <c r="E329" s="832">
        <v>1580</v>
      </c>
      <c r="F329" s="846">
        <v>410</v>
      </c>
    </row>
    <row r="330" spans="1:6" s="826" customFormat="1" ht="14.25" customHeight="1" thickBot="1">
      <c r="A330" s="838" t="s">
        <v>320</v>
      </c>
      <c r="B330" s="832" t="s">
        <v>330</v>
      </c>
      <c r="C330" s="832">
        <v>1260</v>
      </c>
      <c r="D330" s="832">
        <v>1220</v>
      </c>
      <c r="E330" s="832">
        <v>1200</v>
      </c>
      <c r="F330" s="850"/>
    </row>
    <row r="331" spans="1:6" s="826" customFormat="1" ht="14.25" customHeight="1" thickBot="1">
      <c r="A331" s="838" t="s">
        <v>320</v>
      </c>
      <c r="B331" s="832" t="s">
        <v>341</v>
      </c>
      <c r="C331" s="832">
        <v>1620</v>
      </c>
      <c r="D331" s="832">
        <v>1560</v>
      </c>
      <c r="E331" s="832">
        <v>1530</v>
      </c>
      <c r="F331" s="846">
        <v>490</v>
      </c>
    </row>
    <row r="332" spans="1:6" s="826" customFormat="1" ht="14.25" customHeight="1" thickBot="1">
      <c r="A332" s="838" t="s">
        <v>320</v>
      </c>
      <c r="B332" s="832" t="s">
        <v>351</v>
      </c>
      <c r="C332" s="832">
        <v>1520</v>
      </c>
      <c r="D332" s="832">
        <v>1470</v>
      </c>
      <c r="E332" s="832">
        <v>1440</v>
      </c>
      <c r="F332" s="846">
        <v>440</v>
      </c>
    </row>
    <row r="333" spans="1:6" s="826" customFormat="1" ht="14.25" customHeight="1" thickBot="1">
      <c r="A333" s="838" t="s">
        <v>320</v>
      </c>
      <c r="B333" s="832" t="s">
        <v>361</v>
      </c>
      <c r="C333" s="832">
        <v>1370</v>
      </c>
      <c r="D333" s="832">
        <v>1320</v>
      </c>
      <c r="E333" s="832">
        <v>1300</v>
      </c>
      <c r="F333" s="846">
        <v>460</v>
      </c>
    </row>
    <row r="334" spans="1:6" s="826" customFormat="1" ht="14.25" customHeight="1" thickBot="1">
      <c r="A334" s="838" t="s">
        <v>320</v>
      </c>
      <c r="B334" s="832" t="s">
        <v>371</v>
      </c>
      <c r="C334" s="832">
        <v>1410</v>
      </c>
      <c r="D334" s="832">
        <v>1340</v>
      </c>
      <c r="E334" s="832">
        <v>1310</v>
      </c>
      <c r="F334" s="846">
        <v>410</v>
      </c>
    </row>
    <row r="335" spans="1:6" s="826" customFormat="1" ht="14.25" customHeight="1" thickBot="1">
      <c r="A335" s="838" t="s">
        <v>320</v>
      </c>
      <c r="B335" s="832" t="s">
        <v>381</v>
      </c>
      <c r="C335" s="832">
        <v>1260</v>
      </c>
      <c r="D335" s="832">
        <v>1220</v>
      </c>
      <c r="E335" s="832">
        <v>1200</v>
      </c>
      <c r="F335" s="850"/>
    </row>
    <row r="336" spans="1:6" s="826" customFormat="1" ht="14.25" customHeight="1" thickBot="1">
      <c r="A336" s="838" t="s">
        <v>320</v>
      </c>
      <c r="B336" s="832" t="s">
        <v>390</v>
      </c>
      <c r="C336" s="832">
        <v>1160</v>
      </c>
      <c r="D336" s="832">
        <v>1140</v>
      </c>
      <c r="E336" s="832">
        <v>1120</v>
      </c>
      <c r="F336" s="846">
        <v>430</v>
      </c>
    </row>
    <row r="337" spans="1:6" s="826" customFormat="1" ht="14.25" customHeight="1" thickBot="1">
      <c r="A337" s="838" t="s">
        <v>320</v>
      </c>
      <c r="B337" s="844" t="s">
        <v>399</v>
      </c>
      <c r="C337" s="844"/>
      <c r="D337" s="844"/>
      <c r="E337" s="844"/>
      <c r="F337" s="849">
        <v>380</v>
      </c>
    </row>
    <row r="338" spans="1:6" s="826" customFormat="1" ht="14.25" customHeight="1" thickBot="1">
      <c r="A338" s="838" t="s">
        <v>331</v>
      </c>
      <c r="B338" s="839" t="s">
        <v>541</v>
      </c>
      <c r="C338" s="839">
        <v>880</v>
      </c>
      <c r="D338" s="839">
        <v>850</v>
      </c>
      <c r="E338" s="839">
        <v>830</v>
      </c>
      <c r="F338" s="852"/>
    </row>
    <row r="339" spans="1:6" s="826" customFormat="1" ht="14.25" customHeight="1" thickBot="1">
      <c r="A339" s="838" t="s">
        <v>331</v>
      </c>
      <c r="B339" s="832" t="s">
        <v>542</v>
      </c>
      <c r="C339" s="832">
        <v>830</v>
      </c>
      <c r="D339" s="832">
        <v>800</v>
      </c>
      <c r="E339" s="832">
        <v>780</v>
      </c>
      <c r="F339" s="850"/>
    </row>
    <row r="340" spans="1:6" s="826" customFormat="1" ht="14.25" customHeight="1" thickBot="1">
      <c r="A340" s="838" t="s">
        <v>331</v>
      </c>
      <c r="B340" s="832" t="s">
        <v>543</v>
      </c>
      <c r="C340" s="832">
        <v>980</v>
      </c>
      <c r="D340" s="832">
        <v>950</v>
      </c>
      <c r="E340" s="832">
        <v>920</v>
      </c>
      <c r="F340" s="850"/>
    </row>
    <row r="341" spans="1:6" s="826" customFormat="1" ht="14.25" customHeight="1" thickBot="1">
      <c r="A341" s="838" t="s">
        <v>331</v>
      </c>
      <c r="B341" s="832" t="s">
        <v>544</v>
      </c>
      <c r="C341" s="832">
        <v>760</v>
      </c>
      <c r="D341" s="832">
        <v>720</v>
      </c>
      <c r="E341" s="832">
        <v>690</v>
      </c>
      <c r="F341" s="846">
        <v>350</v>
      </c>
    </row>
    <row r="342" spans="1:6" s="826" customFormat="1" ht="14.25" customHeight="1" thickBot="1">
      <c r="A342" s="838" t="s">
        <v>331</v>
      </c>
      <c r="B342" s="832" t="s">
        <v>235</v>
      </c>
      <c r="C342" s="832">
        <v>910</v>
      </c>
      <c r="D342" s="832">
        <v>870</v>
      </c>
      <c r="E342" s="832">
        <v>850</v>
      </c>
      <c r="F342" s="846">
        <v>370</v>
      </c>
    </row>
    <row r="343" spans="1:6" s="826" customFormat="1" ht="14.25" customHeight="1" thickBot="1">
      <c r="A343" s="838" t="s">
        <v>331</v>
      </c>
      <c r="B343" s="832" t="s">
        <v>246</v>
      </c>
      <c r="C343" s="832">
        <v>800</v>
      </c>
      <c r="D343" s="832">
        <v>760</v>
      </c>
      <c r="E343" s="832">
        <v>730</v>
      </c>
      <c r="F343" s="846">
        <v>340</v>
      </c>
    </row>
    <row r="344" spans="1:6" s="826" customFormat="1" ht="14.25" customHeight="1" thickBot="1">
      <c r="A344" s="838" t="s">
        <v>331</v>
      </c>
      <c r="B344" s="844" t="s">
        <v>257</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26" t="s">
        <v>866</v>
      </c>
      <c r="B1" s="3326"/>
    </row>
    <row r="2" spans="1:6" ht="14.25" thickBot="1">
      <c r="A2" s="1055"/>
      <c r="B2" s="1055"/>
    </row>
    <row r="3" spans="1:6" ht="14.25" thickBot="1">
      <c r="A3" s="1055"/>
      <c r="B3" s="1055"/>
      <c r="C3" s="1059" t="s">
        <v>869</v>
      </c>
      <c r="D3" s="1059" t="s">
        <v>870</v>
      </c>
      <c r="E3" s="1059" t="s">
        <v>871</v>
      </c>
      <c r="F3" s="1059" t="s">
        <v>872</v>
      </c>
    </row>
    <row r="4" spans="1:6" ht="14.25" thickBot="1">
      <c r="A4" s="1057" t="s">
        <v>867</v>
      </c>
      <c r="B4" s="1058" t="s">
        <v>868</v>
      </c>
      <c r="C4" s="1059"/>
      <c r="D4" s="1059"/>
      <c r="E4" s="1059"/>
      <c r="F4" s="1059"/>
    </row>
    <row r="5" spans="1:6" ht="14.25" thickBot="1">
      <c r="A5" s="838" t="s">
        <v>873</v>
      </c>
      <c r="B5" s="839" t="s">
        <v>874</v>
      </c>
      <c r="C5" s="1060">
        <v>8.8999999999999996E-2</v>
      </c>
      <c r="D5" s="1060">
        <v>7.3999999999999996E-2</v>
      </c>
      <c r="E5" s="1060">
        <v>7.4999999999999997E-2</v>
      </c>
      <c r="F5" s="1061">
        <v>0.1</v>
      </c>
    </row>
    <row r="6" spans="1:6" ht="14.25" thickBot="1">
      <c r="A6" s="838" t="s">
        <v>211</v>
      </c>
      <c r="B6" s="832" t="s">
        <v>875</v>
      </c>
      <c r="C6" s="1062">
        <v>0.1</v>
      </c>
      <c r="D6" s="1062">
        <v>9.0999999999999998E-2</v>
      </c>
      <c r="E6" s="1062">
        <v>9.0999999999999998E-2</v>
      </c>
      <c r="F6" s="1063">
        <v>0.1</v>
      </c>
    </row>
    <row r="7" spans="1:6" ht="14.25" thickBot="1">
      <c r="A7" s="838" t="s">
        <v>211</v>
      </c>
      <c r="B7" s="842" t="s">
        <v>200</v>
      </c>
      <c r="C7" s="1062">
        <v>8.5999999999999993E-2</v>
      </c>
      <c r="D7" s="1062">
        <v>9.6000000000000002E-2</v>
      </c>
      <c r="E7" s="1062">
        <v>7.5999999999999998E-2</v>
      </c>
      <c r="F7" s="1063">
        <v>0.1</v>
      </c>
    </row>
    <row r="8" spans="1:6" ht="14.25" thickBot="1">
      <c r="A8" s="838" t="s">
        <v>211</v>
      </c>
      <c r="B8" s="832" t="s">
        <v>212</v>
      </c>
      <c r="C8" s="1062">
        <v>9.9000000000000005E-2</v>
      </c>
      <c r="D8" s="1062">
        <v>9.8000000000000004E-2</v>
      </c>
      <c r="E8" s="1062">
        <v>9.8000000000000004E-2</v>
      </c>
      <c r="F8" s="1063">
        <v>0.1</v>
      </c>
    </row>
    <row r="9" spans="1:6" ht="14.25" thickBot="1">
      <c r="A9" s="848" t="s">
        <v>211</v>
      </c>
      <c r="B9" s="843" t="s">
        <v>224</v>
      </c>
      <c r="C9" s="1064">
        <v>0.05</v>
      </c>
      <c r="D9" s="1072"/>
      <c r="E9" s="1072"/>
      <c r="F9" s="1073"/>
    </row>
    <row r="10" spans="1:6" ht="14.25" thickBot="1">
      <c r="A10" s="838" t="s">
        <v>268</v>
      </c>
      <c r="B10" s="839" t="s">
        <v>876</v>
      </c>
      <c r="C10" s="1060">
        <v>8.8999999999999996E-2</v>
      </c>
      <c r="D10" s="1060">
        <v>7.2999999999999995E-2</v>
      </c>
      <c r="E10" s="1060">
        <v>8.2000000000000003E-2</v>
      </c>
      <c r="F10" s="1061">
        <v>0.1</v>
      </c>
    </row>
    <row r="11" spans="1:6" ht="14.25" thickBot="1">
      <c r="A11" s="838" t="s">
        <v>268</v>
      </c>
      <c r="B11" s="842" t="s">
        <v>187</v>
      </c>
      <c r="C11" s="1062">
        <v>8.8999999999999996E-2</v>
      </c>
      <c r="D11" s="1062">
        <v>7.2999999999999995E-2</v>
      </c>
      <c r="E11" s="1062">
        <v>8.2000000000000003E-2</v>
      </c>
      <c r="F11" s="1063">
        <v>0.1</v>
      </c>
    </row>
    <row r="12" spans="1:6" ht="14.25" thickBot="1">
      <c r="A12" s="838" t="s">
        <v>268</v>
      </c>
      <c r="B12" s="842" t="s">
        <v>137</v>
      </c>
      <c r="C12" s="1062">
        <v>6.0999999999999999E-2</v>
      </c>
      <c r="D12" s="1062">
        <v>7.0999999999999994E-2</v>
      </c>
      <c r="E12" s="1062">
        <v>9.6000000000000002E-2</v>
      </c>
      <c r="F12" s="1063">
        <v>0.1</v>
      </c>
    </row>
    <row r="13" spans="1:6" ht="14.25" thickBot="1">
      <c r="A13" s="838" t="s">
        <v>268</v>
      </c>
      <c r="B13" s="842" t="s">
        <v>213</v>
      </c>
      <c r="C13" s="1062">
        <v>6.9000000000000006E-2</v>
      </c>
      <c r="D13" s="1062">
        <v>6.5000000000000002E-2</v>
      </c>
      <c r="E13" s="1062">
        <v>6.6000000000000003E-2</v>
      </c>
      <c r="F13" s="1063">
        <v>0.1</v>
      </c>
    </row>
    <row r="14" spans="1:6" ht="14.25" thickBot="1">
      <c r="A14" s="838" t="s">
        <v>268</v>
      </c>
      <c r="B14" s="842" t="s">
        <v>225</v>
      </c>
      <c r="C14" s="1062">
        <v>0.1</v>
      </c>
      <c r="D14" s="1062">
        <v>6.5000000000000002E-2</v>
      </c>
      <c r="E14" s="1062">
        <v>7.0000000000000007E-2</v>
      </c>
      <c r="F14" s="1063">
        <v>0.1</v>
      </c>
    </row>
    <row r="15" spans="1:6" ht="14.25" thickBot="1">
      <c r="A15" s="838" t="s">
        <v>268</v>
      </c>
      <c r="B15" s="842" t="s">
        <v>236</v>
      </c>
      <c r="C15" s="1062">
        <v>9.8000000000000004E-2</v>
      </c>
      <c r="D15" s="1062">
        <v>8.8999999999999996E-2</v>
      </c>
      <c r="E15" s="1062">
        <v>8.8999999999999996E-2</v>
      </c>
      <c r="F15" s="1063">
        <v>0.1</v>
      </c>
    </row>
    <row r="16" spans="1:6" ht="14.25" thickBot="1">
      <c r="A16" s="838" t="s">
        <v>268</v>
      </c>
      <c r="B16" s="842" t="s">
        <v>247</v>
      </c>
      <c r="C16" s="1062">
        <v>7.0000000000000007E-2</v>
      </c>
      <c r="D16" s="1062">
        <v>9.2999999999999999E-2</v>
      </c>
      <c r="E16" s="1062">
        <v>9.6000000000000002E-2</v>
      </c>
      <c r="F16" s="1063">
        <v>0.1</v>
      </c>
    </row>
    <row r="17" spans="1:6" ht="14.25" thickBot="1">
      <c r="A17" s="838" t="s">
        <v>268</v>
      </c>
      <c r="B17" s="842" t="s">
        <v>258</v>
      </c>
      <c r="C17" s="1062">
        <v>9.5000000000000001E-2</v>
      </c>
      <c r="D17" s="1062">
        <v>0.1</v>
      </c>
      <c r="E17" s="1062">
        <v>0.1</v>
      </c>
      <c r="F17" s="1074"/>
    </row>
    <row r="18" spans="1:6" ht="14.25" thickBot="1">
      <c r="A18" s="838" t="s">
        <v>268</v>
      </c>
      <c r="B18" s="842" t="s">
        <v>270</v>
      </c>
      <c r="C18" s="1062">
        <v>7.3999999999999996E-2</v>
      </c>
      <c r="D18" s="1062">
        <v>9.9000000000000005E-2</v>
      </c>
      <c r="E18" s="1062">
        <v>0.1</v>
      </c>
      <c r="F18" s="1074"/>
    </row>
    <row r="19" spans="1:6" ht="14.25" thickBot="1">
      <c r="A19" s="838" t="s">
        <v>268</v>
      </c>
      <c r="B19" s="842" t="s">
        <v>280</v>
      </c>
      <c r="C19" s="1062">
        <v>9.9000000000000005E-2</v>
      </c>
      <c r="D19" s="1062">
        <v>7.5999999999999998E-2</v>
      </c>
      <c r="E19" s="1062">
        <v>8.6999999999999994E-2</v>
      </c>
      <c r="F19" s="1074"/>
    </row>
    <row r="20" spans="1:6" ht="14.25" thickBot="1">
      <c r="A20" s="838" t="s">
        <v>268</v>
      </c>
      <c r="B20" s="842" t="s">
        <v>290</v>
      </c>
      <c r="C20" s="1062">
        <v>9.8000000000000004E-2</v>
      </c>
      <c r="D20" s="1062">
        <v>8.5000000000000006E-2</v>
      </c>
      <c r="E20" s="1062">
        <v>8.2000000000000003E-2</v>
      </c>
      <c r="F20" s="1074"/>
    </row>
    <row r="21" spans="1:6" ht="14.25" thickBot="1">
      <c r="A21" s="838" t="s">
        <v>268</v>
      </c>
      <c r="B21" s="842" t="s">
        <v>300</v>
      </c>
      <c r="C21" s="1062">
        <v>6.6000000000000003E-2</v>
      </c>
      <c r="D21" s="1062">
        <v>6.4000000000000001E-2</v>
      </c>
      <c r="E21" s="1062">
        <v>6.5000000000000002E-2</v>
      </c>
      <c r="F21" s="1074"/>
    </row>
    <row r="22" spans="1:6" ht="14.25" thickBot="1">
      <c r="A22" s="838" t="s">
        <v>268</v>
      </c>
      <c r="B22" s="842" t="s">
        <v>877</v>
      </c>
      <c r="C22" s="1062">
        <v>0.08</v>
      </c>
      <c r="D22" s="1062">
        <v>9.8000000000000004E-2</v>
      </c>
      <c r="E22" s="1062">
        <v>9.8000000000000004E-2</v>
      </c>
      <c r="F22" s="1074"/>
    </row>
    <row r="23" spans="1:6" ht="14.25" thickBot="1">
      <c r="A23" s="838" t="s">
        <v>268</v>
      </c>
      <c r="B23" s="842" t="s">
        <v>321</v>
      </c>
      <c r="C23" s="1062">
        <v>9.9000000000000005E-2</v>
      </c>
      <c r="D23" s="1062">
        <v>9.8000000000000004E-2</v>
      </c>
      <c r="E23" s="1062">
        <v>9.0999999999999998E-2</v>
      </c>
      <c r="F23" s="1074"/>
    </row>
    <row r="24" spans="1:6" ht="14.25" thickBot="1">
      <c r="A24" s="838" t="s">
        <v>268</v>
      </c>
      <c r="B24" s="842" t="s">
        <v>332</v>
      </c>
      <c r="C24" s="1062">
        <v>8.8999999999999996E-2</v>
      </c>
      <c r="D24" s="1062">
        <v>9.7000000000000003E-2</v>
      </c>
      <c r="E24" s="1062">
        <v>7.0000000000000007E-2</v>
      </c>
      <c r="F24" s="1074"/>
    </row>
    <row r="25" spans="1:6" ht="14.25" thickBot="1">
      <c r="A25" s="838" t="s">
        <v>268</v>
      </c>
      <c r="B25" s="842" t="s">
        <v>342</v>
      </c>
      <c r="C25" s="1062">
        <v>8.8999999999999996E-2</v>
      </c>
      <c r="D25" s="1062">
        <v>0.1</v>
      </c>
      <c r="E25" s="1062">
        <v>8.1000000000000003E-2</v>
      </c>
      <c r="F25" s="1074"/>
    </row>
    <row r="26" spans="1:6" ht="14.25" thickBot="1">
      <c r="A26" s="838" t="s">
        <v>268</v>
      </c>
      <c r="B26" s="842" t="s">
        <v>352</v>
      </c>
      <c r="C26" s="1075"/>
      <c r="D26" s="1062">
        <v>9.6000000000000002E-2</v>
      </c>
      <c r="E26" s="1062">
        <v>9.2999999999999999E-2</v>
      </c>
      <c r="F26" s="1074"/>
    </row>
    <row r="27" spans="1:6" ht="14.25" thickBot="1">
      <c r="A27" s="838" t="s">
        <v>268</v>
      </c>
      <c r="B27" s="842" t="s">
        <v>362</v>
      </c>
      <c r="C27" s="1075"/>
      <c r="D27" s="1062">
        <v>7.5999999999999998E-2</v>
      </c>
      <c r="E27" s="1062">
        <v>9.1999999999999998E-2</v>
      </c>
      <c r="F27" s="1074"/>
    </row>
    <row r="28" spans="1:6" ht="14.25" thickBot="1">
      <c r="A28" s="848" t="s">
        <v>268</v>
      </c>
      <c r="B28" s="843" t="s">
        <v>372</v>
      </c>
      <c r="C28" s="1072"/>
      <c r="D28" s="1064">
        <v>7.5999999999999998E-2</v>
      </c>
      <c r="E28" s="1064">
        <v>9.1999999999999998E-2</v>
      </c>
      <c r="F28" s="1073"/>
    </row>
    <row r="29" spans="1:6" ht="14.25" thickBot="1">
      <c r="A29" s="838" t="s">
        <v>441</v>
      </c>
      <c r="B29" s="839" t="s">
        <v>878</v>
      </c>
      <c r="C29" s="1060">
        <v>6.4000000000000001E-2</v>
      </c>
      <c r="D29" s="1060">
        <v>6.5000000000000002E-2</v>
      </c>
      <c r="E29" s="1060">
        <v>6.9000000000000006E-2</v>
      </c>
      <c r="F29" s="1061">
        <v>0.1</v>
      </c>
    </row>
    <row r="30" spans="1:6" ht="14.25" thickBot="1">
      <c r="A30" s="838" t="s">
        <v>441</v>
      </c>
      <c r="B30" s="842" t="s">
        <v>188</v>
      </c>
      <c r="C30" s="1062">
        <v>6.4000000000000001E-2</v>
      </c>
      <c r="D30" s="1062">
        <v>9.9000000000000005E-2</v>
      </c>
      <c r="E30" s="1062">
        <v>0.1</v>
      </c>
      <c r="F30" s="1063">
        <v>0.1</v>
      </c>
    </row>
    <row r="31" spans="1:6" ht="14.25" thickBot="1">
      <c r="A31" s="838" t="s">
        <v>441</v>
      </c>
      <c r="B31" s="842" t="s">
        <v>201</v>
      </c>
      <c r="C31" s="1062">
        <v>0.1</v>
      </c>
      <c r="D31" s="1062">
        <v>9.5000000000000001E-2</v>
      </c>
      <c r="E31" s="1062">
        <v>8.8999999999999996E-2</v>
      </c>
      <c r="F31" s="1063">
        <v>0.1</v>
      </c>
    </row>
    <row r="32" spans="1:6" ht="14.25" thickBot="1">
      <c r="A32" s="838" t="s">
        <v>441</v>
      </c>
      <c r="B32" s="842" t="s">
        <v>214</v>
      </c>
      <c r="C32" s="1062">
        <v>0.05</v>
      </c>
      <c r="D32" s="1062">
        <v>0.05</v>
      </c>
      <c r="E32" s="1062">
        <v>8.7999999999999995E-2</v>
      </c>
      <c r="F32" s="1063">
        <v>0.1</v>
      </c>
    </row>
    <row r="33" spans="1:6" ht="14.25" thickBot="1">
      <c r="A33" s="838" t="s">
        <v>441</v>
      </c>
      <c r="B33" s="842" t="s">
        <v>226</v>
      </c>
      <c r="C33" s="1062">
        <v>7.4999999999999997E-2</v>
      </c>
      <c r="D33" s="1062">
        <v>9.4E-2</v>
      </c>
      <c r="E33" s="1062">
        <v>9.7000000000000003E-2</v>
      </c>
      <c r="F33" s="1063">
        <v>0.1</v>
      </c>
    </row>
    <row r="34" spans="1:6" ht="14.25" thickBot="1">
      <c r="A34" s="838" t="s">
        <v>441</v>
      </c>
      <c r="B34" s="842" t="s">
        <v>237</v>
      </c>
      <c r="C34" s="1062">
        <v>9.8000000000000004E-2</v>
      </c>
      <c r="D34" s="1062">
        <v>8.5999999999999993E-2</v>
      </c>
      <c r="E34" s="1062">
        <v>9.7000000000000003E-2</v>
      </c>
      <c r="F34" s="1063">
        <v>0.1</v>
      </c>
    </row>
    <row r="35" spans="1:6" ht="14.25" thickBot="1">
      <c r="A35" s="838" t="s">
        <v>441</v>
      </c>
      <c r="B35" s="842" t="s">
        <v>248</v>
      </c>
      <c r="C35" s="1062">
        <v>5.8999999999999997E-2</v>
      </c>
      <c r="D35" s="1062">
        <v>6.5000000000000002E-2</v>
      </c>
      <c r="E35" s="1062">
        <v>7.0000000000000007E-2</v>
      </c>
      <c r="F35" s="1063">
        <v>0.1</v>
      </c>
    </row>
    <row r="36" spans="1:6" ht="14.25" thickBot="1">
      <c r="A36" s="838" t="s">
        <v>441</v>
      </c>
      <c r="B36" s="842" t="s">
        <v>259</v>
      </c>
      <c r="C36" s="1062">
        <v>6.3E-2</v>
      </c>
      <c r="D36" s="1062">
        <v>0.1</v>
      </c>
      <c r="E36" s="1062">
        <v>0.1</v>
      </c>
      <c r="F36" s="1063">
        <v>0.1</v>
      </c>
    </row>
    <row r="37" spans="1:6" ht="14.25" thickBot="1">
      <c r="A37" s="838" t="s">
        <v>441</v>
      </c>
      <c r="B37" s="842" t="s">
        <v>271</v>
      </c>
      <c r="C37" s="1062">
        <v>7.3999999999999996E-2</v>
      </c>
      <c r="D37" s="1062">
        <v>0.1</v>
      </c>
      <c r="E37" s="1062">
        <v>0.1</v>
      </c>
      <c r="F37" s="1063">
        <v>0.1</v>
      </c>
    </row>
    <row r="38" spans="1:6" ht="14.25" thickBot="1">
      <c r="A38" s="838" t="s">
        <v>441</v>
      </c>
      <c r="B38" s="842" t="s">
        <v>281</v>
      </c>
      <c r="C38" s="1062">
        <v>0.1</v>
      </c>
      <c r="D38" s="1062">
        <v>9.6000000000000002E-2</v>
      </c>
      <c r="E38" s="1062">
        <v>9.6000000000000002E-2</v>
      </c>
      <c r="F38" s="1074"/>
    </row>
    <row r="39" spans="1:6" ht="14.25" thickBot="1">
      <c r="A39" s="838" t="s">
        <v>441</v>
      </c>
      <c r="B39" s="842" t="s">
        <v>291</v>
      </c>
      <c r="C39" s="1062">
        <v>0.1</v>
      </c>
      <c r="D39" s="1062">
        <v>9.6000000000000002E-2</v>
      </c>
      <c r="E39" s="1062">
        <v>9.6000000000000002E-2</v>
      </c>
      <c r="F39" s="1074"/>
    </row>
    <row r="40" spans="1:6" ht="14.25" thickBot="1">
      <c r="A40" s="838" t="s">
        <v>441</v>
      </c>
      <c r="B40" s="842" t="s">
        <v>301</v>
      </c>
      <c r="C40" s="1062">
        <v>9.6000000000000002E-2</v>
      </c>
      <c r="D40" s="1062">
        <v>0.1</v>
      </c>
      <c r="E40" s="1062">
        <v>9.9000000000000005E-2</v>
      </c>
      <c r="F40" s="1074"/>
    </row>
    <row r="41" spans="1:6" ht="14.25" thickBot="1">
      <c r="A41" s="838" t="s">
        <v>441</v>
      </c>
      <c r="B41" s="842" t="s">
        <v>311</v>
      </c>
      <c r="C41" s="1062">
        <v>9.6000000000000002E-2</v>
      </c>
      <c r="D41" s="1062">
        <v>9.8000000000000004E-2</v>
      </c>
      <c r="E41" s="1062">
        <v>9.8000000000000004E-2</v>
      </c>
      <c r="F41" s="1074"/>
    </row>
    <row r="42" spans="1:6" ht="14.25" thickBot="1">
      <c r="A42" s="838" t="s">
        <v>441</v>
      </c>
      <c r="B42" s="842" t="s">
        <v>322</v>
      </c>
      <c r="C42" s="1062">
        <v>0.1</v>
      </c>
      <c r="D42" s="1062">
        <v>8.7999999999999995E-2</v>
      </c>
      <c r="E42" s="1062">
        <v>0.1</v>
      </c>
      <c r="F42" s="1074"/>
    </row>
    <row r="43" spans="1:6" ht="14.25" thickBot="1">
      <c r="A43" s="838" t="s">
        <v>441</v>
      </c>
      <c r="B43" s="842" t="s">
        <v>333</v>
      </c>
      <c r="C43" s="1062">
        <v>9.8000000000000004E-2</v>
      </c>
      <c r="D43" s="1062">
        <v>9.7000000000000003E-2</v>
      </c>
      <c r="E43" s="1062">
        <v>9.6000000000000002E-2</v>
      </c>
      <c r="F43" s="1074"/>
    </row>
    <row r="44" spans="1:6" ht="14.25" thickBot="1">
      <c r="A44" s="838" t="s">
        <v>441</v>
      </c>
      <c r="B44" s="842" t="s">
        <v>343</v>
      </c>
      <c r="C44" s="1062">
        <v>8.5999999999999993E-2</v>
      </c>
      <c r="D44" s="1062">
        <v>7.9000000000000001E-2</v>
      </c>
      <c r="E44" s="1062">
        <v>7.0999999999999994E-2</v>
      </c>
      <c r="F44" s="1074"/>
    </row>
    <row r="45" spans="1:6" ht="14.25" thickBot="1">
      <c r="A45" s="838" t="s">
        <v>441</v>
      </c>
      <c r="B45" s="842" t="s">
        <v>353</v>
      </c>
      <c r="C45" s="1062">
        <v>9.8000000000000004E-2</v>
      </c>
      <c r="D45" s="1062">
        <v>9.6000000000000002E-2</v>
      </c>
      <c r="E45" s="1062">
        <v>9.6000000000000002E-2</v>
      </c>
      <c r="F45" s="1074"/>
    </row>
    <row r="46" spans="1:6" ht="14.25" thickBot="1">
      <c r="A46" s="838" t="s">
        <v>441</v>
      </c>
      <c r="B46" s="842" t="s">
        <v>363</v>
      </c>
      <c r="C46" s="1062">
        <v>8.5999999999999993E-2</v>
      </c>
      <c r="D46" s="1062">
        <v>9.8000000000000004E-2</v>
      </c>
      <c r="E46" s="1062">
        <v>8.7999999999999995E-2</v>
      </c>
      <c r="F46" s="1074"/>
    </row>
    <row r="47" spans="1:6" ht="14.25" thickBot="1">
      <c r="A47" s="838" t="s">
        <v>441</v>
      </c>
      <c r="B47" s="842" t="s">
        <v>373</v>
      </c>
      <c r="C47" s="1062">
        <v>9.6000000000000002E-2</v>
      </c>
      <c r="D47" s="1075"/>
      <c r="E47" s="1062">
        <v>6.9000000000000006E-2</v>
      </c>
      <c r="F47" s="1074"/>
    </row>
    <row r="48" spans="1:6" ht="14.25" thickBot="1">
      <c r="A48" s="848" t="s">
        <v>441</v>
      </c>
      <c r="B48" s="843" t="s">
        <v>382</v>
      </c>
      <c r="C48" s="1064">
        <v>9.8000000000000004E-2</v>
      </c>
      <c r="D48" s="1072"/>
      <c r="E48" s="1064">
        <v>9.5000000000000001E-2</v>
      </c>
      <c r="F48" s="1073"/>
    </row>
    <row r="49" spans="1:6" ht="14.25" thickBot="1">
      <c r="A49" s="838" t="s">
        <v>136</v>
      </c>
      <c r="B49" s="839" t="s">
        <v>879</v>
      </c>
      <c r="C49" s="1060">
        <v>9.7000000000000003E-2</v>
      </c>
      <c r="D49" s="1060">
        <v>9.5000000000000001E-2</v>
      </c>
      <c r="E49" s="1060">
        <v>9.7000000000000003E-2</v>
      </c>
      <c r="F49" s="1061">
        <v>0.1</v>
      </c>
    </row>
    <row r="50" spans="1:6" ht="14.25" thickBot="1">
      <c r="A50" s="838" t="s">
        <v>136</v>
      </c>
      <c r="B50" s="832" t="s">
        <v>189</v>
      </c>
      <c r="C50" s="1062">
        <v>7.4999999999999997E-2</v>
      </c>
      <c r="D50" s="1062">
        <v>9.5000000000000001E-2</v>
      </c>
      <c r="E50" s="1062">
        <v>0.1</v>
      </c>
      <c r="F50" s="1063">
        <v>0.1</v>
      </c>
    </row>
    <row r="51" spans="1:6" ht="14.25" thickBot="1">
      <c r="A51" s="838" t="s">
        <v>136</v>
      </c>
      <c r="B51" s="832" t="s">
        <v>202</v>
      </c>
      <c r="C51" s="1062">
        <v>9.8000000000000004E-2</v>
      </c>
      <c r="D51" s="1062">
        <v>8.8999999999999996E-2</v>
      </c>
      <c r="E51" s="1062">
        <v>0.1</v>
      </c>
      <c r="F51" s="1063">
        <v>0.1</v>
      </c>
    </row>
    <row r="52" spans="1:6" ht="14.25" thickBot="1">
      <c r="A52" s="838" t="s">
        <v>136</v>
      </c>
      <c r="B52" s="832" t="s">
        <v>215</v>
      </c>
      <c r="C52" s="1062">
        <v>9.8000000000000004E-2</v>
      </c>
      <c r="D52" s="1062">
        <v>9.7000000000000003E-2</v>
      </c>
      <c r="E52" s="1062">
        <v>8.1000000000000003E-2</v>
      </c>
      <c r="F52" s="1063">
        <v>0.1</v>
      </c>
    </row>
    <row r="53" spans="1:6" ht="14.25" thickBot="1">
      <c r="A53" s="838" t="s">
        <v>136</v>
      </c>
      <c r="B53" s="832" t="s">
        <v>227</v>
      </c>
      <c r="C53" s="1062">
        <v>9.7000000000000003E-2</v>
      </c>
      <c r="D53" s="1062">
        <v>7.5999999999999998E-2</v>
      </c>
      <c r="E53" s="1062">
        <v>7.0999999999999994E-2</v>
      </c>
      <c r="F53" s="1063">
        <v>0.1</v>
      </c>
    </row>
    <row r="54" spans="1:6" ht="14.25" thickBot="1">
      <c r="A54" s="838" t="s">
        <v>136</v>
      </c>
      <c r="B54" s="832" t="s">
        <v>238</v>
      </c>
      <c r="C54" s="1062">
        <v>7.5999999999999998E-2</v>
      </c>
      <c r="D54" s="1062">
        <v>0.1</v>
      </c>
      <c r="E54" s="1062">
        <v>9.9000000000000005E-2</v>
      </c>
      <c r="F54" s="1063">
        <v>0.1</v>
      </c>
    </row>
    <row r="55" spans="1:6" ht="14.25" thickBot="1">
      <c r="A55" s="838" t="s">
        <v>136</v>
      </c>
      <c r="B55" s="832" t="s">
        <v>249</v>
      </c>
      <c r="C55" s="1062">
        <v>0.1</v>
      </c>
      <c r="D55" s="1062">
        <v>0.1</v>
      </c>
      <c r="E55" s="1062">
        <v>9.6000000000000002E-2</v>
      </c>
      <c r="F55" s="1063">
        <v>0.1</v>
      </c>
    </row>
    <row r="56" spans="1:6" ht="14.25" thickBot="1">
      <c r="A56" s="838" t="s">
        <v>136</v>
      </c>
      <c r="B56" s="832" t="s">
        <v>260</v>
      </c>
      <c r="C56" s="1062">
        <v>0.1</v>
      </c>
      <c r="D56" s="1062">
        <v>9.6000000000000002E-2</v>
      </c>
      <c r="E56" s="1062">
        <v>5.1999999999999998E-2</v>
      </c>
      <c r="F56" s="1063">
        <v>0.1</v>
      </c>
    </row>
    <row r="57" spans="1:6" ht="14.25" thickBot="1">
      <c r="A57" s="838" t="s">
        <v>136</v>
      </c>
      <c r="B57" s="832" t="s">
        <v>272</v>
      </c>
      <c r="C57" s="1062">
        <v>9.7000000000000003E-2</v>
      </c>
      <c r="D57" s="1062">
        <v>9.6000000000000002E-2</v>
      </c>
      <c r="E57" s="1062">
        <v>9.6000000000000002E-2</v>
      </c>
      <c r="F57" s="1063">
        <v>0.1</v>
      </c>
    </row>
    <row r="58" spans="1:6" ht="14.25" thickBot="1">
      <c r="A58" s="838" t="s">
        <v>136</v>
      </c>
      <c r="B58" s="832" t="s">
        <v>282</v>
      </c>
      <c r="C58" s="1062">
        <v>9.6000000000000002E-2</v>
      </c>
      <c r="D58" s="1062">
        <v>9.9000000000000005E-2</v>
      </c>
      <c r="E58" s="1062">
        <v>9.6000000000000002E-2</v>
      </c>
      <c r="F58" s="1063">
        <v>0.1</v>
      </c>
    </row>
    <row r="59" spans="1:6" ht="14.25" thickBot="1">
      <c r="A59" s="838" t="s">
        <v>136</v>
      </c>
      <c r="B59" s="832" t="s">
        <v>292</v>
      </c>
      <c r="C59" s="1062">
        <v>7.1999999999999995E-2</v>
      </c>
      <c r="D59" s="1062">
        <v>9.6000000000000002E-2</v>
      </c>
      <c r="E59" s="1062">
        <v>7.0999999999999994E-2</v>
      </c>
      <c r="F59" s="1063">
        <v>0.1</v>
      </c>
    </row>
    <row r="60" spans="1:6" ht="14.25" thickBot="1">
      <c r="A60" s="838" t="s">
        <v>136</v>
      </c>
      <c r="B60" s="832" t="s">
        <v>302</v>
      </c>
      <c r="C60" s="1062">
        <v>9.6000000000000002E-2</v>
      </c>
      <c r="D60" s="1062">
        <v>8.8999999999999996E-2</v>
      </c>
      <c r="E60" s="1062">
        <v>9.6000000000000002E-2</v>
      </c>
      <c r="F60" s="1063">
        <v>0.1</v>
      </c>
    </row>
    <row r="61" spans="1:6" ht="14.25" thickBot="1">
      <c r="A61" s="838" t="s">
        <v>136</v>
      </c>
      <c r="B61" s="832" t="s">
        <v>312</v>
      </c>
      <c r="C61" s="1062">
        <v>8.8999999999999996E-2</v>
      </c>
      <c r="D61" s="1062">
        <v>9.8000000000000004E-2</v>
      </c>
      <c r="E61" s="1062">
        <v>8.7999999999999995E-2</v>
      </c>
      <c r="F61" s="1074"/>
    </row>
    <row r="62" spans="1:6" ht="14.25" thickBot="1">
      <c r="A62" s="838" t="s">
        <v>136</v>
      </c>
      <c r="B62" s="832" t="s">
        <v>323</v>
      </c>
      <c r="C62" s="1062">
        <v>9.8000000000000004E-2</v>
      </c>
      <c r="D62" s="1062">
        <v>9.2999999999999999E-2</v>
      </c>
      <c r="E62" s="1062">
        <v>9.7000000000000003E-2</v>
      </c>
      <c r="F62" s="1074"/>
    </row>
    <row r="63" spans="1:6" ht="14.25" thickBot="1">
      <c r="A63" s="838" t="s">
        <v>136</v>
      </c>
      <c r="B63" s="832" t="s">
        <v>334</v>
      </c>
      <c r="C63" s="1062">
        <v>9.6000000000000002E-2</v>
      </c>
      <c r="D63" s="1062">
        <v>9.8000000000000004E-2</v>
      </c>
      <c r="E63" s="1062">
        <v>0.09</v>
      </c>
      <c r="F63" s="1074"/>
    </row>
    <row r="64" spans="1:6" ht="14.25" thickBot="1">
      <c r="A64" s="838" t="s">
        <v>136</v>
      </c>
      <c r="B64" s="832" t="s">
        <v>344</v>
      </c>
      <c r="C64" s="1062">
        <v>9.9000000000000005E-2</v>
      </c>
      <c r="D64" s="1062">
        <v>9.7000000000000003E-2</v>
      </c>
      <c r="E64" s="1062">
        <v>9.9000000000000005E-2</v>
      </c>
      <c r="F64" s="1074"/>
    </row>
    <row r="65" spans="1:6" ht="14.25" thickBot="1">
      <c r="A65" s="838" t="s">
        <v>136</v>
      </c>
      <c r="B65" s="832" t="s">
        <v>354</v>
      </c>
      <c r="C65" s="1062">
        <v>9.8000000000000004E-2</v>
      </c>
      <c r="D65" s="1062">
        <v>9.6000000000000002E-2</v>
      </c>
      <c r="E65" s="1062">
        <v>9.6000000000000002E-2</v>
      </c>
      <c r="F65" s="1074"/>
    </row>
    <row r="66" spans="1:6" ht="14.25" thickBot="1">
      <c r="A66" s="838" t="s">
        <v>136</v>
      </c>
      <c r="B66" s="832" t="s">
        <v>364</v>
      </c>
      <c r="C66" s="1062">
        <v>9.6000000000000002E-2</v>
      </c>
      <c r="D66" s="1062">
        <v>9.1999999999999998E-2</v>
      </c>
      <c r="E66" s="1062">
        <v>9.6000000000000002E-2</v>
      </c>
      <c r="F66" s="1074"/>
    </row>
    <row r="67" spans="1:6" ht="14.25" thickBot="1">
      <c r="A67" s="838" t="s">
        <v>136</v>
      </c>
      <c r="B67" s="832" t="s">
        <v>374</v>
      </c>
      <c r="C67" s="1062">
        <v>9.4E-2</v>
      </c>
      <c r="D67" s="1062">
        <v>0.1</v>
      </c>
      <c r="E67" s="1062">
        <v>8.7999999999999995E-2</v>
      </c>
      <c r="F67" s="1074"/>
    </row>
    <row r="68" spans="1:6" ht="14.25" thickBot="1">
      <c r="A68" s="838" t="s">
        <v>136</v>
      </c>
      <c r="B68" s="832" t="s">
        <v>383</v>
      </c>
      <c r="C68" s="1062">
        <v>0.1</v>
      </c>
      <c r="D68" s="1062">
        <v>8.7999999999999995E-2</v>
      </c>
      <c r="E68" s="1062">
        <v>9.7000000000000003E-2</v>
      </c>
      <c r="F68" s="1074"/>
    </row>
    <row r="69" spans="1:6" ht="14.25" thickBot="1">
      <c r="A69" s="838" t="s">
        <v>136</v>
      </c>
      <c r="B69" s="832" t="s">
        <v>392</v>
      </c>
      <c r="C69" s="1062">
        <v>6.4000000000000001E-2</v>
      </c>
      <c r="D69" s="1062">
        <v>0.1</v>
      </c>
      <c r="E69" s="1062">
        <v>0.1</v>
      </c>
      <c r="F69" s="1074"/>
    </row>
    <row r="70" spans="1:6" ht="14.25" thickBot="1">
      <c r="A70" s="838" t="s">
        <v>136</v>
      </c>
      <c r="B70" s="832" t="s">
        <v>400</v>
      </c>
      <c r="C70" s="1062">
        <v>9.0999999999999998E-2</v>
      </c>
      <c r="D70" s="1075"/>
      <c r="E70" s="1075"/>
      <c r="F70" s="1074"/>
    </row>
    <row r="71" spans="1:6" ht="14.25" thickBot="1">
      <c r="A71" s="838" t="s">
        <v>136</v>
      </c>
      <c r="B71" s="832" t="s">
        <v>407</v>
      </c>
      <c r="C71" s="1062">
        <v>0.1</v>
      </c>
      <c r="D71" s="1075"/>
      <c r="E71" s="1075"/>
      <c r="F71" s="1074"/>
    </row>
    <row r="72" spans="1:6" ht="14.25" thickBot="1">
      <c r="A72" s="838" t="s">
        <v>136</v>
      </c>
      <c r="B72" s="832" t="s">
        <v>880</v>
      </c>
      <c r="C72" s="1075"/>
      <c r="D72" s="1075"/>
      <c r="E72" s="1075"/>
      <c r="F72" s="1063">
        <v>0.05</v>
      </c>
    </row>
    <row r="73" spans="1:6" ht="14.25" thickBot="1">
      <c r="A73" s="838" t="s">
        <v>136</v>
      </c>
      <c r="B73" s="832" t="s">
        <v>881</v>
      </c>
      <c r="C73" s="1075"/>
      <c r="D73" s="1075"/>
      <c r="E73" s="1075"/>
      <c r="F73" s="1063">
        <v>0.05</v>
      </c>
    </row>
    <row r="74" spans="1:6" ht="14.25" thickBot="1">
      <c r="A74" s="838" t="s">
        <v>136</v>
      </c>
      <c r="B74" s="832" t="s">
        <v>882</v>
      </c>
      <c r="C74" s="1075"/>
      <c r="D74" s="1075"/>
      <c r="E74" s="1075"/>
      <c r="F74" s="1063">
        <v>0.05</v>
      </c>
    </row>
    <row r="75" spans="1:6" ht="14.25" thickBot="1">
      <c r="A75" s="848" t="s">
        <v>136</v>
      </c>
      <c r="B75" s="844" t="s">
        <v>883</v>
      </c>
      <c r="C75" s="1072"/>
      <c r="D75" s="1072"/>
      <c r="E75" s="1072"/>
      <c r="F75" s="1065">
        <v>0.05</v>
      </c>
    </row>
    <row r="76" spans="1:6" ht="14.25" thickBot="1">
      <c r="A76" s="838" t="s">
        <v>522</v>
      </c>
      <c r="B76" s="839" t="s">
        <v>884</v>
      </c>
      <c r="C76" s="1060">
        <v>0.1</v>
      </c>
      <c r="D76" s="1060">
        <v>0.1</v>
      </c>
      <c r="E76" s="1060">
        <v>0.1</v>
      </c>
      <c r="F76" s="1061">
        <v>0.1</v>
      </c>
    </row>
    <row r="77" spans="1:6" ht="14.25" thickBot="1">
      <c r="A77" s="838" t="s">
        <v>522</v>
      </c>
      <c r="B77" s="832" t="s">
        <v>190</v>
      </c>
      <c r="C77" s="1062">
        <v>8.7999999999999995E-2</v>
      </c>
      <c r="D77" s="1062">
        <v>8.6999999999999994E-2</v>
      </c>
      <c r="E77" s="1062">
        <v>7.9000000000000001E-2</v>
      </c>
      <c r="F77" s="1063">
        <v>0.1</v>
      </c>
    </row>
    <row r="78" spans="1:6" ht="14.25" thickBot="1">
      <c r="A78" s="838" t="s">
        <v>522</v>
      </c>
      <c r="B78" s="832" t="s">
        <v>203</v>
      </c>
      <c r="C78" s="1062">
        <v>8.6999999999999994E-2</v>
      </c>
      <c r="D78" s="1062">
        <v>8.4000000000000005E-2</v>
      </c>
      <c r="E78" s="1062">
        <v>9.6000000000000002E-2</v>
      </c>
      <c r="F78" s="1063">
        <v>0.1</v>
      </c>
    </row>
    <row r="79" spans="1:6" ht="14.25" thickBot="1">
      <c r="A79" s="838" t="s">
        <v>522</v>
      </c>
      <c r="B79" s="832" t="s">
        <v>216</v>
      </c>
      <c r="C79" s="1062">
        <v>9.8000000000000004E-2</v>
      </c>
      <c r="D79" s="1062">
        <v>9.8000000000000004E-2</v>
      </c>
      <c r="E79" s="1062">
        <v>9.0999999999999998E-2</v>
      </c>
      <c r="F79" s="1063">
        <v>0.1</v>
      </c>
    </row>
    <row r="80" spans="1:6" ht="14.25" thickBot="1">
      <c r="A80" s="838" t="s">
        <v>522</v>
      </c>
      <c r="B80" s="832" t="s">
        <v>228</v>
      </c>
      <c r="C80" s="1062">
        <v>9.6000000000000002E-2</v>
      </c>
      <c r="D80" s="1062">
        <v>9.6000000000000002E-2</v>
      </c>
      <c r="E80" s="1062">
        <v>0.1</v>
      </c>
      <c r="F80" s="1063">
        <v>0.1</v>
      </c>
    </row>
    <row r="81" spans="1:6" ht="14.25" thickBot="1">
      <c r="A81" s="838" t="s">
        <v>522</v>
      </c>
      <c r="B81" s="832" t="s">
        <v>239</v>
      </c>
      <c r="C81" s="1062">
        <v>9.9000000000000005E-2</v>
      </c>
      <c r="D81" s="1062">
        <v>9.9000000000000005E-2</v>
      </c>
      <c r="E81" s="1062">
        <v>9.8000000000000004E-2</v>
      </c>
      <c r="F81" s="1063">
        <v>0.1</v>
      </c>
    </row>
    <row r="82" spans="1:6" ht="14.25" thickBot="1">
      <c r="A82" s="838" t="s">
        <v>522</v>
      </c>
      <c r="B82" s="832" t="s">
        <v>250</v>
      </c>
      <c r="C82" s="1062">
        <v>9.9000000000000005E-2</v>
      </c>
      <c r="D82" s="1062">
        <v>9.9000000000000005E-2</v>
      </c>
      <c r="E82" s="1062">
        <v>9.7000000000000003E-2</v>
      </c>
      <c r="F82" s="1063">
        <v>0.1</v>
      </c>
    </row>
    <row r="83" spans="1:6" ht="14.25" thickBot="1">
      <c r="A83" s="838" t="s">
        <v>522</v>
      </c>
      <c r="B83" s="832" t="s">
        <v>261</v>
      </c>
      <c r="C83" s="1062">
        <v>9.8000000000000004E-2</v>
      </c>
      <c r="D83" s="1062">
        <v>9.8000000000000004E-2</v>
      </c>
      <c r="E83" s="1062">
        <v>9.8000000000000004E-2</v>
      </c>
      <c r="F83" s="1063">
        <v>0.1</v>
      </c>
    </row>
    <row r="84" spans="1:6" ht="14.25" thickBot="1">
      <c r="A84" s="838" t="s">
        <v>522</v>
      </c>
      <c r="B84" s="832" t="s">
        <v>273</v>
      </c>
      <c r="C84" s="1062">
        <v>9.9000000000000005E-2</v>
      </c>
      <c r="D84" s="1062">
        <v>9.9000000000000005E-2</v>
      </c>
      <c r="E84" s="1062">
        <v>9.9000000000000005E-2</v>
      </c>
      <c r="F84" s="1063">
        <v>0.1</v>
      </c>
    </row>
    <row r="85" spans="1:6" ht="14.25" thickBot="1">
      <c r="A85" s="838" t="s">
        <v>522</v>
      </c>
      <c r="B85" s="832" t="s">
        <v>283</v>
      </c>
      <c r="C85" s="1062">
        <v>9.9000000000000005E-2</v>
      </c>
      <c r="D85" s="1062">
        <v>9.9000000000000005E-2</v>
      </c>
      <c r="E85" s="1062">
        <v>9.9000000000000005E-2</v>
      </c>
      <c r="F85" s="1063">
        <v>0.1</v>
      </c>
    </row>
    <row r="86" spans="1:6" ht="14.25" thickBot="1">
      <c r="A86" s="838" t="s">
        <v>522</v>
      </c>
      <c r="B86" s="832" t="s">
        <v>293</v>
      </c>
      <c r="C86" s="1062">
        <v>0.1</v>
      </c>
      <c r="D86" s="1062">
        <v>0.1</v>
      </c>
      <c r="E86" s="1062">
        <v>7.6999999999999999E-2</v>
      </c>
      <c r="F86" s="1063">
        <v>0.1</v>
      </c>
    </row>
    <row r="87" spans="1:6" ht="14.25" thickBot="1">
      <c r="A87" s="838" t="s">
        <v>522</v>
      </c>
      <c r="B87" s="832" t="s">
        <v>303</v>
      </c>
      <c r="C87" s="1062">
        <v>0.1</v>
      </c>
      <c r="D87" s="1062">
        <v>0.1</v>
      </c>
      <c r="E87" s="1062">
        <v>9.8000000000000004E-2</v>
      </c>
      <c r="F87" s="1074"/>
    </row>
    <row r="88" spans="1:6" ht="14.25" thickBot="1">
      <c r="A88" s="838" t="s">
        <v>522</v>
      </c>
      <c r="B88" s="832" t="s">
        <v>313</v>
      </c>
      <c r="C88" s="1062">
        <v>9.1999999999999998E-2</v>
      </c>
      <c r="D88" s="1062">
        <v>8.5000000000000006E-2</v>
      </c>
      <c r="E88" s="1062">
        <v>9.6000000000000002E-2</v>
      </c>
      <c r="F88" s="1074"/>
    </row>
    <row r="89" spans="1:6" ht="14.25" thickBot="1">
      <c r="A89" s="838" t="s">
        <v>522</v>
      </c>
      <c r="B89" s="832" t="s">
        <v>324</v>
      </c>
      <c r="C89" s="1062">
        <v>0.1</v>
      </c>
      <c r="D89" s="1062">
        <v>0.1</v>
      </c>
      <c r="E89" s="1062">
        <v>9.7000000000000003E-2</v>
      </c>
      <c r="F89" s="1074"/>
    </row>
    <row r="90" spans="1:6" ht="14.25" thickBot="1">
      <c r="A90" s="838" t="s">
        <v>522</v>
      </c>
      <c r="B90" s="832" t="s">
        <v>335</v>
      </c>
      <c r="C90" s="1062">
        <v>9.8000000000000004E-2</v>
      </c>
      <c r="D90" s="1062">
        <v>9.8000000000000004E-2</v>
      </c>
      <c r="E90" s="1062">
        <v>8.7999999999999995E-2</v>
      </c>
      <c r="F90" s="1074"/>
    </row>
    <row r="91" spans="1:6" ht="14.25" thickBot="1">
      <c r="A91" s="838" t="s">
        <v>522</v>
      </c>
      <c r="B91" s="832" t="s">
        <v>345</v>
      </c>
      <c r="C91" s="1062">
        <v>9.9000000000000005E-2</v>
      </c>
      <c r="D91" s="1062">
        <v>9.9000000000000005E-2</v>
      </c>
      <c r="E91" s="1062">
        <v>9.0999999999999998E-2</v>
      </c>
      <c r="F91" s="1074"/>
    </row>
    <row r="92" spans="1:6" ht="14.25" thickBot="1">
      <c r="A92" s="838" t="s">
        <v>522</v>
      </c>
      <c r="B92" s="832" t="s">
        <v>355</v>
      </c>
      <c r="C92" s="1062">
        <v>9.6000000000000002E-2</v>
      </c>
      <c r="D92" s="1062">
        <v>9.6000000000000002E-2</v>
      </c>
      <c r="E92" s="1062">
        <v>7.2999999999999995E-2</v>
      </c>
      <c r="F92" s="1074"/>
    </row>
    <row r="93" spans="1:6" ht="14.25" thickBot="1">
      <c r="A93" s="838" t="s">
        <v>522</v>
      </c>
      <c r="B93" s="832" t="s">
        <v>365</v>
      </c>
      <c r="C93" s="1062">
        <v>9.6000000000000002E-2</v>
      </c>
      <c r="D93" s="1062">
        <v>9.6000000000000002E-2</v>
      </c>
      <c r="E93" s="1062">
        <v>9.9000000000000005E-2</v>
      </c>
      <c r="F93" s="1074"/>
    </row>
    <row r="94" spans="1:6" ht="14.25" thickBot="1">
      <c r="A94" s="838" t="s">
        <v>522</v>
      </c>
      <c r="B94" s="832" t="s">
        <v>375</v>
      </c>
      <c r="C94" s="1062">
        <v>7.5999999999999998E-2</v>
      </c>
      <c r="D94" s="1062">
        <v>7.3999999999999996E-2</v>
      </c>
      <c r="E94" s="1062">
        <v>9.7000000000000003E-2</v>
      </c>
      <c r="F94" s="1074"/>
    </row>
    <row r="95" spans="1:6" ht="14.25" thickBot="1">
      <c r="A95" s="838" t="s">
        <v>522</v>
      </c>
      <c r="B95" s="832" t="s">
        <v>384</v>
      </c>
      <c r="C95" s="1062">
        <v>9.9000000000000005E-2</v>
      </c>
      <c r="D95" s="1062">
        <v>9.4E-2</v>
      </c>
      <c r="E95" s="1062">
        <v>9.6000000000000002E-2</v>
      </c>
      <c r="F95" s="1074"/>
    </row>
    <row r="96" spans="1:6" ht="14.25" thickBot="1">
      <c r="A96" s="838" t="s">
        <v>522</v>
      </c>
      <c r="B96" s="832" t="s">
        <v>393</v>
      </c>
      <c r="C96" s="1062">
        <v>9.9000000000000005E-2</v>
      </c>
      <c r="D96" s="1062">
        <v>9.9000000000000005E-2</v>
      </c>
      <c r="E96" s="1062">
        <v>9.9000000000000005E-2</v>
      </c>
      <c r="F96" s="1074"/>
    </row>
    <row r="97" spans="1:6" ht="14.25" thickBot="1">
      <c r="A97" s="838" t="s">
        <v>522</v>
      </c>
      <c r="B97" s="832" t="s">
        <v>401</v>
      </c>
      <c r="C97" s="1062">
        <v>9.8000000000000004E-2</v>
      </c>
      <c r="D97" s="1062">
        <v>9.8000000000000004E-2</v>
      </c>
      <c r="E97" s="1062">
        <v>9.7000000000000003E-2</v>
      </c>
      <c r="F97" s="1074"/>
    </row>
    <row r="98" spans="1:6" ht="14.25" thickBot="1">
      <c r="A98" s="838" t="s">
        <v>522</v>
      </c>
      <c r="B98" s="832" t="s">
        <v>408</v>
      </c>
      <c r="C98" s="1062">
        <v>0.1</v>
      </c>
      <c r="D98" s="1062">
        <v>0.1</v>
      </c>
      <c r="E98" s="1062">
        <v>9.7000000000000003E-2</v>
      </c>
      <c r="F98" s="1074"/>
    </row>
    <row r="99" spans="1:6" ht="14.25" thickBot="1">
      <c r="A99" s="838" t="s">
        <v>522</v>
      </c>
      <c r="B99" s="832" t="s">
        <v>415</v>
      </c>
      <c r="C99" s="1062">
        <v>0.1</v>
      </c>
      <c r="D99" s="1062">
        <v>0.1</v>
      </c>
      <c r="E99" s="1075"/>
      <c r="F99" s="1074"/>
    </row>
    <row r="100" spans="1:6" ht="14.25" thickBot="1">
      <c r="A100" s="838" t="s">
        <v>522</v>
      </c>
      <c r="B100" s="832" t="s">
        <v>422</v>
      </c>
      <c r="C100" s="1062">
        <v>0.09</v>
      </c>
      <c r="D100" s="1062">
        <v>8.8999999999999996E-2</v>
      </c>
      <c r="E100" s="1075"/>
      <c r="F100" s="1074"/>
    </row>
    <row r="101" spans="1:6" ht="14.25" thickBot="1">
      <c r="A101" s="838" t="s">
        <v>522</v>
      </c>
      <c r="B101" s="832" t="s">
        <v>429</v>
      </c>
      <c r="C101" s="1062">
        <v>9.8000000000000004E-2</v>
      </c>
      <c r="D101" s="1062">
        <v>9.7000000000000003E-2</v>
      </c>
      <c r="E101" s="1075"/>
      <c r="F101" s="1074"/>
    </row>
    <row r="102" spans="1:6" ht="14.25" thickBot="1">
      <c r="A102" s="838" t="s">
        <v>522</v>
      </c>
      <c r="B102" s="832" t="s">
        <v>885</v>
      </c>
      <c r="C102" s="1075"/>
      <c r="D102" s="1075"/>
      <c r="E102" s="1075"/>
      <c r="F102" s="1063">
        <v>0.05</v>
      </c>
    </row>
    <row r="103" spans="1:6" ht="24.75" thickBot="1">
      <c r="A103" s="838" t="s">
        <v>522</v>
      </c>
      <c r="B103" s="832" t="s">
        <v>886</v>
      </c>
      <c r="C103" s="1075"/>
      <c r="D103" s="1075"/>
      <c r="E103" s="1075"/>
      <c r="F103" s="1063">
        <v>0.05</v>
      </c>
    </row>
    <row r="104" spans="1:6" ht="14.25" thickBot="1">
      <c r="A104" s="838" t="s">
        <v>522</v>
      </c>
      <c r="B104" s="832" t="s">
        <v>887</v>
      </c>
      <c r="C104" s="1075"/>
      <c r="D104" s="1075"/>
      <c r="E104" s="1075"/>
      <c r="F104" s="1063">
        <v>0.05</v>
      </c>
    </row>
    <row r="105" spans="1:6" ht="14.25" thickBot="1">
      <c r="A105" s="838" t="s">
        <v>522</v>
      </c>
      <c r="B105" s="832" t="s">
        <v>888</v>
      </c>
      <c r="C105" s="1075"/>
      <c r="D105" s="1075"/>
      <c r="E105" s="1075"/>
      <c r="F105" s="1063">
        <v>0.05</v>
      </c>
    </row>
    <row r="106" spans="1:6" ht="14.25" thickBot="1">
      <c r="A106" s="838" t="s">
        <v>522</v>
      </c>
      <c r="B106" s="832" t="s">
        <v>889</v>
      </c>
      <c r="C106" s="1075"/>
      <c r="D106" s="1075"/>
      <c r="E106" s="1075"/>
      <c r="F106" s="1063">
        <v>0.05</v>
      </c>
    </row>
    <row r="107" spans="1:6" ht="24.75" thickBot="1">
      <c r="A107" s="838" t="s">
        <v>522</v>
      </c>
      <c r="B107" s="832" t="s">
        <v>890</v>
      </c>
      <c r="C107" s="1075"/>
      <c r="D107" s="1075"/>
      <c r="E107" s="1075"/>
      <c r="F107" s="1063">
        <v>0.05</v>
      </c>
    </row>
    <row r="108" spans="1:6" ht="24.75" thickBot="1">
      <c r="A108" s="838" t="s">
        <v>522</v>
      </c>
      <c r="B108" s="832" t="s">
        <v>891</v>
      </c>
      <c r="C108" s="1075"/>
      <c r="D108" s="1075"/>
      <c r="E108" s="1075"/>
      <c r="F108" s="1063">
        <v>0.05</v>
      </c>
    </row>
    <row r="109" spans="1:6" ht="24.75" thickBot="1">
      <c r="A109" s="848" t="s">
        <v>522</v>
      </c>
      <c r="B109" s="844" t="s">
        <v>892</v>
      </c>
      <c r="C109" s="1072"/>
      <c r="D109" s="1072"/>
      <c r="E109" s="1072"/>
      <c r="F109" s="1065">
        <v>0.05</v>
      </c>
    </row>
    <row r="110" spans="1:6" ht="14.25" thickBot="1">
      <c r="A110" s="838" t="s">
        <v>55</v>
      </c>
      <c r="B110" s="839" t="s">
        <v>893</v>
      </c>
      <c r="C110" s="1060">
        <v>0.129</v>
      </c>
      <c r="D110" s="1060">
        <v>0.129</v>
      </c>
      <c r="E110" s="1060">
        <v>0.126</v>
      </c>
      <c r="F110" s="1061">
        <v>0.13</v>
      </c>
    </row>
    <row r="111" spans="1:6" ht="14.25" thickBot="1">
      <c r="A111" s="838" t="s">
        <v>55</v>
      </c>
      <c r="B111" s="832" t="s">
        <v>191</v>
      </c>
      <c r="C111" s="1062">
        <v>0.11</v>
      </c>
      <c r="D111" s="1062">
        <v>0.11</v>
      </c>
      <c r="E111" s="1062">
        <v>9.9000000000000005E-2</v>
      </c>
      <c r="F111" s="1063">
        <v>0.128</v>
      </c>
    </row>
    <row r="112" spans="1:6" ht="14.25" thickBot="1">
      <c r="A112" s="838" t="s">
        <v>55</v>
      </c>
      <c r="B112" s="832" t="s">
        <v>204</v>
      </c>
      <c r="C112" s="1062">
        <v>0.125</v>
      </c>
      <c r="D112" s="1062">
        <v>0.125</v>
      </c>
      <c r="E112" s="1062">
        <v>0.12</v>
      </c>
      <c r="F112" s="1063">
        <v>0.125</v>
      </c>
    </row>
    <row r="113" spans="1:6" ht="14.25" thickBot="1">
      <c r="A113" s="838" t="s">
        <v>55</v>
      </c>
      <c r="B113" s="832" t="s">
        <v>217</v>
      </c>
      <c r="C113" s="1062">
        <v>0.13</v>
      </c>
      <c r="D113" s="1062">
        <v>0.13</v>
      </c>
      <c r="E113" s="1062">
        <v>0.13</v>
      </c>
      <c r="F113" s="1063">
        <v>0.13</v>
      </c>
    </row>
    <row r="114" spans="1:6" ht="14.25" thickBot="1">
      <c r="A114" s="838" t="s">
        <v>55</v>
      </c>
      <c r="B114" s="832" t="s">
        <v>229</v>
      </c>
      <c r="C114" s="1062">
        <v>0.123</v>
      </c>
      <c r="D114" s="1062">
        <v>0.123</v>
      </c>
      <c r="E114" s="1062">
        <v>0.12</v>
      </c>
      <c r="F114" s="1063">
        <v>0.13</v>
      </c>
    </row>
    <row r="115" spans="1:6" ht="14.25" thickBot="1">
      <c r="A115" s="838" t="s">
        <v>55</v>
      </c>
      <c r="B115" s="832" t="s">
        <v>240</v>
      </c>
      <c r="C115" s="1062">
        <v>0.125</v>
      </c>
      <c r="D115" s="1062">
        <v>0.125</v>
      </c>
      <c r="E115" s="1062">
        <v>0.11700000000000001</v>
      </c>
      <c r="F115" s="1063">
        <v>0.13</v>
      </c>
    </row>
    <row r="116" spans="1:6" ht="14.25" thickBot="1">
      <c r="A116" s="838" t="s">
        <v>55</v>
      </c>
      <c r="B116" s="832" t="s">
        <v>251</v>
      </c>
      <c r="C116" s="1062">
        <v>0.11700000000000001</v>
      </c>
      <c r="D116" s="1062">
        <v>0.11700000000000001</v>
      </c>
      <c r="E116" s="1062">
        <v>8.7999999999999995E-2</v>
      </c>
      <c r="F116" s="1063">
        <v>0.13</v>
      </c>
    </row>
    <row r="117" spans="1:6" ht="14.25" thickBot="1">
      <c r="A117" s="838" t="s">
        <v>55</v>
      </c>
      <c r="B117" s="832" t="s">
        <v>262</v>
      </c>
      <c r="C117" s="1062">
        <v>0.13</v>
      </c>
      <c r="D117" s="1062">
        <v>0.13</v>
      </c>
      <c r="E117" s="1062">
        <v>0.129</v>
      </c>
      <c r="F117" s="1063">
        <v>0.13</v>
      </c>
    </row>
    <row r="118" spans="1:6" ht="14.25" thickBot="1">
      <c r="A118" s="838" t="s">
        <v>55</v>
      </c>
      <c r="B118" s="832" t="s">
        <v>274</v>
      </c>
      <c r="C118" s="1062">
        <v>0.123</v>
      </c>
      <c r="D118" s="1062">
        <v>0.123</v>
      </c>
      <c r="E118" s="1062">
        <v>0.11600000000000001</v>
      </c>
      <c r="F118" s="1063">
        <v>0.13</v>
      </c>
    </row>
    <row r="119" spans="1:6" ht="14.25" thickBot="1">
      <c r="A119" s="838" t="s">
        <v>55</v>
      </c>
      <c r="B119" s="832" t="s">
        <v>284</v>
      </c>
      <c r="C119" s="1062">
        <v>0.127</v>
      </c>
      <c r="D119" s="1062">
        <v>0.127</v>
      </c>
      <c r="E119" s="1062">
        <v>0.124</v>
      </c>
      <c r="F119" s="1063">
        <v>0.13</v>
      </c>
    </row>
    <row r="120" spans="1:6" ht="14.25" thickBot="1">
      <c r="A120" s="838" t="s">
        <v>55</v>
      </c>
      <c r="B120" s="832" t="s">
        <v>294</v>
      </c>
      <c r="C120" s="1062">
        <v>0.125</v>
      </c>
      <c r="D120" s="1062">
        <v>0.125</v>
      </c>
      <c r="E120" s="1062">
        <v>0.122</v>
      </c>
      <c r="F120" s="1063">
        <v>0.13</v>
      </c>
    </row>
    <row r="121" spans="1:6" ht="14.25" thickBot="1">
      <c r="A121" s="838" t="s">
        <v>55</v>
      </c>
      <c r="B121" s="832" t="s">
        <v>304</v>
      </c>
      <c r="C121" s="1062">
        <v>0.13</v>
      </c>
      <c r="D121" s="1062">
        <v>0.13</v>
      </c>
      <c r="E121" s="1062">
        <v>0.13</v>
      </c>
      <c r="F121" s="1063">
        <v>0.13</v>
      </c>
    </row>
    <row r="122" spans="1:6" ht="14.25" thickBot="1">
      <c r="A122" s="838" t="s">
        <v>55</v>
      </c>
      <c r="B122" s="832" t="s">
        <v>314</v>
      </c>
      <c r="C122" s="1062">
        <v>0.13</v>
      </c>
      <c r="D122" s="1062">
        <v>0.13</v>
      </c>
      <c r="E122" s="1062">
        <v>0.125</v>
      </c>
      <c r="F122" s="1063">
        <v>0.13</v>
      </c>
    </row>
    <row r="123" spans="1:6" ht="14.25" thickBot="1">
      <c r="A123" s="838" t="s">
        <v>55</v>
      </c>
      <c r="B123" s="832" t="s">
        <v>325</v>
      </c>
      <c r="C123" s="1062">
        <v>0.129</v>
      </c>
      <c r="D123" s="1062">
        <v>0.129</v>
      </c>
      <c r="E123" s="1062">
        <v>0.123</v>
      </c>
      <c r="F123" s="1063">
        <v>0.13</v>
      </c>
    </row>
    <row r="124" spans="1:6" ht="14.25" thickBot="1">
      <c r="A124" s="838" t="s">
        <v>55</v>
      </c>
      <c r="B124" s="832" t="s">
        <v>336</v>
      </c>
      <c r="C124" s="1062">
        <v>0.10199999999999999</v>
      </c>
      <c r="D124" s="1062">
        <v>0.10100000000000001</v>
      </c>
      <c r="E124" s="1062">
        <v>0.08</v>
      </c>
      <c r="F124" s="1074"/>
    </row>
    <row r="125" spans="1:6" ht="14.25" thickBot="1">
      <c r="A125" s="838" t="s">
        <v>55</v>
      </c>
      <c r="B125" s="832" t="s">
        <v>346</v>
      </c>
      <c r="C125" s="1062">
        <v>0.13</v>
      </c>
      <c r="D125" s="1062">
        <v>0.13</v>
      </c>
      <c r="E125" s="1062">
        <v>0.129</v>
      </c>
      <c r="F125" s="1074"/>
    </row>
    <row r="126" spans="1:6" ht="14.25" thickBot="1">
      <c r="A126" s="838" t="s">
        <v>55</v>
      </c>
      <c r="B126" s="832" t="s">
        <v>356</v>
      </c>
      <c r="C126" s="1062">
        <v>0.13</v>
      </c>
      <c r="D126" s="1062">
        <v>0.13</v>
      </c>
      <c r="E126" s="1062">
        <v>0.126</v>
      </c>
      <c r="F126" s="1074"/>
    </row>
    <row r="127" spans="1:6" ht="14.25" thickBot="1">
      <c r="A127" s="838" t="s">
        <v>55</v>
      </c>
      <c r="B127" s="832" t="s">
        <v>366</v>
      </c>
      <c r="C127" s="1062">
        <v>0.125</v>
      </c>
      <c r="D127" s="1062">
        <v>0.125</v>
      </c>
      <c r="E127" s="1062">
        <v>0.121</v>
      </c>
      <c r="F127" s="1074"/>
    </row>
    <row r="128" spans="1:6" ht="14.25" thickBot="1">
      <c r="A128" s="838" t="s">
        <v>55</v>
      </c>
      <c r="B128" s="832" t="s">
        <v>376</v>
      </c>
      <c r="C128" s="1062">
        <v>0.12</v>
      </c>
      <c r="D128" s="1062">
        <v>0.12</v>
      </c>
      <c r="E128" s="1062">
        <v>0.105</v>
      </c>
      <c r="F128" s="1074"/>
    </row>
    <row r="129" spans="1:6" ht="14.25" thickBot="1">
      <c r="A129" s="838" t="s">
        <v>55</v>
      </c>
      <c r="B129" s="832" t="s">
        <v>385</v>
      </c>
      <c r="C129" s="1062">
        <v>0.13</v>
      </c>
      <c r="D129" s="1062">
        <v>0.13</v>
      </c>
      <c r="E129" s="1062">
        <v>0.126</v>
      </c>
      <c r="F129" s="1074"/>
    </row>
    <row r="130" spans="1:6" ht="14.25" thickBot="1">
      <c r="A130" s="838" t="s">
        <v>55</v>
      </c>
      <c r="B130" s="832" t="s">
        <v>394</v>
      </c>
      <c r="C130" s="1062">
        <v>0.125</v>
      </c>
      <c r="D130" s="1062">
        <v>0.125</v>
      </c>
      <c r="E130" s="1062">
        <v>0.122</v>
      </c>
      <c r="F130" s="1074"/>
    </row>
    <row r="131" spans="1:6" ht="14.25" thickBot="1">
      <c r="A131" s="838" t="s">
        <v>55</v>
      </c>
      <c r="B131" s="832" t="s">
        <v>402</v>
      </c>
      <c r="C131" s="1062">
        <v>0.127</v>
      </c>
      <c r="D131" s="1062">
        <v>0.126</v>
      </c>
      <c r="E131" s="1062">
        <v>0.123</v>
      </c>
      <c r="F131" s="1074"/>
    </row>
    <row r="132" spans="1:6" ht="14.25" thickBot="1">
      <c r="A132" s="838" t="s">
        <v>55</v>
      </c>
      <c r="B132" s="832" t="s">
        <v>409</v>
      </c>
      <c r="C132" s="1062">
        <v>9.0999999999999998E-2</v>
      </c>
      <c r="D132" s="1062">
        <v>0.121</v>
      </c>
      <c r="E132" s="1062">
        <v>9.9000000000000005E-2</v>
      </c>
      <c r="F132" s="1074"/>
    </row>
    <row r="133" spans="1:6" ht="14.25" thickBot="1">
      <c r="A133" s="838" t="s">
        <v>55</v>
      </c>
      <c r="B133" s="832" t="s">
        <v>416</v>
      </c>
      <c r="C133" s="1062">
        <v>0.13</v>
      </c>
      <c r="D133" s="1062">
        <v>0.13</v>
      </c>
      <c r="E133" s="1062">
        <v>0.129</v>
      </c>
      <c r="F133" s="1074"/>
    </row>
    <row r="134" spans="1:6" ht="14.25" thickBot="1">
      <c r="A134" s="838" t="s">
        <v>55</v>
      </c>
      <c r="B134" s="832" t="s">
        <v>894</v>
      </c>
      <c r="C134" s="1062">
        <v>6.8000000000000005E-2</v>
      </c>
      <c r="D134" s="1062">
        <v>6.5000000000000002E-2</v>
      </c>
      <c r="E134" s="1062">
        <v>6.5000000000000002E-2</v>
      </c>
      <c r="F134" s="1063">
        <v>0.13</v>
      </c>
    </row>
    <row r="135" spans="1:6" ht="14.25" thickBot="1">
      <c r="A135" s="838" t="s">
        <v>55</v>
      </c>
      <c r="B135" s="832" t="s">
        <v>430</v>
      </c>
      <c r="C135" s="1062">
        <v>0.123</v>
      </c>
      <c r="D135" s="1062">
        <v>0.123</v>
      </c>
      <c r="E135" s="1062">
        <v>0.11</v>
      </c>
      <c r="F135" s="1074"/>
    </row>
    <row r="136" spans="1:6" ht="14.25" thickBot="1">
      <c r="A136" s="838" t="s">
        <v>55</v>
      </c>
      <c r="B136" s="832" t="s">
        <v>437</v>
      </c>
      <c r="C136" s="1062">
        <v>0.13</v>
      </c>
      <c r="D136" s="1062">
        <v>0.13</v>
      </c>
      <c r="E136" s="1062">
        <v>0.125</v>
      </c>
      <c r="F136" s="1074"/>
    </row>
    <row r="137" spans="1:6" ht="14.25" thickBot="1">
      <c r="A137" s="838" t="s">
        <v>55</v>
      </c>
      <c r="B137" s="832" t="s">
        <v>444</v>
      </c>
      <c r="C137" s="1062">
        <v>0.121</v>
      </c>
      <c r="D137" s="1062">
        <v>0.122</v>
      </c>
      <c r="E137" s="1062">
        <v>0.115</v>
      </c>
      <c r="F137" s="1074"/>
    </row>
    <row r="138" spans="1:6" ht="14.25" thickBot="1">
      <c r="A138" s="838" t="s">
        <v>55</v>
      </c>
      <c r="B138" s="832" t="s">
        <v>895</v>
      </c>
      <c r="C138" s="1062">
        <v>0.105</v>
      </c>
      <c r="D138" s="1062">
        <v>0.125</v>
      </c>
      <c r="E138" s="1062">
        <v>0.112</v>
      </c>
      <c r="F138" s="1074"/>
    </row>
    <row r="139" spans="1:6" ht="14.25" thickBot="1">
      <c r="A139" s="838" t="s">
        <v>55</v>
      </c>
      <c r="B139" s="832" t="s">
        <v>896</v>
      </c>
      <c r="C139" s="1062">
        <v>0.127</v>
      </c>
      <c r="D139" s="1062">
        <v>0.127</v>
      </c>
      <c r="E139" s="1062">
        <v>0.122</v>
      </c>
      <c r="F139" s="1063">
        <v>0.13</v>
      </c>
    </row>
    <row r="140" spans="1:6" ht="14.25" thickBot="1">
      <c r="A140" s="838" t="s">
        <v>55</v>
      </c>
      <c r="B140" s="832" t="s">
        <v>897</v>
      </c>
      <c r="C140" s="1062">
        <v>0.125</v>
      </c>
      <c r="D140" s="1062">
        <v>0.125</v>
      </c>
      <c r="E140" s="1062">
        <v>0.11899999999999999</v>
      </c>
      <c r="F140" s="1063">
        <v>0.13</v>
      </c>
    </row>
    <row r="141" spans="1:6" ht="14.25" thickBot="1">
      <c r="A141" s="838" t="s">
        <v>55</v>
      </c>
      <c r="B141" s="832" t="s">
        <v>463</v>
      </c>
      <c r="C141" s="1062">
        <v>0.125</v>
      </c>
      <c r="D141" s="1062">
        <v>0.125</v>
      </c>
      <c r="E141" s="1062">
        <v>0.11700000000000001</v>
      </c>
      <c r="F141" s="1074"/>
    </row>
    <row r="142" spans="1:6" ht="14.25" thickBot="1">
      <c r="A142" s="838" t="s">
        <v>55</v>
      </c>
      <c r="B142" s="832" t="s">
        <v>468</v>
      </c>
      <c r="C142" s="1062">
        <v>0.125</v>
      </c>
      <c r="D142" s="1062">
        <v>0.125</v>
      </c>
      <c r="E142" s="1062">
        <v>0.115</v>
      </c>
      <c r="F142" s="1074"/>
    </row>
    <row r="143" spans="1:6" ht="14.25" thickBot="1">
      <c r="A143" s="838" t="s">
        <v>55</v>
      </c>
      <c r="B143" s="832" t="s">
        <v>473</v>
      </c>
      <c r="C143" s="1062">
        <v>0.121</v>
      </c>
      <c r="D143" s="1062">
        <v>0.121</v>
      </c>
      <c r="E143" s="1062">
        <v>0.108</v>
      </c>
      <c r="F143" s="1074"/>
    </row>
    <row r="144" spans="1:6" ht="14.25" thickBot="1">
      <c r="A144" s="838" t="s">
        <v>55</v>
      </c>
      <c r="B144" s="1066" t="s">
        <v>898</v>
      </c>
      <c r="C144" s="1067">
        <v>0.126</v>
      </c>
      <c r="D144" s="1067">
        <v>0.126</v>
      </c>
      <c r="E144" s="1067">
        <v>0.121</v>
      </c>
      <c r="F144" s="1074"/>
    </row>
    <row r="145" spans="1:6" ht="14.25" thickBot="1">
      <c r="A145" s="848" t="s">
        <v>55</v>
      </c>
      <c r="B145" s="1068" t="s">
        <v>899</v>
      </c>
      <c r="C145" s="1076"/>
      <c r="D145" s="1076"/>
      <c r="E145" s="1076"/>
      <c r="F145" s="1069">
        <v>0.05</v>
      </c>
    </row>
    <row r="146" spans="1:6" ht="24.75" thickBot="1">
      <c r="A146" s="1070" t="s">
        <v>55</v>
      </c>
      <c r="B146" s="842" t="s">
        <v>900</v>
      </c>
      <c r="C146" s="1075"/>
      <c r="D146" s="1075"/>
      <c r="E146" s="1075"/>
      <c r="F146" s="1071">
        <v>0.05</v>
      </c>
    </row>
    <row r="147" spans="1:6" ht="24.75" thickBot="1">
      <c r="A147" s="838" t="s">
        <v>55</v>
      </c>
      <c r="B147" s="832" t="s">
        <v>901</v>
      </c>
      <c r="C147" s="1075"/>
      <c r="D147" s="1075"/>
      <c r="E147" s="1075"/>
      <c r="F147" s="1063">
        <v>0.05</v>
      </c>
    </row>
    <row r="148" spans="1:6" ht="24.75" thickBot="1">
      <c r="A148" s="838" t="s">
        <v>55</v>
      </c>
      <c r="B148" s="832" t="s">
        <v>902</v>
      </c>
      <c r="C148" s="1075"/>
      <c r="D148" s="1075"/>
      <c r="E148" s="1075"/>
      <c r="F148" s="1063">
        <v>0.05</v>
      </c>
    </row>
    <row r="149" spans="1:6" ht="24.75" thickBot="1">
      <c r="A149" s="838" t="s">
        <v>55</v>
      </c>
      <c r="B149" s="832" t="s">
        <v>903</v>
      </c>
      <c r="C149" s="1075"/>
      <c r="D149" s="1075"/>
      <c r="E149" s="1075"/>
      <c r="F149" s="1063">
        <v>0.05</v>
      </c>
    </row>
    <row r="150" spans="1:6" ht="24.75" thickBot="1">
      <c r="A150" s="838" t="s">
        <v>55</v>
      </c>
      <c r="B150" s="832" t="s">
        <v>904</v>
      </c>
      <c r="C150" s="1075"/>
      <c r="D150" s="1075"/>
      <c r="E150" s="1075"/>
      <c r="F150" s="1063">
        <v>0.05</v>
      </c>
    </row>
    <row r="151" spans="1:6" ht="24.75" thickBot="1">
      <c r="A151" s="838" t="s">
        <v>55</v>
      </c>
      <c r="B151" s="832" t="s">
        <v>905</v>
      </c>
      <c r="C151" s="1075"/>
      <c r="D151" s="1075"/>
      <c r="E151" s="1075"/>
      <c r="F151" s="1063">
        <v>0.05</v>
      </c>
    </row>
    <row r="152" spans="1:6" ht="24.75" thickBot="1">
      <c r="A152" s="838" t="s">
        <v>55</v>
      </c>
      <c r="B152" s="832" t="s">
        <v>506</v>
      </c>
      <c r="C152" s="1075"/>
      <c r="D152" s="1075"/>
      <c r="E152" s="1075"/>
      <c r="F152" s="1063">
        <v>0.05</v>
      </c>
    </row>
    <row r="153" spans="1:6" ht="14.25" thickBot="1">
      <c r="A153" s="838" t="s">
        <v>55</v>
      </c>
      <c r="B153" s="832" t="s">
        <v>906</v>
      </c>
      <c r="C153" s="1075"/>
      <c r="D153" s="1075"/>
      <c r="E153" s="1075"/>
      <c r="F153" s="1063">
        <v>0.05</v>
      </c>
    </row>
    <row r="154" spans="1:6" ht="14.25" thickBot="1">
      <c r="A154" s="838" t="s">
        <v>55</v>
      </c>
      <c r="B154" s="832" t="s">
        <v>907</v>
      </c>
      <c r="C154" s="1075"/>
      <c r="D154" s="1075"/>
      <c r="E154" s="1075"/>
      <c r="F154" s="1063">
        <v>0.05</v>
      </c>
    </row>
    <row r="155" spans="1:6" ht="24.75" thickBot="1">
      <c r="A155" s="838" t="s">
        <v>55</v>
      </c>
      <c r="B155" s="832" t="s">
        <v>908</v>
      </c>
      <c r="C155" s="1075"/>
      <c r="D155" s="1075"/>
      <c r="E155" s="1075"/>
      <c r="F155" s="1063">
        <v>0.05</v>
      </c>
    </row>
    <row r="156" spans="1:6" ht="24.75" thickBot="1">
      <c r="A156" s="838" t="s">
        <v>55</v>
      </c>
      <c r="B156" s="832" t="s">
        <v>909</v>
      </c>
      <c r="C156" s="1075"/>
      <c r="D156" s="1075"/>
      <c r="E156" s="1075"/>
      <c r="F156" s="1063">
        <v>0.05</v>
      </c>
    </row>
    <row r="157" spans="1:6" ht="14.25" thickBot="1">
      <c r="A157" s="848" t="s">
        <v>55</v>
      </c>
      <c r="B157" s="844" t="s">
        <v>910</v>
      </c>
      <c r="C157" s="1072"/>
      <c r="D157" s="1072"/>
      <c r="E157" s="1072"/>
      <c r="F157" s="1065">
        <v>0.05</v>
      </c>
    </row>
    <row r="158" spans="1:6" ht="14.25" thickBot="1">
      <c r="A158" s="838" t="s">
        <v>525</v>
      </c>
      <c r="B158" s="839" t="s">
        <v>911</v>
      </c>
      <c r="C158" s="1060">
        <v>0.13</v>
      </c>
      <c r="D158" s="1060">
        <v>0.13</v>
      </c>
      <c r="E158" s="1060">
        <v>0.13</v>
      </c>
      <c r="F158" s="1061">
        <v>0.13</v>
      </c>
    </row>
    <row r="159" spans="1:6" ht="14.25" thickBot="1">
      <c r="A159" s="838" t="s">
        <v>525</v>
      </c>
      <c r="B159" s="832" t="s">
        <v>192</v>
      </c>
      <c r="C159" s="1062">
        <v>0.13</v>
      </c>
      <c r="D159" s="1062">
        <v>0.13</v>
      </c>
      <c r="E159" s="1062">
        <v>0.13</v>
      </c>
      <c r="F159" s="1063">
        <v>0.13</v>
      </c>
    </row>
    <row r="160" spans="1:6" ht="14.25" thickBot="1">
      <c r="A160" s="838" t="s">
        <v>525</v>
      </c>
      <c r="B160" s="832" t="s">
        <v>205</v>
      </c>
      <c r="C160" s="1062">
        <v>0.13</v>
      </c>
      <c r="D160" s="1062">
        <v>0.13</v>
      </c>
      <c r="E160" s="1062">
        <v>0.129</v>
      </c>
      <c r="F160" s="1063">
        <v>0.13</v>
      </c>
    </row>
    <row r="161" spans="1:6" ht="14.25" thickBot="1">
      <c r="A161" s="838" t="s">
        <v>525</v>
      </c>
      <c r="B161" s="832" t="s">
        <v>218</v>
      </c>
      <c r="C161" s="1062">
        <v>0.128</v>
      </c>
      <c r="D161" s="1062">
        <v>0.128</v>
      </c>
      <c r="E161" s="1062">
        <v>0.125</v>
      </c>
      <c r="F161" s="1063">
        <v>0.13</v>
      </c>
    </row>
    <row r="162" spans="1:6" ht="14.25" thickBot="1">
      <c r="A162" s="838" t="s">
        <v>525</v>
      </c>
      <c r="B162" s="832" t="s">
        <v>230</v>
      </c>
      <c r="C162" s="1062">
        <v>0.122</v>
      </c>
      <c r="D162" s="1062">
        <v>0.122</v>
      </c>
      <c r="E162" s="1062">
        <v>0.126</v>
      </c>
      <c r="F162" s="1063">
        <v>0.122</v>
      </c>
    </row>
    <row r="163" spans="1:6" ht="14.25" thickBot="1">
      <c r="A163" s="838" t="s">
        <v>525</v>
      </c>
      <c r="B163" s="832" t="s">
        <v>241</v>
      </c>
      <c r="C163" s="1062">
        <v>0.13</v>
      </c>
      <c r="D163" s="1062">
        <v>0.13</v>
      </c>
      <c r="E163" s="1062">
        <v>0.125</v>
      </c>
      <c r="F163" s="1063">
        <v>0.13</v>
      </c>
    </row>
    <row r="164" spans="1:6" ht="14.25" thickBot="1">
      <c r="A164" s="838" t="s">
        <v>525</v>
      </c>
      <c r="B164" s="832" t="s">
        <v>252</v>
      </c>
      <c r="C164" s="1062">
        <v>0.13</v>
      </c>
      <c r="D164" s="1062">
        <v>0.13</v>
      </c>
      <c r="E164" s="1062">
        <v>0.13</v>
      </c>
      <c r="F164" s="1063">
        <v>0.13</v>
      </c>
    </row>
    <row r="165" spans="1:6" ht="14.25" thickBot="1">
      <c r="A165" s="838" t="s">
        <v>525</v>
      </c>
      <c r="B165" s="832" t="s">
        <v>263</v>
      </c>
      <c r="C165" s="1062">
        <v>0.13</v>
      </c>
      <c r="D165" s="1062">
        <v>0.13</v>
      </c>
      <c r="E165" s="1062">
        <v>0.124</v>
      </c>
      <c r="F165" s="1063">
        <v>0.13</v>
      </c>
    </row>
    <row r="166" spans="1:6" ht="14.25" thickBot="1">
      <c r="A166" s="838" t="s">
        <v>525</v>
      </c>
      <c r="B166" s="832" t="s">
        <v>275</v>
      </c>
      <c r="C166" s="1062">
        <v>0.13</v>
      </c>
      <c r="D166" s="1062">
        <v>0.13</v>
      </c>
      <c r="E166" s="1062">
        <v>0.13</v>
      </c>
      <c r="F166" s="1063">
        <v>0.13</v>
      </c>
    </row>
    <row r="167" spans="1:6" ht="14.25" thickBot="1">
      <c r="A167" s="838" t="s">
        <v>525</v>
      </c>
      <c r="B167" s="832" t="s">
        <v>285</v>
      </c>
      <c r="C167" s="1062">
        <v>0.125</v>
      </c>
      <c r="D167" s="1062">
        <v>0.125</v>
      </c>
      <c r="E167" s="1062">
        <v>0.121</v>
      </c>
      <c r="F167" s="1074"/>
    </row>
    <row r="168" spans="1:6" ht="14.25" thickBot="1">
      <c r="A168" s="838" t="s">
        <v>525</v>
      </c>
      <c r="B168" s="832" t="s">
        <v>295</v>
      </c>
      <c r="C168" s="1062">
        <v>0.13</v>
      </c>
      <c r="D168" s="1062">
        <v>0.13</v>
      </c>
      <c r="E168" s="1062">
        <v>0.126</v>
      </c>
      <c r="F168" s="1074"/>
    </row>
    <row r="169" spans="1:6" ht="14.25" thickBot="1">
      <c r="A169" s="838" t="s">
        <v>525</v>
      </c>
      <c r="B169" s="832" t="s">
        <v>305</v>
      </c>
      <c r="C169" s="1062">
        <v>0.128</v>
      </c>
      <c r="D169" s="1062">
        <v>0.129</v>
      </c>
      <c r="E169" s="1062">
        <v>0.13</v>
      </c>
      <c r="F169" s="1074"/>
    </row>
    <row r="170" spans="1:6" ht="14.25" thickBot="1">
      <c r="A170" s="838" t="s">
        <v>525</v>
      </c>
      <c r="B170" s="832" t="s">
        <v>315</v>
      </c>
      <c r="C170" s="1062">
        <v>0.14099999999999999</v>
      </c>
      <c r="D170" s="1062">
        <v>0.13</v>
      </c>
      <c r="E170" s="1062">
        <v>0.125</v>
      </c>
      <c r="F170" s="1074"/>
    </row>
    <row r="171" spans="1:6" ht="14.25" thickBot="1">
      <c r="A171" s="838" t="s">
        <v>525</v>
      </c>
      <c r="B171" s="832" t="s">
        <v>912</v>
      </c>
      <c r="C171" s="1062">
        <v>0.127</v>
      </c>
      <c r="D171" s="1062">
        <v>0.126</v>
      </c>
      <c r="E171" s="1062">
        <v>0.126</v>
      </c>
      <c r="F171" s="1063">
        <v>0.11799999999999999</v>
      </c>
    </row>
    <row r="172" spans="1:6" ht="14.25" thickBot="1">
      <c r="A172" s="838" t="s">
        <v>525</v>
      </c>
      <c r="B172" s="832" t="s">
        <v>913</v>
      </c>
      <c r="C172" s="1062">
        <v>0.13</v>
      </c>
      <c r="D172" s="1062">
        <v>0.13</v>
      </c>
      <c r="E172" s="1062">
        <v>0.13</v>
      </c>
      <c r="F172" s="1074"/>
    </row>
    <row r="173" spans="1:6" ht="14.25" thickBot="1">
      <c r="A173" s="838" t="s">
        <v>525</v>
      </c>
      <c r="B173" s="832" t="s">
        <v>347</v>
      </c>
      <c r="C173" s="1062">
        <v>0.13</v>
      </c>
      <c r="D173" s="1062">
        <v>0.13</v>
      </c>
      <c r="E173" s="1062">
        <v>0.13</v>
      </c>
      <c r="F173" s="1074"/>
    </row>
    <row r="174" spans="1:6" ht="14.25" thickBot="1">
      <c r="A174" s="838" t="s">
        <v>525</v>
      </c>
      <c r="B174" s="832" t="s">
        <v>914</v>
      </c>
      <c r="C174" s="1062">
        <v>0.13</v>
      </c>
      <c r="D174" s="1062">
        <v>0.13</v>
      </c>
      <c r="E174" s="1062">
        <v>0.13</v>
      </c>
      <c r="F174" s="1063">
        <v>0.13</v>
      </c>
    </row>
    <row r="175" spans="1:6" ht="14.25" thickBot="1">
      <c r="A175" s="838" t="s">
        <v>525</v>
      </c>
      <c r="B175" s="832" t="s">
        <v>915</v>
      </c>
      <c r="C175" s="1062">
        <v>0.13</v>
      </c>
      <c r="D175" s="1062">
        <v>0.13</v>
      </c>
      <c r="E175" s="1062">
        <v>0.13</v>
      </c>
      <c r="F175" s="1063">
        <v>0.13</v>
      </c>
    </row>
    <row r="176" spans="1:6" ht="14.25" thickBot="1">
      <c r="A176" s="838" t="s">
        <v>525</v>
      </c>
      <c r="B176" s="832" t="s">
        <v>377</v>
      </c>
      <c r="C176" s="1062">
        <v>0.13</v>
      </c>
      <c r="D176" s="1062">
        <v>0.13</v>
      </c>
      <c r="E176" s="1062">
        <v>0.13</v>
      </c>
      <c r="F176" s="1063">
        <v>0.13</v>
      </c>
    </row>
    <row r="177" spans="1:6" ht="14.25" thickBot="1">
      <c r="A177" s="838" t="s">
        <v>525</v>
      </c>
      <c r="B177" s="832" t="s">
        <v>916</v>
      </c>
      <c r="C177" s="1062">
        <v>0.13</v>
      </c>
      <c r="D177" s="1062">
        <v>0.13</v>
      </c>
      <c r="E177" s="1062">
        <v>0.13</v>
      </c>
      <c r="F177" s="1063">
        <v>0.13</v>
      </c>
    </row>
    <row r="178" spans="1:6" ht="14.25" thickBot="1">
      <c r="A178" s="838" t="s">
        <v>525</v>
      </c>
      <c r="B178" s="832" t="s">
        <v>395</v>
      </c>
      <c r="C178" s="1062">
        <v>0.13</v>
      </c>
      <c r="D178" s="1062">
        <v>0.13</v>
      </c>
      <c r="E178" s="1062">
        <v>0.13</v>
      </c>
      <c r="F178" s="1063">
        <v>0.127</v>
      </c>
    </row>
    <row r="179" spans="1:6" ht="14.25" thickBot="1">
      <c r="A179" s="838" t="s">
        <v>525</v>
      </c>
      <c r="B179" s="832" t="s">
        <v>403</v>
      </c>
      <c r="C179" s="1062">
        <v>0.13</v>
      </c>
      <c r="D179" s="1062">
        <v>0.13</v>
      </c>
      <c r="E179" s="1062">
        <v>0.13</v>
      </c>
      <c r="F179" s="1074"/>
    </row>
    <row r="180" spans="1:6" ht="14.25" thickBot="1">
      <c r="A180" s="838" t="s">
        <v>525</v>
      </c>
      <c r="B180" s="832" t="s">
        <v>917</v>
      </c>
      <c r="C180" s="1062">
        <v>0.13</v>
      </c>
      <c r="D180" s="1062">
        <v>0.13</v>
      </c>
      <c r="E180" s="1062">
        <v>0.125</v>
      </c>
      <c r="F180" s="1063">
        <v>0.13</v>
      </c>
    </row>
    <row r="181" spans="1:6" ht="14.25" thickBot="1">
      <c r="A181" s="838" t="s">
        <v>525</v>
      </c>
      <c r="B181" s="832" t="s">
        <v>417</v>
      </c>
      <c r="C181" s="1062">
        <v>0.122</v>
      </c>
      <c r="D181" s="1062">
        <v>0.123</v>
      </c>
      <c r="E181" s="1062">
        <v>0.126</v>
      </c>
      <c r="F181" s="1063">
        <v>0.121</v>
      </c>
    </row>
    <row r="182" spans="1:6" ht="14.25" thickBot="1">
      <c r="A182" s="838" t="s">
        <v>525</v>
      </c>
      <c r="B182" s="832" t="s">
        <v>424</v>
      </c>
      <c r="C182" s="1062">
        <v>0.125</v>
      </c>
      <c r="D182" s="1062">
        <v>0.125</v>
      </c>
      <c r="E182" s="1062">
        <v>0.11700000000000001</v>
      </c>
      <c r="F182" s="1063">
        <v>0.13</v>
      </c>
    </row>
    <row r="183" spans="1:6" ht="14.25" thickBot="1">
      <c r="A183" s="838" t="s">
        <v>525</v>
      </c>
      <c r="B183" s="832" t="s">
        <v>431</v>
      </c>
      <c r="C183" s="1062">
        <v>0.127</v>
      </c>
      <c r="D183" s="1062">
        <v>0.127</v>
      </c>
      <c r="E183" s="1062">
        <v>0.128</v>
      </c>
      <c r="F183" s="1074"/>
    </row>
    <row r="184" spans="1:6" ht="14.25" thickBot="1">
      <c r="A184" s="838" t="s">
        <v>525</v>
      </c>
      <c r="B184" s="832" t="s">
        <v>438</v>
      </c>
      <c r="C184" s="1062">
        <v>0.125</v>
      </c>
      <c r="D184" s="1062">
        <v>0.125</v>
      </c>
      <c r="E184" s="1062">
        <v>0.127</v>
      </c>
      <c r="F184" s="1074"/>
    </row>
    <row r="185" spans="1:6" ht="14.25" thickBot="1">
      <c r="A185" s="838" t="s">
        <v>525</v>
      </c>
      <c r="B185" s="832" t="s">
        <v>918</v>
      </c>
      <c r="C185" s="1062">
        <v>0.127</v>
      </c>
      <c r="D185" s="1062">
        <v>0.127</v>
      </c>
      <c r="E185" s="1062">
        <v>0.128</v>
      </c>
      <c r="F185" s="1063">
        <v>0.13</v>
      </c>
    </row>
    <row r="186" spans="1:6" ht="24.75" thickBot="1">
      <c r="A186" s="838" t="s">
        <v>525</v>
      </c>
      <c r="B186" s="832" t="s">
        <v>919</v>
      </c>
      <c r="C186" s="1075"/>
      <c r="D186" s="1075"/>
      <c r="E186" s="1075"/>
      <c r="F186" s="1063">
        <v>0.05</v>
      </c>
    </row>
    <row r="187" spans="1:6" ht="14.25" thickBot="1">
      <c r="A187" s="838" t="s">
        <v>525</v>
      </c>
      <c r="B187" s="832" t="s">
        <v>920</v>
      </c>
      <c r="C187" s="1075"/>
      <c r="D187" s="1075"/>
      <c r="E187" s="1075"/>
      <c r="F187" s="1063">
        <v>0.05</v>
      </c>
    </row>
    <row r="188" spans="1:6" ht="14.25" thickBot="1">
      <c r="A188" s="838" t="s">
        <v>525</v>
      </c>
      <c r="B188" s="832" t="s">
        <v>921</v>
      </c>
      <c r="C188" s="1075"/>
      <c r="D188" s="1075"/>
      <c r="E188" s="1075"/>
      <c r="F188" s="1063">
        <v>0.05</v>
      </c>
    </row>
    <row r="189" spans="1:6" ht="24.75" thickBot="1">
      <c r="A189" s="838" t="s">
        <v>525</v>
      </c>
      <c r="B189" s="832" t="s">
        <v>922</v>
      </c>
      <c r="C189" s="1075"/>
      <c r="D189" s="1075"/>
      <c r="E189" s="1075"/>
      <c r="F189" s="1063">
        <v>0.05</v>
      </c>
    </row>
    <row r="190" spans="1:6" ht="24.75" thickBot="1">
      <c r="A190" s="838" t="s">
        <v>525</v>
      </c>
      <c r="B190" s="832" t="s">
        <v>923</v>
      </c>
      <c r="C190" s="1075"/>
      <c r="D190" s="1075"/>
      <c r="E190" s="1075"/>
      <c r="F190" s="1063">
        <v>0.05</v>
      </c>
    </row>
    <row r="191" spans="1:6" ht="24.75" thickBot="1">
      <c r="A191" s="838" t="s">
        <v>525</v>
      </c>
      <c r="B191" s="832" t="s">
        <v>924</v>
      </c>
      <c r="C191" s="1075"/>
      <c r="D191" s="1075"/>
      <c r="E191" s="1075"/>
      <c r="F191" s="1063">
        <v>0.05</v>
      </c>
    </row>
    <row r="192" spans="1:6" ht="24.75" thickBot="1">
      <c r="A192" s="838" t="s">
        <v>525</v>
      </c>
      <c r="B192" s="832" t="s">
        <v>925</v>
      </c>
      <c r="C192" s="1075"/>
      <c r="D192" s="1075"/>
      <c r="E192" s="1075"/>
      <c r="F192" s="1063">
        <v>0.05</v>
      </c>
    </row>
    <row r="193" spans="1:6" ht="24.75" thickBot="1">
      <c r="A193" s="838" t="s">
        <v>525</v>
      </c>
      <c r="B193" s="832" t="s">
        <v>926</v>
      </c>
      <c r="C193" s="1075"/>
      <c r="D193" s="1075"/>
      <c r="E193" s="1075"/>
      <c r="F193" s="1063">
        <v>0.05</v>
      </c>
    </row>
    <row r="194" spans="1:6" ht="24.75" thickBot="1">
      <c r="A194" s="838" t="s">
        <v>525</v>
      </c>
      <c r="B194" s="832" t="s">
        <v>927</v>
      </c>
      <c r="C194" s="1075"/>
      <c r="D194" s="1075"/>
      <c r="E194" s="1075"/>
      <c r="F194" s="1063">
        <v>0.05</v>
      </c>
    </row>
    <row r="195" spans="1:6" ht="14.25" thickBot="1">
      <c r="A195" s="838" t="s">
        <v>525</v>
      </c>
      <c r="B195" s="832" t="s">
        <v>928</v>
      </c>
      <c r="C195" s="1075"/>
      <c r="D195" s="1075"/>
      <c r="E195" s="1075"/>
      <c r="F195" s="1063">
        <v>0.05</v>
      </c>
    </row>
    <row r="196" spans="1:6" ht="24.75" thickBot="1">
      <c r="A196" s="838" t="s">
        <v>525</v>
      </c>
      <c r="B196" s="832" t="s">
        <v>929</v>
      </c>
      <c r="C196" s="1075"/>
      <c r="D196" s="1075"/>
      <c r="E196" s="1075"/>
      <c r="F196" s="1063">
        <v>0.05</v>
      </c>
    </row>
    <row r="197" spans="1:6" ht="24.75" thickBot="1">
      <c r="A197" s="838" t="s">
        <v>525</v>
      </c>
      <c r="B197" s="832" t="s">
        <v>930</v>
      </c>
      <c r="C197" s="1075"/>
      <c r="D197" s="1075"/>
      <c r="E197" s="1075"/>
      <c r="F197" s="1063">
        <v>0.05</v>
      </c>
    </row>
    <row r="198" spans="1:6" ht="24.75" thickBot="1">
      <c r="A198" s="838" t="s">
        <v>525</v>
      </c>
      <c r="B198" s="832" t="s">
        <v>931</v>
      </c>
      <c r="C198" s="1075"/>
      <c r="D198" s="1075"/>
      <c r="E198" s="1075"/>
      <c r="F198" s="1063">
        <v>0.05</v>
      </c>
    </row>
    <row r="199" spans="1:6" ht="24.75" thickBot="1">
      <c r="A199" s="838" t="s">
        <v>525</v>
      </c>
      <c r="B199" s="832" t="s">
        <v>932</v>
      </c>
      <c r="C199" s="1075"/>
      <c r="D199" s="1075"/>
      <c r="E199" s="1075"/>
      <c r="F199" s="1063">
        <v>0.05</v>
      </c>
    </row>
    <row r="200" spans="1:6" ht="24.75" thickBot="1">
      <c r="A200" s="838" t="s">
        <v>525</v>
      </c>
      <c r="B200" s="832" t="s">
        <v>933</v>
      </c>
      <c r="C200" s="1075"/>
      <c r="D200" s="1075"/>
      <c r="E200" s="1075"/>
      <c r="F200" s="1063">
        <v>0.05</v>
      </c>
    </row>
    <row r="201" spans="1:6" ht="24.75" thickBot="1">
      <c r="A201" s="838" t="s">
        <v>525</v>
      </c>
      <c r="B201" s="832" t="s">
        <v>934</v>
      </c>
      <c r="C201" s="1075"/>
      <c r="D201" s="1075"/>
      <c r="E201" s="1075"/>
      <c r="F201" s="1063">
        <v>0.05</v>
      </c>
    </row>
    <row r="202" spans="1:6" ht="24.75" thickBot="1">
      <c r="A202" s="838" t="s">
        <v>525</v>
      </c>
      <c r="B202" s="832" t="s">
        <v>935</v>
      </c>
      <c r="C202" s="1075"/>
      <c r="D202" s="1075"/>
      <c r="E202" s="1075"/>
      <c r="F202" s="1063">
        <v>0.05</v>
      </c>
    </row>
    <row r="203" spans="1:6" ht="24.75" thickBot="1">
      <c r="A203" s="838" t="s">
        <v>525</v>
      </c>
      <c r="B203" s="832" t="s">
        <v>936</v>
      </c>
      <c r="C203" s="1075"/>
      <c r="D203" s="1075"/>
      <c r="E203" s="1075"/>
      <c r="F203" s="1063">
        <v>0.05</v>
      </c>
    </row>
    <row r="204" spans="1:6" ht="14.25" thickBot="1">
      <c r="A204" s="838" t="s">
        <v>525</v>
      </c>
      <c r="B204" s="832" t="s">
        <v>937</v>
      </c>
      <c r="C204" s="1075"/>
      <c r="D204" s="1075"/>
      <c r="E204" s="1075"/>
      <c r="F204" s="1063">
        <v>0.05</v>
      </c>
    </row>
    <row r="205" spans="1:6" ht="14.25" thickBot="1">
      <c r="A205" s="848" t="s">
        <v>525</v>
      </c>
      <c r="B205" s="844" t="s">
        <v>938</v>
      </c>
      <c r="C205" s="1072"/>
      <c r="D205" s="1072"/>
      <c r="E205" s="1072"/>
      <c r="F205" s="1065">
        <v>0.05</v>
      </c>
    </row>
    <row r="206" spans="1:6" ht="14.25" thickBot="1">
      <c r="A206" s="838" t="s">
        <v>527</v>
      </c>
      <c r="B206" s="839" t="s">
        <v>939</v>
      </c>
      <c r="C206" s="1060">
        <v>0.15</v>
      </c>
      <c r="D206" s="1060">
        <v>0.15</v>
      </c>
      <c r="E206" s="1060">
        <v>0.15</v>
      </c>
      <c r="F206" s="1061">
        <v>0.15</v>
      </c>
    </row>
    <row r="207" spans="1:6" ht="14.25" thickBot="1">
      <c r="A207" s="838" t="s">
        <v>527</v>
      </c>
      <c r="B207" s="832" t="s">
        <v>193</v>
      </c>
      <c r="C207" s="1062">
        <v>0.15</v>
      </c>
      <c r="D207" s="1062">
        <v>0.15</v>
      </c>
      <c r="E207" s="1062">
        <v>0.15</v>
      </c>
      <c r="F207" s="1063">
        <v>0.14399999999999999</v>
      </c>
    </row>
    <row r="208" spans="1:6" ht="14.25" thickBot="1">
      <c r="A208" s="838" t="s">
        <v>527</v>
      </c>
      <c r="B208" s="832" t="s">
        <v>206</v>
      </c>
      <c r="C208" s="1062">
        <v>0.15</v>
      </c>
      <c r="D208" s="1062">
        <v>0.15</v>
      </c>
      <c r="E208" s="1062">
        <v>0.15</v>
      </c>
      <c r="F208" s="1063">
        <v>0.15</v>
      </c>
    </row>
    <row r="209" spans="1:6" ht="14.25" thickBot="1">
      <c r="A209" s="838" t="s">
        <v>527</v>
      </c>
      <c r="B209" s="832" t="s">
        <v>219</v>
      </c>
      <c r="C209" s="1062">
        <v>0.13700000000000001</v>
      </c>
      <c r="D209" s="1062">
        <v>0.13700000000000001</v>
      </c>
      <c r="E209" s="1062">
        <v>0.14000000000000001</v>
      </c>
      <c r="F209" s="1063">
        <v>0.11700000000000001</v>
      </c>
    </row>
    <row r="210" spans="1:6" ht="14.25" thickBot="1">
      <c r="A210" s="838" t="s">
        <v>527</v>
      </c>
      <c r="B210" s="832" t="s">
        <v>940</v>
      </c>
      <c r="C210" s="1062">
        <v>0.15</v>
      </c>
      <c r="D210" s="1062">
        <v>0.15</v>
      </c>
      <c r="E210" s="1062">
        <v>0.15</v>
      </c>
      <c r="F210" s="1063">
        <v>0.13800000000000001</v>
      </c>
    </row>
    <row r="211" spans="1:6" ht="14.25" thickBot="1">
      <c r="A211" s="838" t="s">
        <v>527</v>
      </c>
      <c r="B211" s="832" t="s">
        <v>941</v>
      </c>
      <c r="C211" s="1062">
        <v>0.13700000000000001</v>
      </c>
      <c r="D211" s="1062">
        <v>0.13500000000000001</v>
      </c>
      <c r="E211" s="1062">
        <v>0.13600000000000001</v>
      </c>
      <c r="F211" s="1063">
        <v>0.1</v>
      </c>
    </row>
    <row r="212" spans="1:6" ht="14.25" thickBot="1">
      <c r="A212" s="838" t="s">
        <v>527</v>
      </c>
      <c r="B212" s="832" t="s">
        <v>942</v>
      </c>
      <c r="C212" s="1062">
        <v>0.15</v>
      </c>
      <c r="D212" s="1062">
        <v>0.15</v>
      </c>
      <c r="E212" s="1062">
        <v>0.14799999999999999</v>
      </c>
      <c r="F212" s="1063">
        <v>0.13600000000000001</v>
      </c>
    </row>
    <row r="213" spans="1:6" ht="14.25" thickBot="1">
      <c r="A213" s="838" t="s">
        <v>527</v>
      </c>
      <c r="B213" s="832" t="s">
        <v>264</v>
      </c>
      <c r="C213" s="1062">
        <v>0.15</v>
      </c>
      <c r="D213" s="1062">
        <v>0.15</v>
      </c>
      <c r="E213" s="1062">
        <v>0.15</v>
      </c>
      <c r="F213" s="1063">
        <v>0.13800000000000001</v>
      </c>
    </row>
    <row r="214" spans="1:6" ht="14.25" thickBot="1">
      <c r="A214" s="838" t="s">
        <v>527</v>
      </c>
      <c r="B214" s="832" t="s">
        <v>276</v>
      </c>
      <c r="C214" s="1062">
        <v>9.0999999999999998E-2</v>
      </c>
      <c r="D214" s="1062">
        <v>0.09</v>
      </c>
      <c r="E214" s="1062">
        <v>9.1999999999999998E-2</v>
      </c>
      <c r="F214" s="1074"/>
    </row>
    <row r="215" spans="1:6" ht="14.25" thickBot="1">
      <c r="A215" s="838" t="s">
        <v>527</v>
      </c>
      <c r="B215" s="832" t="s">
        <v>943</v>
      </c>
      <c r="C215" s="1062">
        <v>0.15</v>
      </c>
      <c r="D215" s="1062">
        <v>0.15</v>
      </c>
      <c r="E215" s="1062">
        <v>0.15</v>
      </c>
      <c r="F215" s="1063">
        <v>0.15</v>
      </c>
    </row>
    <row r="216" spans="1:6" ht="14.25" thickBot="1">
      <c r="A216" s="838" t="s">
        <v>527</v>
      </c>
      <c r="B216" s="832" t="s">
        <v>296</v>
      </c>
      <c r="C216" s="1062">
        <v>0.14699999999999999</v>
      </c>
      <c r="D216" s="1062">
        <v>0.14699999999999999</v>
      </c>
      <c r="E216" s="1062">
        <v>0.15</v>
      </c>
      <c r="F216" s="1063">
        <v>0.14000000000000001</v>
      </c>
    </row>
    <row r="217" spans="1:6" ht="14.25" thickBot="1">
      <c r="A217" s="838" t="s">
        <v>527</v>
      </c>
      <c r="B217" s="832" t="s">
        <v>306</v>
      </c>
      <c r="C217" s="1062">
        <v>0.15</v>
      </c>
      <c r="D217" s="1062">
        <v>0.15</v>
      </c>
      <c r="E217" s="1062">
        <v>0.15</v>
      </c>
      <c r="F217" s="1063">
        <v>0.15</v>
      </c>
    </row>
    <row r="218" spans="1:6" ht="14.25" thickBot="1">
      <c r="A218" s="838" t="s">
        <v>527</v>
      </c>
      <c r="B218" s="832" t="s">
        <v>944</v>
      </c>
      <c r="C218" s="1062">
        <v>0.15</v>
      </c>
      <c r="D218" s="1062">
        <v>0.15</v>
      </c>
      <c r="E218" s="1062">
        <v>0.15</v>
      </c>
      <c r="F218" s="1063">
        <v>0.15</v>
      </c>
    </row>
    <row r="219" spans="1:6" ht="14.25" thickBot="1">
      <c r="A219" s="838" t="s">
        <v>527</v>
      </c>
      <c r="B219" s="832" t="s">
        <v>327</v>
      </c>
      <c r="C219" s="1062">
        <v>0.15</v>
      </c>
      <c r="D219" s="1062">
        <v>0.15</v>
      </c>
      <c r="E219" s="1062">
        <v>0.15</v>
      </c>
      <c r="F219" s="1063">
        <v>0.14799999999999999</v>
      </c>
    </row>
    <row r="220" spans="1:6" ht="14.25" thickBot="1">
      <c r="A220" s="838" t="s">
        <v>527</v>
      </c>
      <c r="B220" s="832" t="s">
        <v>945</v>
      </c>
      <c r="C220" s="1062">
        <v>0.15</v>
      </c>
      <c r="D220" s="1062">
        <v>0.15</v>
      </c>
      <c r="E220" s="1062">
        <v>0.15</v>
      </c>
      <c r="F220" s="1063">
        <v>0.15</v>
      </c>
    </row>
    <row r="221" spans="1:6" ht="14.25" thickBot="1">
      <c r="A221" s="838" t="s">
        <v>527</v>
      </c>
      <c r="B221" s="832" t="s">
        <v>348</v>
      </c>
      <c r="C221" s="1062"/>
      <c r="D221" s="1075"/>
      <c r="E221" s="1075"/>
      <c r="F221" s="1063">
        <v>0.14799999999999999</v>
      </c>
    </row>
    <row r="222" spans="1:6" ht="14.25" thickBot="1">
      <c r="A222" s="838" t="s">
        <v>527</v>
      </c>
      <c r="B222" s="832" t="s">
        <v>358</v>
      </c>
      <c r="C222" s="1062"/>
      <c r="D222" s="1075"/>
      <c r="E222" s="1075"/>
      <c r="F222" s="1063">
        <v>0.1</v>
      </c>
    </row>
    <row r="223" spans="1:6" ht="14.25" thickBot="1">
      <c r="A223" s="838" t="s">
        <v>527</v>
      </c>
      <c r="B223" s="832" t="s">
        <v>368</v>
      </c>
      <c r="C223" s="1062"/>
      <c r="D223" s="1075"/>
      <c r="E223" s="1075"/>
      <c r="F223" s="1063">
        <v>0.15</v>
      </c>
    </row>
    <row r="224" spans="1:6" ht="14.25" thickBot="1">
      <c r="A224" s="838" t="s">
        <v>527</v>
      </c>
      <c r="B224" s="832" t="s">
        <v>378</v>
      </c>
      <c r="C224" s="1062"/>
      <c r="D224" s="1075"/>
      <c r="E224" s="1075"/>
      <c r="F224" s="1063">
        <v>0.15</v>
      </c>
    </row>
    <row r="225" spans="1:6" ht="14.25" thickBot="1">
      <c r="A225" s="838" t="s">
        <v>527</v>
      </c>
      <c r="B225" s="832" t="s">
        <v>946</v>
      </c>
      <c r="C225" s="1062">
        <v>0.15</v>
      </c>
      <c r="D225" s="1062">
        <v>0.15</v>
      </c>
      <c r="E225" s="1062">
        <v>0.15</v>
      </c>
      <c r="F225" s="1063">
        <v>0.15</v>
      </c>
    </row>
    <row r="226" spans="1:6" ht="14.25" thickBot="1">
      <c r="A226" s="838" t="s">
        <v>527</v>
      </c>
      <c r="B226" s="832" t="s">
        <v>396</v>
      </c>
      <c r="C226" s="1062">
        <v>0.15</v>
      </c>
      <c r="D226" s="1062">
        <v>0.15</v>
      </c>
      <c r="E226" s="1062">
        <v>0.15</v>
      </c>
      <c r="F226" s="1063">
        <v>0.14799999999999999</v>
      </c>
    </row>
    <row r="227" spans="1:6" ht="14.25" thickBot="1">
      <c r="A227" s="838" t="s">
        <v>527</v>
      </c>
      <c r="B227" s="832" t="s">
        <v>947</v>
      </c>
      <c r="C227" s="1062">
        <v>0.15</v>
      </c>
      <c r="D227" s="1062">
        <v>0.15</v>
      </c>
      <c r="E227" s="1062">
        <v>0.15</v>
      </c>
      <c r="F227" s="1063">
        <v>0.15</v>
      </c>
    </row>
    <row r="228" spans="1:6" ht="14.25" thickBot="1">
      <c r="A228" s="838" t="s">
        <v>527</v>
      </c>
      <c r="B228" s="832" t="s">
        <v>411</v>
      </c>
      <c r="C228" s="1062">
        <v>0.15</v>
      </c>
      <c r="D228" s="1062">
        <v>0.15</v>
      </c>
      <c r="E228" s="1062">
        <v>0.15</v>
      </c>
      <c r="F228" s="1063">
        <v>0.15</v>
      </c>
    </row>
    <row r="229" spans="1:6" ht="14.25" thickBot="1">
      <c r="A229" s="838" t="s">
        <v>527</v>
      </c>
      <c r="B229" s="832" t="s">
        <v>418</v>
      </c>
      <c r="C229" s="1062">
        <v>0.15</v>
      </c>
      <c r="D229" s="1062">
        <v>0.15</v>
      </c>
      <c r="E229" s="1062">
        <v>0.15</v>
      </c>
      <c r="F229" s="1074"/>
    </row>
    <row r="230" spans="1:6" ht="14.25" thickBot="1">
      <c r="A230" s="838" t="s">
        <v>527</v>
      </c>
      <c r="B230" s="832" t="s">
        <v>425</v>
      </c>
      <c r="C230" s="1062">
        <v>0.14499999999999999</v>
      </c>
      <c r="D230" s="1062">
        <v>0.14499999999999999</v>
      </c>
      <c r="E230" s="1062">
        <v>0.14399999999999999</v>
      </c>
      <c r="F230" s="1074"/>
    </row>
    <row r="231" spans="1:6" ht="14.25" thickBot="1">
      <c r="A231" s="838" t="s">
        <v>527</v>
      </c>
      <c r="B231" s="832" t="s">
        <v>948</v>
      </c>
      <c r="C231" s="1062">
        <v>0.128</v>
      </c>
      <c r="D231" s="1062">
        <v>0.125</v>
      </c>
      <c r="E231" s="1062">
        <v>0.13200000000000001</v>
      </c>
      <c r="F231" s="1074"/>
    </row>
    <row r="232" spans="1:6" ht="14.25" thickBot="1">
      <c r="A232" s="838" t="s">
        <v>527</v>
      </c>
      <c r="B232" s="832" t="s">
        <v>949</v>
      </c>
      <c r="C232" s="1062">
        <v>0.14499999999999999</v>
      </c>
      <c r="D232" s="1062">
        <v>0.14399999999999999</v>
      </c>
      <c r="E232" s="1062">
        <v>0.14599999999999999</v>
      </c>
      <c r="F232" s="1063">
        <v>0.13800000000000001</v>
      </c>
    </row>
    <row r="233" spans="1:6" ht="14.25" thickBot="1">
      <c r="A233" s="838" t="s">
        <v>527</v>
      </c>
      <c r="B233" s="832" t="s">
        <v>950</v>
      </c>
      <c r="C233" s="1062">
        <v>0.14499999999999999</v>
      </c>
      <c r="D233" s="1062">
        <v>0.14299999999999999</v>
      </c>
      <c r="E233" s="1062">
        <v>0.14199999999999999</v>
      </c>
      <c r="F233" s="1074"/>
    </row>
    <row r="234" spans="1:6" ht="14.25" thickBot="1">
      <c r="A234" s="838" t="s">
        <v>527</v>
      </c>
      <c r="B234" s="832" t="s">
        <v>951</v>
      </c>
      <c r="C234" s="1062">
        <v>0.14000000000000001</v>
      </c>
      <c r="D234" s="1062">
        <v>0.14000000000000001</v>
      </c>
      <c r="E234" s="1062">
        <v>0.14399999999999999</v>
      </c>
      <c r="F234" s="1074"/>
    </row>
    <row r="235" spans="1:6" ht="14.25" thickBot="1">
      <c r="A235" s="838" t="s">
        <v>527</v>
      </c>
      <c r="B235" s="832" t="s">
        <v>952</v>
      </c>
      <c r="C235" s="1062">
        <v>0.14099999999999999</v>
      </c>
      <c r="D235" s="1062">
        <v>0.14199999999999999</v>
      </c>
      <c r="E235" s="1062">
        <v>0.14499999999999999</v>
      </c>
      <c r="F235" s="1063">
        <v>0.15</v>
      </c>
    </row>
    <row r="236" spans="1:6" ht="14.25" thickBot="1">
      <c r="A236" s="838" t="s">
        <v>527</v>
      </c>
      <c r="B236" s="832" t="s">
        <v>460</v>
      </c>
      <c r="C236" s="1075"/>
      <c r="D236" s="1075"/>
      <c r="E236" s="1075"/>
      <c r="F236" s="1063">
        <v>0.14299999999999999</v>
      </c>
    </row>
    <row r="237" spans="1:6" ht="24.75" thickBot="1">
      <c r="A237" s="838" t="s">
        <v>527</v>
      </c>
      <c r="B237" s="832" t="s">
        <v>953</v>
      </c>
      <c r="C237" s="1075"/>
      <c r="D237" s="1075"/>
      <c r="E237" s="1075"/>
      <c r="F237" s="1063">
        <v>0.05</v>
      </c>
    </row>
    <row r="238" spans="1:6" ht="24.75" thickBot="1">
      <c r="A238" s="838" t="s">
        <v>527</v>
      </c>
      <c r="B238" s="832" t="s">
        <v>954</v>
      </c>
      <c r="C238" s="1075"/>
      <c r="D238" s="1075"/>
      <c r="E238" s="1075"/>
      <c r="F238" s="1063">
        <v>0.05</v>
      </c>
    </row>
    <row r="239" spans="1:6" ht="24.75" thickBot="1">
      <c r="A239" s="838" t="s">
        <v>527</v>
      </c>
      <c r="B239" s="832" t="s">
        <v>955</v>
      </c>
      <c r="C239" s="1075"/>
      <c r="D239" s="1075"/>
      <c r="E239" s="1075"/>
      <c r="F239" s="1063">
        <v>0.05</v>
      </c>
    </row>
    <row r="240" spans="1:6" ht="24.75" thickBot="1">
      <c r="A240" s="838" t="s">
        <v>527</v>
      </c>
      <c r="B240" s="832" t="s">
        <v>956</v>
      </c>
      <c r="C240" s="1075"/>
      <c r="D240" s="1075"/>
      <c r="E240" s="1075"/>
      <c r="F240" s="1063">
        <v>0.05</v>
      </c>
    </row>
    <row r="241" spans="1:6" ht="24.75" thickBot="1">
      <c r="A241" s="838" t="s">
        <v>527</v>
      </c>
      <c r="B241" s="832" t="s">
        <v>957</v>
      </c>
      <c r="C241" s="1075"/>
      <c r="D241" s="1075"/>
      <c r="E241" s="1075"/>
      <c r="F241" s="1063">
        <v>0.05</v>
      </c>
    </row>
    <row r="242" spans="1:6" ht="24.75" thickBot="1">
      <c r="A242" s="838" t="s">
        <v>527</v>
      </c>
      <c r="B242" s="832" t="s">
        <v>958</v>
      </c>
      <c r="C242" s="1075"/>
      <c r="D242" s="1075"/>
      <c r="E242" s="1075"/>
      <c r="F242" s="1063">
        <v>0.05</v>
      </c>
    </row>
    <row r="243" spans="1:6" ht="24.75" thickBot="1">
      <c r="A243" s="838" t="s">
        <v>527</v>
      </c>
      <c r="B243" s="832" t="s">
        <v>959</v>
      </c>
      <c r="C243" s="1075"/>
      <c r="D243" s="1075"/>
      <c r="E243" s="1075"/>
      <c r="F243" s="1063">
        <v>0.05</v>
      </c>
    </row>
    <row r="244" spans="1:6" ht="24.75" thickBot="1">
      <c r="A244" s="848" t="s">
        <v>527</v>
      </c>
      <c r="B244" s="844" t="s">
        <v>960</v>
      </c>
      <c r="C244" s="1072"/>
      <c r="D244" s="1072"/>
      <c r="E244" s="1072"/>
      <c r="F244" s="1065">
        <v>0.05</v>
      </c>
    </row>
    <row r="245" spans="1:6" ht="14.25" thickBot="1">
      <c r="A245" s="838" t="s">
        <v>529</v>
      </c>
      <c r="B245" s="839" t="s">
        <v>961</v>
      </c>
      <c r="C245" s="1060">
        <v>0.15</v>
      </c>
      <c r="D245" s="1060">
        <v>0.15</v>
      </c>
      <c r="E245" s="1060">
        <v>0.15</v>
      </c>
      <c r="F245" s="1061">
        <v>0.14299999999999999</v>
      </c>
    </row>
    <row r="246" spans="1:6" ht="14.25" thickBot="1">
      <c r="A246" s="838" t="s">
        <v>529</v>
      </c>
      <c r="B246" s="832" t="s">
        <v>194</v>
      </c>
      <c r="C246" s="1062">
        <v>0.15</v>
      </c>
      <c r="D246" s="1062">
        <v>0.15</v>
      </c>
      <c r="E246" s="1062">
        <v>0.15</v>
      </c>
      <c r="F246" s="1063">
        <v>0.114</v>
      </c>
    </row>
    <row r="247" spans="1:6" ht="14.25" thickBot="1">
      <c r="A247" s="838" t="s">
        <v>529</v>
      </c>
      <c r="B247" s="832" t="s">
        <v>962</v>
      </c>
      <c r="C247" s="1062">
        <v>0.15</v>
      </c>
      <c r="D247" s="1062">
        <v>0.15</v>
      </c>
      <c r="E247" s="1062">
        <v>0.15</v>
      </c>
      <c r="F247" s="1063">
        <v>0.15</v>
      </c>
    </row>
    <row r="248" spans="1:6" ht="14.25" thickBot="1">
      <c r="A248" s="838" t="s">
        <v>529</v>
      </c>
      <c r="B248" s="832" t="s">
        <v>963</v>
      </c>
      <c r="C248" s="1062">
        <v>0.15</v>
      </c>
      <c r="D248" s="1062">
        <v>0.15</v>
      </c>
      <c r="E248" s="1062">
        <v>0.15</v>
      </c>
      <c r="F248" s="1063">
        <v>0.14000000000000001</v>
      </c>
    </row>
    <row r="249" spans="1:6" ht="14.25" thickBot="1">
      <c r="A249" s="838" t="s">
        <v>529</v>
      </c>
      <c r="B249" s="832" t="s">
        <v>964</v>
      </c>
      <c r="C249" s="1062">
        <v>0.15</v>
      </c>
      <c r="D249" s="1062">
        <v>0.14899999999999999</v>
      </c>
      <c r="E249" s="1062">
        <v>0.15</v>
      </c>
      <c r="F249" s="1063">
        <v>0.1</v>
      </c>
    </row>
    <row r="250" spans="1:6" ht="14.25" thickBot="1">
      <c r="A250" s="838" t="s">
        <v>529</v>
      </c>
      <c r="B250" s="832" t="s">
        <v>965</v>
      </c>
      <c r="C250" s="1062">
        <v>0.15</v>
      </c>
      <c r="D250" s="1062">
        <v>0.15</v>
      </c>
      <c r="E250" s="1062">
        <v>0.15</v>
      </c>
      <c r="F250" s="1063">
        <v>0.14399999999999999</v>
      </c>
    </row>
    <row r="251" spans="1:6" ht="14.25" thickBot="1">
      <c r="A251" s="838" t="s">
        <v>529</v>
      </c>
      <c r="B251" s="832" t="s">
        <v>254</v>
      </c>
      <c r="C251" s="1062">
        <v>0.15</v>
      </c>
      <c r="D251" s="1062">
        <v>0.15</v>
      </c>
      <c r="E251" s="1062">
        <v>0.15</v>
      </c>
      <c r="F251" s="1063">
        <v>0.14299999999999999</v>
      </c>
    </row>
    <row r="252" spans="1:6" ht="14.25" thickBot="1">
      <c r="A252" s="838" t="s">
        <v>529</v>
      </c>
      <c r="B252" s="832" t="s">
        <v>265</v>
      </c>
      <c r="C252" s="1062">
        <v>0.15</v>
      </c>
      <c r="D252" s="1062">
        <v>0.15</v>
      </c>
      <c r="E252" s="1062">
        <v>0.15</v>
      </c>
      <c r="F252" s="1063">
        <v>0.1</v>
      </c>
    </row>
    <row r="253" spans="1:6" ht="14.25" thickBot="1">
      <c r="A253" s="838" t="s">
        <v>529</v>
      </c>
      <c r="B253" s="832" t="s">
        <v>277</v>
      </c>
      <c r="C253" s="1062">
        <v>0.15</v>
      </c>
      <c r="D253" s="1062">
        <v>0.15</v>
      </c>
      <c r="E253" s="1062">
        <v>0.15</v>
      </c>
      <c r="F253" s="1063">
        <v>0.1</v>
      </c>
    </row>
    <row r="254" spans="1:6" ht="14.25" thickBot="1">
      <c r="A254" s="838" t="s">
        <v>529</v>
      </c>
      <c r="B254" s="832" t="s">
        <v>287</v>
      </c>
      <c r="C254" s="1075"/>
      <c r="D254" s="1075"/>
      <c r="E254" s="1075"/>
      <c r="F254" s="1063">
        <v>0.15</v>
      </c>
    </row>
    <row r="255" spans="1:6" ht="14.25" thickBot="1">
      <c r="A255" s="838" t="s">
        <v>529</v>
      </c>
      <c r="B255" s="832" t="s">
        <v>297</v>
      </c>
      <c r="C255" s="1075"/>
      <c r="D255" s="1075"/>
      <c r="E255" s="1075"/>
      <c r="F255" s="1063">
        <v>0.14299999999999999</v>
      </c>
    </row>
    <row r="256" spans="1:6" ht="14.25" thickBot="1">
      <c r="A256" s="838" t="s">
        <v>529</v>
      </c>
      <c r="B256" s="832" t="s">
        <v>966</v>
      </c>
      <c r="C256" s="1062">
        <v>0.14599999999999999</v>
      </c>
      <c r="D256" s="1062">
        <v>0.14699999999999999</v>
      </c>
      <c r="E256" s="1062">
        <v>0.15</v>
      </c>
      <c r="F256" s="1063">
        <v>0.13200000000000001</v>
      </c>
    </row>
    <row r="257" spans="1:6" ht="14.25" thickBot="1">
      <c r="A257" s="838" t="s">
        <v>529</v>
      </c>
      <c r="B257" s="832" t="s">
        <v>317</v>
      </c>
      <c r="C257" s="1062">
        <v>0.15</v>
      </c>
      <c r="D257" s="1062">
        <v>0.15</v>
      </c>
      <c r="E257" s="1062">
        <v>0.15</v>
      </c>
      <c r="F257" s="1063">
        <v>0.13900000000000001</v>
      </c>
    </row>
    <row r="258" spans="1:6" ht="14.25" thickBot="1">
      <c r="A258" s="838" t="s">
        <v>529</v>
      </c>
      <c r="B258" s="832" t="s">
        <v>328</v>
      </c>
      <c r="C258" s="1062">
        <v>0.15</v>
      </c>
      <c r="D258" s="1062">
        <v>0.15</v>
      </c>
      <c r="E258" s="1062">
        <v>0.15</v>
      </c>
      <c r="F258" s="1063">
        <v>0.13</v>
      </c>
    </row>
    <row r="259" spans="1:6" ht="14.25" thickBot="1">
      <c r="A259" s="838" t="s">
        <v>529</v>
      </c>
      <c r="B259" s="832" t="s">
        <v>967</v>
      </c>
      <c r="C259" s="1062">
        <v>0.14799999999999999</v>
      </c>
      <c r="D259" s="1062">
        <v>0.14899999999999999</v>
      </c>
      <c r="E259" s="1062">
        <v>0.15</v>
      </c>
      <c r="F259" s="1063">
        <v>0.13700000000000001</v>
      </c>
    </row>
    <row r="260" spans="1:6" ht="14.25" thickBot="1">
      <c r="A260" s="838" t="s">
        <v>529</v>
      </c>
      <c r="B260" s="832" t="s">
        <v>349</v>
      </c>
      <c r="C260" s="1062">
        <v>0.15</v>
      </c>
      <c r="D260" s="1062">
        <v>0.15</v>
      </c>
      <c r="E260" s="1062">
        <v>0.15</v>
      </c>
      <c r="F260" s="1063">
        <v>0.14199999999999999</v>
      </c>
    </row>
    <row r="261" spans="1:6" ht="14.25" thickBot="1">
      <c r="A261" s="838" t="s">
        <v>529</v>
      </c>
      <c r="B261" s="832" t="s">
        <v>359</v>
      </c>
      <c r="C261" s="1062">
        <v>0.15</v>
      </c>
      <c r="D261" s="1062">
        <v>0.15</v>
      </c>
      <c r="E261" s="1062">
        <v>0.14899999999999999</v>
      </c>
      <c r="F261" s="1063">
        <v>0.14799999999999999</v>
      </c>
    </row>
    <row r="262" spans="1:6" ht="14.25" thickBot="1">
      <c r="A262" s="838" t="s">
        <v>529</v>
      </c>
      <c r="B262" s="832" t="s">
        <v>369</v>
      </c>
      <c r="C262" s="1062">
        <v>0.15</v>
      </c>
      <c r="D262" s="1062">
        <v>0.15</v>
      </c>
      <c r="E262" s="1062">
        <v>0.15</v>
      </c>
      <c r="F262" s="1074"/>
    </row>
    <row r="263" spans="1:6" ht="14.25" thickBot="1">
      <c r="A263" s="838" t="s">
        <v>529</v>
      </c>
      <c r="B263" s="832" t="s">
        <v>968</v>
      </c>
      <c r="C263" s="1062">
        <v>0.14899999999999999</v>
      </c>
      <c r="D263" s="1062">
        <v>0.14899999999999999</v>
      </c>
      <c r="E263" s="1062">
        <v>0.15</v>
      </c>
      <c r="F263" s="1063">
        <v>0.13</v>
      </c>
    </row>
    <row r="264" spans="1:6" ht="14.25" thickBot="1">
      <c r="A264" s="838" t="s">
        <v>529</v>
      </c>
      <c r="B264" s="832" t="s">
        <v>388</v>
      </c>
      <c r="C264" s="1062">
        <v>0.14799999999999999</v>
      </c>
      <c r="D264" s="1062">
        <v>0.14699999999999999</v>
      </c>
      <c r="E264" s="1062">
        <v>0.15</v>
      </c>
      <c r="F264" s="1063">
        <v>7.8E-2</v>
      </c>
    </row>
    <row r="265" spans="1:6" ht="14.25" thickBot="1">
      <c r="A265" s="838" t="s">
        <v>529</v>
      </c>
      <c r="B265" s="832" t="s">
        <v>397</v>
      </c>
      <c r="C265" s="1062">
        <v>0.15</v>
      </c>
      <c r="D265" s="1062">
        <v>0.15</v>
      </c>
      <c r="E265" s="1062">
        <v>0.15</v>
      </c>
      <c r="F265" s="1063">
        <v>7.3999999999999996E-2</v>
      </c>
    </row>
    <row r="266" spans="1:6" ht="14.25" thickBot="1">
      <c r="A266" s="838" t="s">
        <v>529</v>
      </c>
      <c r="B266" s="832" t="s">
        <v>405</v>
      </c>
      <c r="C266" s="1062">
        <v>0.14699999999999999</v>
      </c>
      <c r="D266" s="1062">
        <v>0.14699999999999999</v>
      </c>
      <c r="E266" s="1062">
        <v>0.15</v>
      </c>
      <c r="F266" s="1063">
        <v>0.14299999999999999</v>
      </c>
    </row>
    <row r="267" spans="1:6" ht="14.25" thickBot="1">
      <c r="A267" s="838" t="s">
        <v>529</v>
      </c>
      <c r="B267" s="832" t="s">
        <v>412</v>
      </c>
      <c r="C267" s="1062">
        <v>0.14199999999999999</v>
      </c>
      <c r="D267" s="1062">
        <v>0.14299999999999999</v>
      </c>
      <c r="E267" s="1062">
        <v>0.15</v>
      </c>
      <c r="F267" s="1074"/>
    </row>
    <row r="268" spans="1:6" ht="14.25" thickBot="1">
      <c r="A268" s="838" t="s">
        <v>529</v>
      </c>
      <c r="B268" s="832" t="s">
        <v>969</v>
      </c>
      <c r="C268" s="1062">
        <v>0.15</v>
      </c>
      <c r="D268" s="1062">
        <v>0.15</v>
      </c>
      <c r="E268" s="1062">
        <v>0.15</v>
      </c>
      <c r="F268" s="1063">
        <v>0.13</v>
      </c>
    </row>
    <row r="269" spans="1:6" ht="14.25" thickBot="1">
      <c r="A269" s="838" t="s">
        <v>529</v>
      </c>
      <c r="B269" s="832" t="s">
        <v>426</v>
      </c>
      <c r="C269" s="1062">
        <v>0.15</v>
      </c>
      <c r="D269" s="1062">
        <v>0.15</v>
      </c>
      <c r="E269" s="1062">
        <v>0.15</v>
      </c>
      <c r="F269" s="1063">
        <v>0.14299999999999999</v>
      </c>
    </row>
    <row r="270" spans="1:6" ht="14.25" thickBot="1">
      <c r="A270" s="838" t="s">
        <v>529</v>
      </c>
      <c r="B270" s="832" t="s">
        <v>433</v>
      </c>
      <c r="C270" s="1062">
        <v>0.14499999999999999</v>
      </c>
      <c r="D270" s="1062">
        <v>0.14499999999999999</v>
      </c>
      <c r="E270" s="1062">
        <v>0.15</v>
      </c>
      <c r="F270" s="1063">
        <v>0.14699999999999999</v>
      </c>
    </row>
    <row r="271" spans="1:6" ht="14.25" thickBot="1">
      <c r="A271" s="838" t="s">
        <v>529</v>
      </c>
      <c r="B271" s="832" t="s">
        <v>440</v>
      </c>
      <c r="C271" s="1062">
        <v>0.15</v>
      </c>
      <c r="D271" s="1062">
        <v>0.15</v>
      </c>
      <c r="E271" s="1062">
        <v>0.15</v>
      </c>
      <c r="F271" s="1063">
        <v>0.13800000000000001</v>
      </c>
    </row>
    <row r="272" spans="1:6" ht="14.25" thickBot="1">
      <c r="A272" s="838" t="s">
        <v>529</v>
      </c>
      <c r="B272" s="832" t="s">
        <v>447</v>
      </c>
      <c r="C272" s="1075"/>
      <c r="D272" s="1075"/>
      <c r="E272" s="1075"/>
      <c r="F272" s="1063">
        <v>0.14000000000000001</v>
      </c>
    </row>
    <row r="273" spans="1:6" ht="14.25" thickBot="1">
      <c r="A273" s="838" t="s">
        <v>529</v>
      </c>
      <c r="B273" s="832" t="s">
        <v>970</v>
      </c>
      <c r="C273" s="1062">
        <v>0.14199999999999999</v>
      </c>
      <c r="D273" s="1062">
        <v>0.14299999999999999</v>
      </c>
      <c r="E273" s="1062">
        <v>0.15</v>
      </c>
      <c r="F273" s="1063">
        <v>0.1</v>
      </c>
    </row>
    <row r="274" spans="1:6" ht="14.25" thickBot="1">
      <c r="A274" s="838" t="s">
        <v>529</v>
      </c>
      <c r="B274" s="832" t="s">
        <v>971</v>
      </c>
      <c r="C274" s="1062">
        <v>0.14799999999999999</v>
      </c>
      <c r="D274" s="1062">
        <v>0.14799999999999999</v>
      </c>
      <c r="E274" s="1062">
        <v>0.15</v>
      </c>
      <c r="F274" s="1063">
        <v>6.7000000000000004E-2</v>
      </c>
    </row>
    <row r="275" spans="1:6" ht="14.25" thickBot="1">
      <c r="A275" s="838" t="s">
        <v>529</v>
      </c>
      <c r="B275" s="832" t="s">
        <v>972</v>
      </c>
      <c r="C275" s="1062">
        <v>0.15</v>
      </c>
      <c r="D275" s="1062">
        <v>0.15</v>
      </c>
      <c r="E275" s="1062">
        <v>0.15</v>
      </c>
      <c r="F275" s="1063">
        <v>0.15</v>
      </c>
    </row>
    <row r="276" spans="1:6" ht="14.25" thickBot="1">
      <c r="A276" s="838" t="s">
        <v>529</v>
      </c>
      <c r="B276" s="832" t="s">
        <v>973</v>
      </c>
      <c r="C276" s="1062">
        <v>0.14499999999999999</v>
      </c>
      <c r="D276" s="1062">
        <v>0.14299999999999999</v>
      </c>
      <c r="E276" s="1062">
        <v>0.15</v>
      </c>
      <c r="F276" s="1063">
        <v>5.8999999999999997E-2</v>
      </c>
    </row>
    <row r="277" spans="1:6" ht="14.25" thickBot="1">
      <c r="A277" s="838" t="s">
        <v>529</v>
      </c>
      <c r="B277" s="832" t="s">
        <v>974</v>
      </c>
      <c r="C277" s="1062">
        <v>0.15</v>
      </c>
      <c r="D277" s="1062">
        <v>0.15</v>
      </c>
      <c r="E277" s="1062">
        <v>0.15</v>
      </c>
      <c r="F277" s="1063">
        <v>0.121</v>
      </c>
    </row>
    <row r="278" spans="1:6" ht="14.25" thickBot="1">
      <c r="A278" s="838" t="s">
        <v>529</v>
      </c>
      <c r="B278" s="832" t="s">
        <v>975</v>
      </c>
      <c r="C278" s="1062">
        <v>0.15</v>
      </c>
      <c r="D278" s="1062">
        <v>0.15</v>
      </c>
      <c r="E278" s="1062">
        <v>0.15</v>
      </c>
      <c r="F278" s="1063">
        <v>0.13800000000000001</v>
      </c>
    </row>
    <row r="279" spans="1:6" ht="24.75" thickBot="1">
      <c r="A279" s="838" t="s">
        <v>529</v>
      </c>
      <c r="B279" s="832" t="s">
        <v>976</v>
      </c>
      <c r="C279" s="1075"/>
      <c r="D279" s="1075"/>
      <c r="E279" s="1075"/>
      <c r="F279" s="1063">
        <v>0.05</v>
      </c>
    </row>
    <row r="280" spans="1:6" ht="24.75" thickBot="1">
      <c r="A280" s="838" t="s">
        <v>529</v>
      </c>
      <c r="B280" s="832" t="s">
        <v>977</v>
      </c>
      <c r="C280" s="1075"/>
      <c r="D280" s="1075"/>
      <c r="E280" s="1075"/>
      <c r="F280" s="1063">
        <v>0.05</v>
      </c>
    </row>
    <row r="281" spans="1:6" ht="24.75" thickBot="1">
      <c r="A281" s="838" t="s">
        <v>529</v>
      </c>
      <c r="B281" s="832" t="s">
        <v>978</v>
      </c>
      <c r="C281" s="1075"/>
      <c r="D281" s="1075"/>
      <c r="E281" s="1075"/>
      <c r="F281" s="1063">
        <v>0.05</v>
      </c>
    </row>
    <row r="282" spans="1:6" ht="24.75" thickBot="1">
      <c r="A282" s="838" t="s">
        <v>529</v>
      </c>
      <c r="B282" s="832" t="s">
        <v>979</v>
      </c>
      <c r="C282" s="1075"/>
      <c r="D282" s="1075"/>
      <c r="E282" s="1075"/>
      <c r="F282" s="1063">
        <v>0.05</v>
      </c>
    </row>
    <row r="283" spans="1:6" ht="24.75" thickBot="1">
      <c r="A283" s="838" t="s">
        <v>529</v>
      </c>
      <c r="B283" s="832" t="s">
        <v>980</v>
      </c>
      <c r="C283" s="1075"/>
      <c r="D283" s="1075"/>
      <c r="E283" s="1075"/>
      <c r="F283" s="1063">
        <v>0.05</v>
      </c>
    </row>
    <row r="284" spans="1:6" ht="24.75" thickBot="1">
      <c r="A284" s="838" t="s">
        <v>529</v>
      </c>
      <c r="B284" s="832" t="s">
        <v>981</v>
      </c>
      <c r="C284" s="1075"/>
      <c r="D284" s="1075"/>
      <c r="E284" s="1075"/>
      <c r="F284" s="1063">
        <v>0.05</v>
      </c>
    </row>
    <row r="285" spans="1:6" ht="24.75" thickBot="1">
      <c r="A285" s="838" t="s">
        <v>529</v>
      </c>
      <c r="B285" s="832" t="s">
        <v>982</v>
      </c>
      <c r="C285" s="1075"/>
      <c r="D285" s="1075"/>
      <c r="E285" s="1075"/>
      <c r="F285" s="1063">
        <v>0.05</v>
      </c>
    </row>
    <row r="286" spans="1:6" ht="24.75" thickBot="1">
      <c r="A286" s="838" t="s">
        <v>529</v>
      </c>
      <c r="B286" s="832" t="s">
        <v>983</v>
      </c>
      <c r="C286" s="1075"/>
      <c r="D286" s="1075"/>
      <c r="E286" s="1075"/>
      <c r="F286" s="1063">
        <v>0.05</v>
      </c>
    </row>
    <row r="287" spans="1:6" ht="24.75" thickBot="1">
      <c r="A287" s="838" t="s">
        <v>529</v>
      </c>
      <c r="B287" s="832" t="s">
        <v>984</v>
      </c>
      <c r="C287" s="1075"/>
      <c r="D287" s="1075"/>
      <c r="E287" s="1075"/>
      <c r="F287" s="1063">
        <v>0.05</v>
      </c>
    </row>
    <row r="288" spans="1:6" ht="24.75" thickBot="1">
      <c r="A288" s="838" t="s">
        <v>529</v>
      </c>
      <c r="B288" s="832" t="s">
        <v>985</v>
      </c>
      <c r="C288" s="1075"/>
      <c r="D288" s="1075"/>
      <c r="E288" s="1075"/>
      <c r="F288" s="1063">
        <v>0.05</v>
      </c>
    </row>
    <row r="289" spans="1:6" ht="24.75" thickBot="1">
      <c r="A289" s="848" t="s">
        <v>529</v>
      </c>
      <c r="B289" s="844" t="s">
        <v>986</v>
      </c>
      <c r="C289" s="1072"/>
      <c r="D289" s="1072"/>
      <c r="E289" s="1072"/>
      <c r="F289" s="1065">
        <v>0.05</v>
      </c>
    </row>
    <row r="290" spans="1:6" ht="14.25" thickBot="1">
      <c r="A290" s="838" t="s">
        <v>533</v>
      </c>
      <c r="B290" s="839" t="s">
        <v>987</v>
      </c>
      <c r="C290" s="1060">
        <v>0.15</v>
      </c>
      <c r="D290" s="1060">
        <v>0.15</v>
      </c>
      <c r="E290" s="1060">
        <v>0.15</v>
      </c>
      <c r="F290" s="1077"/>
    </row>
    <row r="291" spans="1:6" ht="14.25" thickBot="1">
      <c r="A291" s="838" t="s">
        <v>533</v>
      </c>
      <c r="B291" s="832" t="s">
        <v>195</v>
      </c>
      <c r="C291" s="1062">
        <v>0.15</v>
      </c>
      <c r="D291" s="1062">
        <v>0.15</v>
      </c>
      <c r="E291" s="1062">
        <v>0.15</v>
      </c>
      <c r="F291" s="1074"/>
    </row>
    <row r="292" spans="1:6" ht="14.25" thickBot="1">
      <c r="A292" s="838" t="s">
        <v>533</v>
      </c>
      <c r="B292" s="832" t="s">
        <v>988</v>
      </c>
      <c r="C292" s="1062">
        <v>0.15</v>
      </c>
      <c r="D292" s="1062">
        <v>0.15</v>
      </c>
      <c r="E292" s="1062">
        <v>0.15</v>
      </c>
      <c r="F292" s="1063">
        <v>0.14699999999999999</v>
      </c>
    </row>
    <row r="293" spans="1:6" ht="14.25" thickBot="1">
      <c r="A293" s="838" t="s">
        <v>533</v>
      </c>
      <c r="B293" s="832" t="s">
        <v>989</v>
      </c>
      <c r="C293" s="1075"/>
      <c r="D293" s="1075"/>
      <c r="E293" s="1075"/>
      <c r="F293" s="1063">
        <v>0.1</v>
      </c>
    </row>
    <row r="294" spans="1:6" ht="14.25" thickBot="1">
      <c r="A294" s="838" t="s">
        <v>533</v>
      </c>
      <c r="B294" s="832" t="s">
        <v>990</v>
      </c>
      <c r="C294" s="1062">
        <v>0.15</v>
      </c>
      <c r="D294" s="1062">
        <v>0.15</v>
      </c>
      <c r="E294" s="1062">
        <v>0.15</v>
      </c>
      <c r="F294" s="1063">
        <v>0.15</v>
      </c>
    </row>
    <row r="295" spans="1:6" ht="14.25" thickBot="1">
      <c r="A295" s="838" t="s">
        <v>533</v>
      </c>
      <c r="B295" s="832" t="s">
        <v>233</v>
      </c>
      <c r="C295" s="1062">
        <v>0.15</v>
      </c>
      <c r="D295" s="1062">
        <v>0.15</v>
      </c>
      <c r="E295" s="1062">
        <v>0.15</v>
      </c>
      <c r="F295" s="1063">
        <v>0.15</v>
      </c>
    </row>
    <row r="296" spans="1:6" ht="14.25" thickBot="1">
      <c r="A296" s="838" t="s">
        <v>533</v>
      </c>
      <c r="B296" s="832" t="s">
        <v>991</v>
      </c>
      <c r="C296" s="1062">
        <v>0.15</v>
      </c>
      <c r="D296" s="1062">
        <v>0.15</v>
      </c>
      <c r="E296" s="1062">
        <v>0.15</v>
      </c>
      <c r="F296" s="1063">
        <v>0.15</v>
      </c>
    </row>
    <row r="297" spans="1:6" ht="14.25" thickBot="1">
      <c r="A297" s="838" t="s">
        <v>533</v>
      </c>
      <c r="B297" s="832" t="s">
        <v>992</v>
      </c>
      <c r="C297" s="1062">
        <v>0.14799999999999999</v>
      </c>
      <c r="D297" s="1062">
        <v>0.14899999999999999</v>
      </c>
      <c r="E297" s="1062">
        <v>0.15</v>
      </c>
      <c r="F297" s="1063">
        <v>0.13700000000000001</v>
      </c>
    </row>
    <row r="298" spans="1:6" ht="14.25" thickBot="1">
      <c r="A298" s="838" t="s">
        <v>533</v>
      </c>
      <c r="B298" s="832" t="s">
        <v>266</v>
      </c>
      <c r="C298" s="1062">
        <v>0.13400000000000001</v>
      </c>
      <c r="D298" s="1062">
        <v>0.13400000000000001</v>
      </c>
      <c r="E298" s="1062">
        <v>0.14499999999999999</v>
      </c>
      <c r="F298" s="1063">
        <v>0.14799999999999999</v>
      </c>
    </row>
    <row r="299" spans="1:6" ht="14.25" thickBot="1">
      <c r="A299" s="838" t="s">
        <v>533</v>
      </c>
      <c r="B299" s="832" t="s">
        <v>278</v>
      </c>
      <c r="C299" s="1062">
        <v>0.15</v>
      </c>
      <c r="D299" s="1062">
        <v>0.15</v>
      </c>
      <c r="E299" s="1062">
        <v>0.15</v>
      </c>
      <c r="F299" s="1074"/>
    </row>
    <row r="300" spans="1:6" ht="14.25" thickBot="1">
      <c r="A300" s="838" t="s">
        <v>533</v>
      </c>
      <c r="B300" s="832" t="s">
        <v>993</v>
      </c>
      <c r="C300" s="1062">
        <v>0.15</v>
      </c>
      <c r="D300" s="1062">
        <v>0.15</v>
      </c>
      <c r="E300" s="1062">
        <v>0.15</v>
      </c>
      <c r="F300" s="1063">
        <v>0.15</v>
      </c>
    </row>
    <row r="301" spans="1:6" ht="14.25" thickBot="1">
      <c r="A301" s="838" t="s">
        <v>533</v>
      </c>
      <c r="B301" s="832" t="s">
        <v>298</v>
      </c>
      <c r="C301" s="1062">
        <v>0.15</v>
      </c>
      <c r="D301" s="1062">
        <v>0.15</v>
      </c>
      <c r="E301" s="1062">
        <v>0.15</v>
      </c>
      <c r="F301" s="1074"/>
    </row>
    <row r="302" spans="1:6" ht="14.25" thickBot="1">
      <c r="A302" s="838" t="s">
        <v>533</v>
      </c>
      <c r="B302" s="832" t="s">
        <v>994</v>
      </c>
      <c r="C302" s="1062">
        <v>0.15</v>
      </c>
      <c r="D302" s="1062">
        <v>0.15</v>
      </c>
      <c r="E302" s="1062">
        <v>0.15</v>
      </c>
      <c r="F302" s="1063">
        <v>0.15</v>
      </c>
    </row>
    <row r="303" spans="1:6" ht="14.25" thickBot="1">
      <c r="A303" s="838" t="s">
        <v>533</v>
      </c>
      <c r="B303" s="832" t="s">
        <v>318</v>
      </c>
      <c r="C303" s="1062">
        <v>0.15</v>
      </c>
      <c r="D303" s="1062">
        <v>0.15</v>
      </c>
      <c r="E303" s="1062">
        <v>0.15</v>
      </c>
      <c r="F303" s="1063">
        <v>0.15</v>
      </c>
    </row>
    <row r="304" spans="1:6" ht="14.25" thickBot="1">
      <c r="A304" s="838" t="s">
        <v>533</v>
      </c>
      <c r="B304" s="832" t="s">
        <v>329</v>
      </c>
      <c r="C304" s="1062">
        <v>0.15</v>
      </c>
      <c r="D304" s="1062">
        <v>0.15</v>
      </c>
      <c r="E304" s="1062">
        <v>0.15</v>
      </c>
      <c r="F304" s="1074"/>
    </row>
    <row r="305" spans="1:6" ht="14.25" thickBot="1">
      <c r="A305" s="838" t="s">
        <v>533</v>
      </c>
      <c r="B305" s="832" t="s">
        <v>995</v>
      </c>
      <c r="C305" s="1062">
        <v>0.15</v>
      </c>
      <c r="D305" s="1062">
        <v>0.15</v>
      </c>
      <c r="E305" s="1062">
        <v>0.15</v>
      </c>
      <c r="F305" s="1063">
        <v>0.14000000000000001</v>
      </c>
    </row>
    <row r="306" spans="1:6" ht="14.25" thickBot="1">
      <c r="A306" s="838" t="s">
        <v>533</v>
      </c>
      <c r="B306" s="832" t="s">
        <v>350</v>
      </c>
      <c r="C306" s="1062">
        <v>0.15</v>
      </c>
      <c r="D306" s="1062">
        <v>0.15</v>
      </c>
      <c r="E306" s="1062">
        <v>0.15</v>
      </c>
      <c r="F306" s="1074"/>
    </row>
    <row r="307" spans="1:6" ht="14.25" thickBot="1">
      <c r="A307" s="838" t="s">
        <v>533</v>
      </c>
      <c r="B307" s="832" t="s">
        <v>996</v>
      </c>
      <c r="C307" s="1062">
        <v>0.15</v>
      </c>
      <c r="D307" s="1062">
        <v>0.15</v>
      </c>
      <c r="E307" s="1062">
        <v>0.15</v>
      </c>
      <c r="F307" s="1063">
        <v>0.14299999999999999</v>
      </c>
    </row>
    <row r="308" spans="1:6" ht="14.25" thickBot="1">
      <c r="A308" s="838" t="s">
        <v>533</v>
      </c>
      <c r="B308" s="832" t="s">
        <v>370</v>
      </c>
      <c r="C308" s="1062">
        <v>0.15</v>
      </c>
      <c r="D308" s="1062">
        <v>0.15</v>
      </c>
      <c r="E308" s="1062">
        <v>0.15</v>
      </c>
      <c r="F308" s="1063">
        <v>0.15</v>
      </c>
    </row>
    <row r="309" spans="1:6" ht="14.25" thickBot="1">
      <c r="A309" s="838" t="s">
        <v>533</v>
      </c>
      <c r="B309" s="832" t="s">
        <v>380</v>
      </c>
      <c r="C309" s="1062">
        <v>0.15</v>
      </c>
      <c r="D309" s="1062">
        <v>0.15</v>
      </c>
      <c r="E309" s="1062">
        <v>0.15</v>
      </c>
      <c r="F309" s="1074"/>
    </row>
    <row r="310" spans="1:6" ht="14.25" thickBot="1">
      <c r="A310" s="838" t="s">
        <v>533</v>
      </c>
      <c r="B310" s="832" t="s">
        <v>997</v>
      </c>
      <c r="C310" s="1062">
        <v>0.15</v>
      </c>
      <c r="D310" s="1062">
        <v>0.15</v>
      </c>
      <c r="E310" s="1062">
        <v>0.15</v>
      </c>
      <c r="F310" s="1063">
        <v>0.13700000000000001</v>
      </c>
    </row>
    <row r="311" spans="1:6" ht="14.25" thickBot="1">
      <c r="A311" s="838" t="s">
        <v>533</v>
      </c>
      <c r="B311" s="832" t="s">
        <v>998</v>
      </c>
      <c r="C311" s="1062">
        <v>0.15</v>
      </c>
      <c r="D311" s="1062">
        <v>0.15</v>
      </c>
      <c r="E311" s="1062">
        <v>0.15</v>
      </c>
      <c r="F311" s="1063">
        <v>0.15</v>
      </c>
    </row>
    <row r="312" spans="1:6" ht="14.25" thickBot="1">
      <c r="A312" s="838" t="s">
        <v>533</v>
      </c>
      <c r="B312" s="832" t="s">
        <v>406</v>
      </c>
      <c r="C312" s="1062">
        <v>0.15</v>
      </c>
      <c r="D312" s="1062">
        <v>0.15</v>
      </c>
      <c r="E312" s="1062">
        <v>0.15</v>
      </c>
      <c r="F312" s="1063">
        <v>0.1</v>
      </c>
    </row>
    <row r="313" spans="1:6" ht="14.25" thickBot="1">
      <c r="A313" s="838" t="s">
        <v>533</v>
      </c>
      <c r="B313" s="832" t="s">
        <v>999</v>
      </c>
      <c r="C313" s="1062">
        <v>0.15</v>
      </c>
      <c r="D313" s="1062">
        <v>0.15</v>
      </c>
      <c r="E313" s="1062">
        <v>0.15</v>
      </c>
      <c r="F313" s="1063">
        <v>0.15</v>
      </c>
    </row>
    <row r="314" spans="1:6" ht="24.75" thickBot="1">
      <c r="A314" s="838" t="s">
        <v>533</v>
      </c>
      <c r="B314" s="832" t="s">
        <v>1000</v>
      </c>
      <c r="C314" s="1075"/>
      <c r="D314" s="1075"/>
      <c r="E314" s="1075"/>
      <c r="F314" s="1063">
        <v>0.05</v>
      </c>
    </row>
    <row r="315" spans="1:6" ht="24.75" thickBot="1">
      <c r="A315" s="838" t="s">
        <v>533</v>
      </c>
      <c r="B315" s="832" t="s">
        <v>1001</v>
      </c>
      <c r="C315" s="1075"/>
      <c r="D315" s="1075"/>
      <c r="E315" s="1075"/>
      <c r="F315" s="1063">
        <v>0.05</v>
      </c>
    </row>
    <row r="316" spans="1:6" ht="24.75" thickBot="1">
      <c r="A316" s="848" t="s">
        <v>533</v>
      </c>
      <c r="B316" s="844" t="s">
        <v>1002</v>
      </c>
      <c r="C316" s="1072"/>
      <c r="D316" s="1072"/>
      <c r="E316" s="1072"/>
      <c r="F316" s="1065">
        <v>0.05</v>
      </c>
    </row>
    <row r="317" spans="1:6" ht="14.25" thickBot="1">
      <c r="A317" s="838" t="s">
        <v>1003</v>
      </c>
      <c r="B317" s="839" t="s">
        <v>1004</v>
      </c>
      <c r="C317" s="1060">
        <v>0.15</v>
      </c>
      <c r="D317" s="1060">
        <v>0.15</v>
      </c>
      <c r="E317" s="1060">
        <v>0.15</v>
      </c>
      <c r="F317" s="1061">
        <v>0.15</v>
      </c>
    </row>
    <row r="318" spans="1:6" ht="14.25" thickBot="1">
      <c r="A318" s="838" t="s">
        <v>1003</v>
      </c>
      <c r="B318" s="832" t="s">
        <v>1005</v>
      </c>
      <c r="C318" s="1062">
        <v>0.107</v>
      </c>
      <c r="D318" s="1062">
        <v>0.11</v>
      </c>
      <c r="E318" s="1062">
        <v>0.112</v>
      </c>
      <c r="F318" s="1074"/>
    </row>
    <row r="319" spans="1:6" ht="14.25" thickBot="1">
      <c r="A319" s="838" t="s">
        <v>1003</v>
      </c>
      <c r="B319" s="832" t="s">
        <v>1006</v>
      </c>
      <c r="C319" s="1062">
        <v>0.15</v>
      </c>
      <c r="D319" s="1062">
        <v>0.15</v>
      </c>
      <c r="E319" s="1062">
        <v>0.15</v>
      </c>
      <c r="F319" s="1063">
        <v>0.15</v>
      </c>
    </row>
    <row r="320" spans="1:6" ht="14.25" thickBot="1">
      <c r="A320" s="838" t="s">
        <v>1003</v>
      </c>
      <c r="B320" s="832" t="s">
        <v>222</v>
      </c>
      <c r="C320" s="1062">
        <v>0.15</v>
      </c>
      <c r="D320" s="1062">
        <v>0.15</v>
      </c>
      <c r="E320" s="1062">
        <v>0.15</v>
      </c>
      <c r="F320" s="1074"/>
    </row>
    <row r="321" spans="1:6" ht="14.25" thickBot="1">
      <c r="A321" s="838" t="s">
        <v>1003</v>
      </c>
      <c r="B321" s="832" t="s">
        <v>1007</v>
      </c>
      <c r="C321" s="1062">
        <v>0.15</v>
      </c>
      <c r="D321" s="1062">
        <v>0.15</v>
      </c>
      <c r="E321" s="1062">
        <v>0.15</v>
      </c>
      <c r="F321" s="1074"/>
    </row>
    <row r="322" spans="1:6" ht="14.25" thickBot="1">
      <c r="A322" s="838" t="s">
        <v>1003</v>
      </c>
      <c r="B322" s="832" t="s">
        <v>1008</v>
      </c>
      <c r="C322" s="1062">
        <v>0.15</v>
      </c>
      <c r="D322" s="1062">
        <v>0.15</v>
      </c>
      <c r="E322" s="1062">
        <v>0.15</v>
      </c>
      <c r="F322" s="1063">
        <v>0.15</v>
      </c>
    </row>
    <row r="323" spans="1:6" ht="14.25" thickBot="1">
      <c r="A323" s="838" t="s">
        <v>1003</v>
      </c>
      <c r="B323" s="832" t="s">
        <v>1009</v>
      </c>
      <c r="C323" s="1062">
        <v>0.15</v>
      </c>
      <c r="D323" s="1062">
        <v>0.15</v>
      </c>
      <c r="E323" s="1062">
        <v>0.15</v>
      </c>
      <c r="F323" s="1074"/>
    </row>
    <row r="324" spans="1:6" ht="14.25" thickBot="1">
      <c r="A324" s="838" t="s">
        <v>1003</v>
      </c>
      <c r="B324" s="832" t="s">
        <v>1010</v>
      </c>
      <c r="C324" s="1062">
        <v>0.15</v>
      </c>
      <c r="D324" s="1062">
        <v>0.15</v>
      </c>
      <c r="E324" s="1062">
        <v>0.15</v>
      </c>
      <c r="F324" s="1074"/>
    </row>
    <row r="325" spans="1:6" ht="14.25" thickBot="1">
      <c r="A325" s="838" t="s">
        <v>1003</v>
      </c>
      <c r="B325" s="832" t="s">
        <v>1011</v>
      </c>
      <c r="C325" s="1062">
        <v>0.15</v>
      </c>
      <c r="D325" s="1062">
        <v>0.15</v>
      </c>
      <c r="E325" s="1062">
        <v>0.15</v>
      </c>
      <c r="F325" s="1063">
        <v>0.14699999999999999</v>
      </c>
    </row>
    <row r="326" spans="1:6" ht="14.25" thickBot="1">
      <c r="A326" s="838" t="s">
        <v>1003</v>
      </c>
      <c r="B326" s="832" t="s">
        <v>289</v>
      </c>
      <c r="C326" s="1062">
        <v>0.15</v>
      </c>
      <c r="D326" s="1062">
        <v>0.15</v>
      </c>
      <c r="E326" s="1062">
        <v>0.15</v>
      </c>
      <c r="F326" s="1074"/>
    </row>
    <row r="327" spans="1:6" ht="14.25" thickBot="1">
      <c r="A327" s="838" t="s">
        <v>1003</v>
      </c>
      <c r="B327" s="832" t="s">
        <v>1012</v>
      </c>
      <c r="C327" s="1062">
        <v>0.15</v>
      </c>
      <c r="D327" s="1062">
        <v>0.15</v>
      </c>
      <c r="E327" s="1062">
        <v>0.15</v>
      </c>
      <c r="F327" s="1063">
        <v>0.15</v>
      </c>
    </row>
    <row r="328" spans="1:6" ht="14.25" thickBot="1">
      <c r="A328" s="838" t="s">
        <v>1003</v>
      </c>
      <c r="B328" s="832" t="s">
        <v>309</v>
      </c>
      <c r="C328" s="1062">
        <v>0.15</v>
      </c>
      <c r="D328" s="1062">
        <v>0.15</v>
      </c>
      <c r="E328" s="1062">
        <v>0.15</v>
      </c>
      <c r="F328" s="1063">
        <v>0.14099999999999999</v>
      </c>
    </row>
    <row r="329" spans="1:6" ht="14.25" thickBot="1">
      <c r="A329" s="838" t="s">
        <v>1003</v>
      </c>
      <c r="B329" s="832" t="s">
        <v>319</v>
      </c>
      <c r="C329" s="1062">
        <v>0.15</v>
      </c>
      <c r="D329" s="1062">
        <v>0.15</v>
      </c>
      <c r="E329" s="1062">
        <v>0.15</v>
      </c>
      <c r="F329" s="1063">
        <v>0.15</v>
      </c>
    </row>
    <row r="330" spans="1:6" ht="14.25" thickBot="1">
      <c r="A330" s="838" t="s">
        <v>1003</v>
      </c>
      <c r="B330" s="832" t="s">
        <v>330</v>
      </c>
      <c r="C330" s="1062">
        <v>0.15</v>
      </c>
      <c r="D330" s="1062">
        <v>0.15</v>
      </c>
      <c r="E330" s="1062">
        <v>0.15</v>
      </c>
      <c r="F330" s="1074"/>
    </row>
    <row r="331" spans="1:6" ht="14.25" thickBot="1">
      <c r="A331" s="838" t="s">
        <v>1003</v>
      </c>
      <c r="B331" s="832" t="s">
        <v>1013</v>
      </c>
      <c r="C331" s="1062">
        <v>0.15</v>
      </c>
      <c r="D331" s="1062">
        <v>0.15</v>
      </c>
      <c r="E331" s="1062">
        <v>0.15</v>
      </c>
      <c r="F331" s="1063">
        <v>0.15</v>
      </c>
    </row>
    <row r="332" spans="1:6" ht="14.25" thickBot="1">
      <c r="A332" s="838" t="s">
        <v>1003</v>
      </c>
      <c r="B332" s="832" t="s">
        <v>351</v>
      </c>
      <c r="C332" s="1062">
        <v>0.15</v>
      </c>
      <c r="D332" s="1062">
        <v>0.15</v>
      </c>
      <c r="E332" s="1062">
        <v>0.15</v>
      </c>
      <c r="F332" s="1063">
        <v>0.15</v>
      </c>
    </row>
    <row r="333" spans="1:6" ht="14.25" thickBot="1">
      <c r="A333" s="838" t="s">
        <v>1003</v>
      </c>
      <c r="B333" s="832" t="s">
        <v>1014</v>
      </c>
      <c r="C333" s="1062">
        <v>0.15</v>
      </c>
      <c r="D333" s="1062">
        <v>0.15</v>
      </c>
      <c r="E333" s="1062">
        <v>0.15</v>
      </c>
      <c r="F333" s="1063">
        <v>0.14099999999999999</v>
      </c>
    </row>
    <row r="334" spans="1:6" ht="14.25" thickBot="1">
      <c r="A334" s="838" t="s">
        <v>1003</v>
      </c>
      <c r="B334" s="832" t="s">
        <v>371</v>
      </c>
      <c r="C334" s="1062">
        <v>0.15</v>
      </c>
      <c r="D334" s="1062">
        <v>0.15</v>
      </c>
      <c r="E334" s="1062">
        <v>0.15</v>
      </c>
      <c r="F334" s="1063">
        <v>0.15</v>
      </c>
    </row>
    <row r="335" spans="1:6" ht="14.25" thickBot="1">
      <c r="A335" s="838" t="s">
        <v>1003</v>
      </c>
      <c r="B335" s="832" t="s">
        <v>381</v>
      </c>
      <c r="C335" s="1062">
        <v>0.15</v>
      </c>
      <c r="D335" s="1062">
        <v>0.15</v>
      </c>
      <c r="E335" s="1062">
        <v>0.15</v>
      </c>
      <c r="F335" s="1074"/>
    </row>
    <row r="336" spans="1:6" ht="14.25" thickBot="1">
      <c r="A336" s="838" t="s">
        <v>1003</v>
      </c>
      <c r="B336" s="832" t="s">
        <v>1015</v>
      </c>
      <c r="C336" s="1062">
        <v>0.15</v>
      </c>
      <c r="D336" s="1062">
        <v>0.15</v>
      </c>
      <c r="E336" s="1062">
        <v>0.15</v>
      </c>
      <c r="F336" s="1063">
        <v>0.11799999999999999</v>
      </c>
    </row>
    <row r="337" spans="1:6" ht="14.25" thickBot="1">
      <c r="A337" s="848" t="s">
        <v>1003</v>
      </c>
      <c r="B337" s="844" t="s">
        <v>399</v>
      </c>
      <c r="C337" s="1072"/>
      <c r="D337" s="1072"/>
      <c r="E337" s="1072"/>
      <c r="F337" s="1065">
        <v>0.14299999999999999</v>
      </c>
    </row>
    <row r="338" spans="1:6" ht="14.25" thickBot="1">
      <c r="A338" s="838" t="s">
        <v>1016</v>
      </c>
      <c r="B338" s="839" t="s">
        <v>1017</v>
      </c>
      <c r="C338" s="1060">
        <v>0.15</v>
      </c>
      <c r="D338" s="1060">
        <v>0.15</v>
      </c>
      <c r="E338" s="1060">
        <v>0.15</v>
      </c>
      <c r="F338" s="1077"/>
    </row>
    <row r="339" spans="1:6" ht="14.25" thickBot="1">
      <c r="A339" s="838" t="s">
        <v>1016</v>
      </c>
      <c r="B339" s="832" t="s">
        <v>1018</v>
      </c>
      <c r="C339" s="1062">
        <v>0.15</v>
      </c>
      <c r="D339" s="1062">
        <v>0.15</v>
      </c>
      <c r="E339" s="1062">
        <v>0.15</v>
      </c>
      <c r="F339" s="1074"/>
    </row>
    <row r="340" spans="1:6" ht="14.25" thickBot="1">
      <c r="A340" s="838" t="s">
        <v>1016</v>
      </c>
      <c r="B340" s="832" t="s">
        <v>1019</v>
      </c>
      <c r="C340" s="1062">
        <v>0.15</v>
      </c>
      <c r="D340" s="1062">
        <v>0.15</v>
      </c>
      <c r="E340" s="1062">
        <v>0.15</v>
      </c>
      <c r="F340" s="1074"/>
    </row>
    <row r="341" spans="1:6" ht="14.25" thickBot="1">
      <c r="A341" s="838" t="s">
        <v>1016</v>
      </c>
      <c r="B341" s="832" t="s">
        <v>1020</v>
      </c>
      <c r="C341" s="1062">
        <v>0.15</v>
      </c>
      <c r="D341" s="1062">
        <v>0.15</v>
      </c>
      <c r="E341" s="1062">
        <v>0.15</v>
      </c>
      <c r="F341" s="1063">
        <v>0.15</v>
      </c>
    </row>
    <row r="342" spans="1:6" ht="14.25" thickBot="1">
      <c r="A342" s="838" t="s">
        <v>1016</v>
      </c>
      <c r="B342" s="832" t="s">
        <v>1021</v>
      </c>
      <c r="C342" s="1062">
        <v>0.15</v>
      </c>
      <c r="D342" s="1062">
        <v>0.15</v>
      </c>
      <c r="E342" s="1062">
        <v>0.15</v>
      </c>
      <c r="F342" s="1063">
        <v>0.15</v>
      </c>
    </row>
    <row r="343" spans="1:6" ht="14.25" thickBot="1">
      <c r="A343" s="838" t="s">
        <v>1016</v>
      </c>
      <c r="B343" s="832" t="s">
        <v>1022</v>
      </c>
      <c r="C343" s="1062">
        <v>0.15</v>
      </c>
      <c r="D343" s="1062">
        <v>0.15</v>
      </c>
      <c r="E343" s="1062">
        <v>0.15</v>
      </c>
      <c r="F343" s="1063">
        <v>0.15</v>
      </c>
    </row>
    <row r="344" spans="1:6" ht="14.25" thickBot="1">
      <c r="A344" s="848" t="s">
        <v>1016</v>
      </c>
      <c r="B344" s="844" t="s">
        <v>1023</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43906</v>
      </c>
      <c r="D1" s="1698" t="s">
        <v>1295</v>
      </c>
      <c r="E1" s="1693">
        <f>'数据-取费表'!B22</f>
        <v>2</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26</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211</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268</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441</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136</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522</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55</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525</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527</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529</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533</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F5" sqref="F5"/>
    </sheetView>
  </sheetViews>
  <sheetFormatPr defaultRowHeight="13.5"/>
  <cols>
    <col min="1" max="1" width="35.75" customWidth="1"/>
  </cols>
  <sheetData>
    <row r="1" spans="1:14" s="1633" customFormat="1">
      <c r="A1" s="1633" t="s">
        <v>3108</v>
      </c>
      <c r="B1" s="1633" t="s">
        <v>3109</v>
      </c>
      <c r="C1" s="1633" t="s">
        <v>3110</v>
      </c>
      <c r="D1" s="1633" t="s">
        <v>3111</v>
      </c>
      <c r="E1" s="1633" t="s">
        <v>3112</v>
      </c>
      <c r="F1" s="1633" t="s">
        <v>3113</v>
      </c>
      <c r="G1" s="1633" t="s">
        <v>3114</v>
      </c>
      <c r="H1" s="1633" t="s">
        <v>3115</v>
      </c>
      <c r="I1" s="1633" t="s">
        <v>3116</v>
      </c>
      <c r="J1" s="1633" t="s">
        <v>3117</v>
      </c>
      <c r="K1" s="1633" t="s">
        <v>3118</v>
      </c>
      <c r="L1" s="1633" t="s">
        <v>3119</v>
      </c>
      <c r="M1" s="1633" t="s">
        <v>3120</v>
      </c>
      <c r="N1" s="1633" t="s">
        <v>3121</v>
      </c>
    </row>
    <row r="2" spans="1:14" s="1633" customFormat="1">
      <c r="A2" s="1633" t="s">
        <v>3122</v>
      </c>
      <c r="B2" s="1633" t="s">
        <v>3123</v>
      </c>
      <c r="C2" s="1633" t="s">
        <v>3124</v>
      </c>
      <c r="D2" s="1633">
        <v>12462.4</v>
      </c>
      <c r="E2" s="1633">
        <v>19939.84</v>
      </c>
      <c r="F2" s="1633" t="s">
        <v>3125</v>
      </c>
      <c r="G2" s="1633" t="s">
        <v>3126</v>
      </c>
      <c r="H2" s="1633" t="s">
        <v>3127</v>
      </c>
      <c r="I2" s="1633">
        <v>15980</v>
      </c>
      <c r="J2" s="1633">
        <v>15980</v>
      </c>
      <c r="K2" s="1633">
        <v>8014.1</v>
      </c>
      <c r="L2" s="1633">
        <v>0</v>
      </c>
      <c r="M2" s="1633" t="s">
        <v>3128</v>
      </c>
      <c r="N2" s="1633" t="s">
        <v>3129</v>
      </c>
    </row>
    <row r="3" spans="1:14" s="2967" customFormat="1">
      <c r="A3" s="2967" t="s">
        <v>3130</v>
      </c>
      <c r="B3" s="2967" t="s">
        <v>3123</v>
      </c>
      <c r="C3" s="2967" t="s">
        <v>3131</v>
      </c>
      <c r="D3" s="2967">
        <v>78876.899999999994</v>
      </c>
      <c r="E3" s="2967">
        <v>173529.18</v>
      </c>
      <c r="F3" s="2967" t="s">
        <v>3132</v>
      </c>
      <c r="G3" s="2967" t="s">
        <v>3126</v>
      </c>
      <c r="H3" s="2967" t="s">
        <v>3133</v>
      </c>
      <c r="I3" s="2967">
        <v>179600</v>
      </c>
      <c r="J3" s="2967">
        <v>179600</v>
      </c>
      <c r="K3" s="2967">
        <v>10349.84</v>
      </c>
      <c r="L3" s="2967">
        <v>0</v>
      </c>
      <c r="M3" s="2967" t="s">
        <v>3134</v>
      </c>
      <c r="N3" s="2967" t="s">
        <v>3135</v>
      </c>
    </row>
    <row r="4" spans="1:14" s="2967" customFormat="1">
      <c r="A4" s="2967" t="s">
        <v>3136</v>
      </c>
      <c r="B4" s="2967" t="s">
        <v>3123</v>
      </c>
      <c r="C4" s="2967" t="s">
        <v>3124</v>
      </c>
      <c r="D4" s="2967">
        <v>28063.599999999999</v>
      </c>
      <c r="E4" s="2967">
        <v>64546.28</v>
      </c>
      <c r="F4" s="2967" t="s">
        <v>3137</v>
      </c>
      <c r="G4" s="2967" t="s">
        <v>3126</v>
      </c>
      <c r="H4" s="2967" t="s">
        <v>3138</v>
      </c>
      <c r="I4" s="2967">
        <v>50800</v>
      </c>
      <c r="J4" s="2967">
        <v>68200</v>
      </c>
      <c r="K4" s="2967">
        <v>10566.05</v>
      </c>
      <c r="L4" s="2967">
        <v>34.25</v>
      </c>
      <c r="M4" s="2967" t="s">
        <v>3139</v>
      </c>
      <c r="N4" s="2967" t="s">
        <v>3135</v>
      </c>
    </row>
    <row r="5" spans="1:14" s="2967" customFormat="1">
      <c r="A5" s="2967" t="s">
        <v>3140</v>
      </c>
      <c r="B5" s="2967" t="s">
        <v>3123</v>
      </c>
      <c r="C5" s="2967" t="s">
        <v>3124</v>
      </c>
      <c r="D5" s="2967">
        <v>85998.2</v>
      </c>
      <c r="E5" s="2967">
        <v>214995.5</v>
      </c>
      <c r="F5" s="2967" t="s">
        <v>3141</v>
      </c>
      <c r="G5" s="2967" t="s">
        <v>3126</v>
      </c>
      <c r="H5" s="2967" t="s">
        <v>3138</v>
      </c>
      <c r="I5" s="2967">
        <v>164800</v>
      </c>
      <c r="J5" s="2967">
        <v>199900</v>
      </c>
      <c r="K5" s="2967">
        <v>9297.8700000000008</v>
      </c>
      <c r="L5" s="2967">
        <v>21.3</v>
      </c>
      <c r="M5" s="2967" t="s">
        <v>3142</v>
      </c>
      <c r="N5" s="2967" t="s">
        <v>3143</v>
      </c>
    </row>
    <row r="6" spans="1:14" s="1633" customFormat="1">
      <c r="A6" s="1633" t="s">
        <v>3144</v>
      </c>
      <c r="B6" s="1633" t="s">
        <v>3123</v>
      </c>
      <c r="C6" s="1633" t="s">
        <v>3131</v>
      </c>
      <c r="D6" s="1633">
        <v>30499.4</v>
      </c>
      <c r="E6" s="1633">
        <v>67098.679999999993</v>
      </c>
      <c r="F6" s="1633" t="s">
        <v>3145</v>
      </c>
      <c r="G6" s="1633" t="s">
        <v>3126</v>
      </c>
      <c r="H6" s="1633" t="s">
        <v>3146</v>
      </c>
      <c r="I6" s="1633">
        <v>44920</v>
      </c>
      <c r="J6" s="1633">
        <v>44920</v>
      </c>
      <c r="K6" s="1633">
        <v>6694.61</v>
      </c>
      <c r="L6" s="1633">
        <v>0</v>
      </c>
      <c r="M6" s="1633" t="s">
        <v>3147</v>
      </c>
      <c r="N6" s="1633" t="s">
        <v>3129</v>
      </c>
    </row>
    <row r="7" spans="1:14" s="2966" customFormat="1">
      <c r="A7" s="2966" t="s">
        <v>3148</v>
      </c>
      <c r="B7" s="2966" t="s">
        <v>3123</v>
      </c>
      <c r="C7" s="2966" t="s">
        <v>3131</v>
      </c>
      <c r="D7" s="2966">
        <v>78576.399999999994</v>
      </c>
      <c r="E7" s="2966">
        <v>133579.9</v>
      </c>
      <c r="F7" s="2966" t="s">
        <v>3149</v>
      </c>
      <c r="G7" s="2966" t="s">
        <v>3126</v>
      </c>
      <c r="H7" s="2966" t="s">
        <v>3146</v>
      </c>
      <c r="I7" s="2966">
        <v>113009</v>
      </c>
      <c r="J7" s="2966">
        <v>137909</v>
      </c>
      <c r="K7" s="2966">
        <v>10324.07</v>
      </c>
      <c r="L7" s="2966">
        <v>22.03</v>
      </c>
      <c r="M7" s="2966" t="s">
        <v>3150</v>
      </c>
      <c r="N7" s="2966" t="s">
        <v>3129</v>
      </c>
    </row>
    <row r="8" spans="1:14" s="1633" customFormat="1">
      <c r="A8" s="1633" t="s">
        <v>3151</v>
      </c>
      <c r="B8" s="1633" t="s">
        <v>3123</v>
      </c>
      <c r="C8" s="1633" t="s">
        <v>3131</v>
      </c>
      <c r="D8" s="1633">
        <v>40164.5</v>
      </c>
      <c r="E8" s="1633">
        <v>88361.9</v>
      </c>
      <c r="F8" s="1633" t="s">
        <v>3145</v>
      </c>
      <c r="G8" s="1633" t="s">
        <v>3126</v>
      </c>
      <c r="H8" s="1633" t="s">
        <v>3152</v>
      </c>
      <c r="I8" s="1633">
        <v>56900</v>
      </c>
      <c r="J8" s="1633">
        <v>56900</v>
      </c>
      <c r="K8" s="1633">
        <v>6439.43</v>
      </c>
      <c r="L8" s="1633">
        <v>0</v>
      </c>
      <c r="M8" s="1633" t="s">
        <v>3128</v>
      </c>
      <c r="N8" s="1633" t="s">
        <v>3135</v>
      </c>
    </row>
    <row r="9" spans="1:14" s="1633" customFormat="1">
      <c r="A9" s="1633" t="s">
        <v>3153</v>
      </c>
      <c r="B9" s="1633" t="s">
        <v>3123</v>
      </c>
      <c r="C9" s="1633" t="s">
        <v>3124</v>
      </c>
      <c r="D9" s="1633">
        <v>25398.7</v>
      </c>
      <c r="E9" s="1633">
        <v>63496.75</v>
      </c>
      <c r="F9" s="1633" t="s">
        <v>3154</v>
      </c>
      <c r="G9" s="1633" t="s">
        <v>3126</v>
      </c>
      <c r="H9" s="1633" t="s">
        <v>3155</v>
      </c>
      <c r="I9" s="1633">
        <v>27800</v>
      </c>
      <c r="J9" s="1633">
        <v>27800</v>
      </c>
      <c r="K9" s="1633">
        <v>4378.18</v>
      </c>
      <c r="L9" s="1633">
        <v>0</v>
      </c>
      <c r="M9" s="1633" t="s">
        <v>3156</v>
      </c>
      <c r="N9" s="1633" t="s">
        <v>3143</v>
      </c>
    </row>
    <row r="10" spans="1:14" s="1633" customFormat="1">
      <c r="A10" s="1633" t="s">
        <v>3157</v>
      </c>
      <c r="B10" s="1633" t="s">
        <v>3123</v>
      </c>
      <c r="C10" s="1633" t="s">
        <v>3131</v>
      </c>
      <c r="D10" s="1633">
        <v>92720.5</v>
      </c>
      <c r="E10" s="1633">
        <v>203985.1</v>
      </c>
      <c r="F10" s="1633" t="s">
        <v>3145</v>
      </c>
      <c r="G10" s="1633" t="s">
        <v>3126</v>
      </c>
      <c r="H10" s="1633" t="s">
        <v>3155</v>
      </c>
      <c r="I10" s="1633">
        <v>122200</v>
      </c>
      <c r="J10" s="1633">
        <v>122200</v>
      </c>
      <c r="K10" s="1633">
        <v>5990.63</v>
      </c>
      <c r="L10" s="1633">
        <v>0</v>
      </c>
      <c r="M10" s="1633" t="s">
        <v>3158</v>
      </c>
      <c r="N10" s="1633" t="s">
        <v>3135</v>
      </c>
    </row>
    <row r="11" spans="1:14" s="1633" customFormat="1">
      <c r="A11" s="1633" t="s">
        <v>3159</v>
      </c>
      <c r="B11" s="1633" t="s">
        <v>3123</v>
      </c>
      <c r="C11" s="1633" t="s">
        <v>3124</v>
      </c>
      <c r="D11" s="1633">
        <v>28113.5</v>
      </c>
      <c r="E11" s="1633">
        <v>61849.7</v>
      </c>
      <c r="F11" s="1633" t="s">
        <v>3160</v>
      </c>
      <c r="G11" s="1633" t="s">
        <v>3126</v>
      </c>
      <c r="H11" s="1633" t="s">
        <v>3161</v>
      </c>
      <c r="I11" s="1633">
        <v>37760</v>
      </c>
      <c r="J11" s="1633">
        <v>37760</v>
      </c>
      <c r="K11" s="1633">
        <v>6105.11</v>
      </c>
      <c r="L11" s="1633">
        <v>0</v>
      </c>
      <c r="M11" s="1633" t="s">
        <v>3162</v>
      </c>
      <c r="N11" s="1633" t="s">
        <v>3129</v>
      </c>
    </row>
    <row r="12" spans="1:14" s="1633" customFormat="1">
      <c r="A12" s="1633" t="s">
        <v>3163</v>
      </c>
      <c r="B12" s="1633" t="s">
        <v>3123</v>
      </c>
      <c r="C12" s="1633" t="s">
        <v>3131</v>
      </c>
      <c r="D12" s="1633">
        <v>34823.199999999997</v>
      </c>
      <c r="E12" s="1633">
        <v>41787.839999999997</v>
      </c>
      <c r="F12" s="1633" t="s">
        <v>3164</v>
      </c>
      <c r="G12" s="1633" t="s">
        <v>3126</v>
      </c>
      <c r="H12" s="1633" t="s">
        <v>3161</v>
      </c>
      <c r="I12" s="1633">
        <v>23740</v>
      </c>
      <c r="J12" s="1633">
        <v>26140</v>
      </c>
      <c r="K12" s="1633">
        <v>6255.4</v>
      </c>
      <c r="L12" s="1633">
        <v>10.11</v>
      </c>
      <c r="M12" s="1633" t="s">
        <v>3165</v>
      </c>
      <c r="N12" s="1633" t="s">
        <v>3166</v>
      </c>
    </row>
    <row r="13" spans="1:14" s="1633" customFormat="1">
      <c r="A13" s="1633" t="s">
        <v>3167</v>
      </c>
      <c r="B13" s="1633" t="s">
        <v>3123</v>
      </c>
      <c r="C13" s="1633" t="s">
        <v>3124</v>
      </c>
      <c r="D13" s="1633">
        <v>75262.899999999994</v>
      </c>
      <c r="E13" s="1633">
        <v>188157.2</v>
      </c>
      <c r="F13" s="1633" t="s">
        <v>3168</v>
      </c>
      <c r="G13" s="1633" t="s">
        <v>3126</v>
      </c>
      <c r="H13" s="1633" t="s">
        <v>3169</v>
      </c>
      <c r="I13" s="1633">
        <v>134200</v>
      </c>
      <c r="J13" s="1633">
        <v>147700</v>
      </c>
      <c r="K13" s="1633">
        <v>7849.81</v>
      </c>
      <c r="L13" s="1633">
        <v>10.06</v>
      </c>
      <c r="M13" s="1633" t="s">
        <v>3170</v>
      </c>
      <c r="N13" s="1633" t="s">
        <v>3135</v>
      </c>
    </row>
    <row r="14" spans="1:14" s="1633" customFormat="1">
      <c r="A14" s="1633" t="s">
        <v>3171</v>
      </c>
      <c r="B14" s="1633" t="s">
        <v>3123</v>
      </c>
      <c r="C14" s="1633" t="s">
        <v>3131</v>
      </c>
      <c r="D14" s="1633">
        <v>30726.400000000001</v>
      </c>
      <c r="E14" s="1633">
        <v>61452.800000000003</v>
      </c>
      <c r="F14" s="1633" t="s">
        <v>3172</v>
      </c>
      <c r="G14" s="1633" t="s">
        <v>3126</v>
      </c>
      <c r="H14" s="1633" t="s">
        <v>3173</v>
      </c>
      <c r="I14" s="1633">
        <v>32000</v>
      </c>
      <c r="J14" s="1633">
        <v>44000</v>
      </c>
      <c r="K14" s="1633">
        <v>7159.97</v>
      </c>
      <c r="L14" s="1633">
        <v>37.5</v>
      </c>
      <c r="M14" s="1633" t="s">
        <v>3174</v>
      </c>
      <c r="N14" s="1633" t="s">
        <v>3129</v>
      </c>
    </row>
    <row r="15" spans="1:14" s="1633" customFormat="1">
      <c r="A15" s="1633" t="s">
        <v>3175</v>
      </c>
      <c r="B15" s="1633" t="s">
        <v>3123</v>
      </c>
      <c r="C15" s="1633" t="s">
        <v>3131</v>
      </c>
      <c r="D15" s="1633">
        <v>85122</v>
      </c>
      <c r="E15" s="1633">
        <v>212805</v>
      </c>
      <c r="F15" s="1633" t="s">
        <v>3176</v>
      </c>
      <c r="G15" s="1633" t="s">
        <v>3126</v>
      </c>
      <c r="H15" s="1633" t="s">
        <v>3177</v>
      </c>
      <c r="I15" s="1633">
        <v>92000</v>
      </c>
      <c r="J15" s="1633">
        <v>103500</v>
      </c>
      <c r="K15" s="1633">
        <v>4863.6000000000004</v>
      </c>
      <c r="L15" s="1633">
        <v>12.5</v>
      </c>
      <c r="M15" s="1633" t="s">
        <v>3178</v>
      </c>
      <c r="N15" s="1633" t="s">
        <v>3129</v>
      </c>
    </row>
    <row r="16" spans="1:14" s="1633" customFormat="1">
      <c r="A16" s="1633" t="s">
        <v>3179</v>
      </c>
      <c r="B16" s="1633" t="s">
        <v>3123</v>
      </c>
      <c r="C16" s="1633" t="s">
        <v>3131</v>
      </c>
      <c r="D16" s="1633">
        <v>49106.1</v>
      </c>
      <c r="E16" s="1633">
        <v>98212.2</v>
      </c>
      <c r="F16" s="1633" t="s">
        <v>3180</v>
      </c>
      <c r="G16" s="1633" t="s">
        <v>3126</v>
      </c>
      <c r="H16" s="1633" t="s">
        <v>3177</v>
      </c>
      <c r="I16" s="1633">
        <v>81000</v>
      </c>
      <c r="J16" s="1633">
        <v>81000</v>
      </c>
      <c r="K16" s="1633">
        <v>8247.4500000000007</v>
      </c>
      <c r="L16" s="1633">
        <v>0</v>
      </c>
      <c r="M16" s="1633" t="s">
        <v>3181</v>
      </c>
      <c r="N16" s="1633" t="s">
        <v>3143</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1634</v>
      </c>
      <c r="B2" s="3009" t="s">
        <v>1635</v>
      </c>
      <c r="C2" s="3009" t="s">
        <v>1636</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2" t="s">
        <v>1631</v>
      </c>
      <c r="E3" s="1042" t="s">
        <v>1637</v>
      </c>
      <c r="F3" s="1042" t="s">
        <v>1631</v>
      </c>
      <c r="G3" s="1042" t="s">
        <v>1632</v>
      </c>
      <c r="H3" s="1042" t="s">
        <v>1631</v>
      </c>
      <c r="I3" s="1042" t="s">
        <v>1632</v>
      </c>
    </row>
    <row r="4" spans="1:9" ht="60">
      <c r="A4" s="1970" t="str">
        <f>项目基本情况!S2</f>
        <v>江苏省无锡市惠山新城白屈港东侧、融泽路南侧出让国有建设用地使用权及在建建筑物房地产</v>
      </c>
      <c r="B4" s="1042">
        <f>项目基本情况!C17</f>
        <v>221.26</v>
      </c>
      <c r="C4" s="1042">
        <f>项目基本情况!C18</f>
        <v>75.39</v>
      </c>
      <c r="D4" s="1042">
        <f ca="1">结果表!D118</f>
        <v>272</v>
      </c>
      <c r="E4" s="1042">
        <f ca="1">结果表!E118</f>
        <v>12293</v>
      </c>
      <c r="F4" s="1042">
        <f ca="1">结果表!F118</f>
        <v>24</v>
      </c>
      <c r="G4" s="1042">
        <f ca="1">结果表!G118</f>
        <v>1085</v>
      </c>
      <c r="H4" s="1042">
        <f ca="1">结果表!H118</f>
        <v>296</v>
      </c>
      <c r="I4" s="1042">
        <f ca="1">结果表!I118</f>
        <v>13378</v>
      </c>
    </row>
    <row r="5" spans="1:9" ht="30" customHeight="1">
      <c r="A5" s="3010" t="s">
        <v>1633</v>
      </c>
      <c r="B5" s="3010"/>
      <c r="C5" s="3010"/>
      <c r="D5" s="3011" t="str">
        <f ca="1">结果表!D119</f>
        <v>贰佰柒拾贰万元整</v>
      </c>
      <c r="E5" s="3011"/>
      <c r="F5" s="3011" t="str">
        <f ca="1">结果表!F119</f>
        <v>贰拾肆万元整</v>
      </c>
      <c r="G5" s="3011"/>
      <c r="H5" s="3011" t="str">
        <f ca="1">结果表!H119</f>
        <v>贰佰玖拾陆万元整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1633</v>
      </c>
      <c r="B7" s="3010"/>
      <c r="C7" s="3010"/>
      <c r="D7" s="3013" t="str">
        <f>结果表!D121</f>
        <v>零元整</v>
      </c>
      <c r="E7" s="3014"/>
      <c r="F7" s="3014"/>
      <c r="G7" s="3014"/>
      <c r="H7" s="3014"/>
      <c r="I7" s="3015"/>
    </row>
    <row r="8" spans="1:9" ht="15.75">
      <c r="A8" s="3012" t="str">
        <f>结果表!A122</f>
        <v>房地产抵押价值</v>
      </c>
      <c r="B8" s="3012"/>
      <c r="C8" s="3012"/>
      <c r="D8" s="3012">
        <f ca="1">结果表!D122</f>
        <v>296</v>
      </c>
      <c r="E8" s="3012"/>
      <c r="F8" s="3012"/>
      <c r="G8" s="3012"/>
      <c r="H8" s="3012"/>
      <c r="I8" s="3012"/>
    </row>
    <row r="9" spans="1:9" ht="15">
      <c r="A9" s="3010" t="s">
        <v>1633</v>
      </c>
      <c r="B9" s="3010"/>
      <c r="C9" s="3010"/>
      <c r="D9" s="3011" t="str">
        <f ca="1">结果表!D123</f>
        <v>贰佰玖拾陆万元整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1633</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1633</v>
      </c>
      <c r="B13" s="3016"/>
      <c r="C13" s="3016"/>
      <c r="D13" s="3017" t="e">
        <f>结果表!D127</f>
        <v>#VALUE!</v>
      </c>
      <c r="E13" s="3017"/>
      <c r="F13" s="3017"/>
      <c r="G13" s="3017"/>
      <c r="H13" s="3017"/>
      <c r="I13" s="3017"/>
    </row>
    <row r="14" spans="1:9" ht="15" thickTop="1">
      <c r="A14" s="3018" t="s">
        <v>1638</v>
      </c>
      <c r="B14" s="3018"/>
      <c r="C14" s="3018"/>
      <c r="D14" s="3018"/>
      <c r="E14" s="3018"/>
      <c r="F14" s="3018"/>
      <c r="G14" s="3018"/>
      <c r="H14" s="3018"/>
      <c r="I14" s="3018"/>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19" t="s">
        <v>1655</v>
      </c>
      <c r="B1" s="3019"/>
      <c r="C1" s="3019"/>
      <c r="D1" s="3019"/>
    </row>
    <row r="2" spans="1:4" ht="18">
      <c r="A2" s="3020" t="s">
        <v>1639</v>
      </c>
      <c r="B2" s="3020"/>
      <c r="C2" s="3020"/>
      <c r="D2" s="3020"/>
    </row>
    <row r="3" spans="1:4" ht="18.75">
      <c r="A3" s="1974" t="s">
        <v>1640</v>
      </c>
      <c r="B3" s="1974" t="s">
        <v>1641</v>
      </c>
      <c r="C3" s="1974" t="s">
        <v>1642</v>
      </c>
      <c r="D3" s="1974" t="s">
        <v>1643</v>
      </c>
    </row>
    <row r="4" spans="1:4" ht="56.25" customHeight="1">
      <c r="A4" s="1975" t="str">
        <f>项目基本情况!B4</f>
        <v>王鹏</v>
      </c>
      <c r="B4" s="1976">
        <f ca="1">项目基本情况!C4</f>
        <v>1120050019</v>
      </c>
      <c r="C4" s="1977"/>
      <c r="D4" s="1978" t="s">
        <v>1644</v>
      </c>
    </row>
    <row r="5" spans="1:4" ht="56.25" customHeight="1">
      <c r="A5" s="1975" t="str">
        <f>项目基本情况!D4</f>
        <v>郑燚</v>
      </c>
      <c r="B5" s="1976">
        <f ca="1">项目基本情况!E4</f>
        <v>1120070131</v>
      </c>
      <c r="C5" s="1979"/>
      <c r="D5" s="1978" t="s">
        <v>1644</v>
      </c>
    </row>
    <row r="6" spans="1:4" ht="18">
      <c r="A6" s="3020" t="s">
        <v>1645</v>
      </c>
      <c r="B6" s="3020"/>
      <c r="C6" s="3020"/>
      <c r="D6" s="3020"/>
    </row>
    <row r="7" spans="1:4" ht="18.75">
      <c r="A7" s="1974" t="s">
        <v>1640</v>
      </c>
      <c r="B7" s="1976" t="s">
        <v>1646</v>
      </c>
      <c r="C7" s="1974" t="s">
        <v>1642</v>
      </c>
      <c r="D7" s="1974" t="s">
        <v>1643</v>
      </c>
    </row>
    <row r="8" spans="1:4" ht="56.25" customHeight="1">
      <c r="A8" s="1980" t="s">
        <v>864</v>
      </c>
      <c r="B8" s="1980" t="s">
        <v>1</v>
      </c>
      <c r="C8" s="1977"/>
      <c r="D8" s="1978" t="s">
        <v>1644</v>
      </c>
    </row>
    <row r="9" spans="1:4">
      <c r="A9" s="727"/>
      <c r="B9" s="727"/>
      <c r="C9" s="727"/>
      <c r="D9" s="727"/>
    </row>
    <row r="10" spans="1:4" ht="18.75">
      <c r="A10" s="1981" t="s">
        <v>1647</v>
      </c>
      <c r="B10" s="727"/>
      <c r="C10" s="727"/>
      <c r="D10" s="727"/>
    </row>
    <row r="11" spans="1:4" ht="30" customHeight="1">
      <c r="A11" s="3021" t="s">
        <v>1648</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1649</v>
      </c>
      <c r="B16" s="3025"/>
      <c r="C16" s="3025"/>
      <c r="D16" s="3025"/>
    </row>
    <row r="17" spans="1:4" ht="144" customHeight="1">
      <c r="A17" s="3025" t="s">
        <v>1650</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1651</v>
      </c>
      <c r="B22" s="3027"/>
      <c r="C22" s="3027"/>
      <c r="D22" s="3027"/>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865</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81</v>
      </c>
      <c r="B3" s="1972" t="s">
        <v>1657</v>
      </c>
      <c r="G3" s="1989"/>
    </row>
    <row r="4" spans="1:7">
      <c r="G4" s="1989"/>
    </row>
    <row r="5" spans="1:7">
      <c r="A5" s="1991" t="s">
        <v>72</v>
      </c>
      <c r="B5" s="1972" t="s">
        <v>1658</v>
      </c>
      <c r="G5" s="1989"/>
    </row>
    <row r="6" spans="1:7">
      <c r="G6" s="1989"/>
    </row>
    <row r="7" spans="1:7">
      <c r="A7" s="1992" t="s">
        <v>134</v>
      </c>
      <c r="B7" s="1972" t="s">
        <v>1659</v>
      </c>
      <c r="G7" s="1989"/>
    </row>
    <row r="8" spans="1:7">
      <c r="G8" s="1989"/>
    </row>
    <row r="9" spans="1:7">
      <c r="A9" s="1993" t="s">
        <v>73</v>
      </c>
      <c r="B9" s="1972" t="s">
        <v>1660</v>
      </c>
    </row>
    <row r="11" spans="1:7">
      <c r="A11" s="1994" t="s">
        <v>74</v>
      </c>
      <c r="B11" s="1995" t="s">
        <v>71</v>
      </c>
    </row>
    <row r="13" spans="1:7">
      <c r="A13" s="1996" t="s">
        <v>1661</v>
      </c>
    </row>
    <row r="15" spans="1:7" ht="13.5">
      <c r="A15" s="3033" t="s">
        <v>1662</v>
      </c>
      <c r="B15" s="3028" t="s">
        <v>135</v>
      </c>
      <c r="C15" s="3029"/>
    </row>
    <row r="16" spans="1:7" ht="13.5">
      <c r="A16" s="3034"/>
      <c r="B16" s="3028" t="s">
        <v>68</v>
      </c>
      <c r="C16" s="3029"/>
    </row>
    <row r="17" spans="1:3" ht="13.5">
      <c r="A17" s="3034"/>
      <c r="B17" s="3031" t="s">
        <v>1663</v>
      </c>
      <c r="C17" s="1997" t="s">
        <v>1662</v>
      </c>
    </row>
    <row r="18" spans="1:3" ht="13.5">
      <c r="A18" s="3034"/>
      <c r="B18" s="3031"/>
      <c r="C18" s="1997" t="s">
        <v>1664</v>
      </c>
    </row>
    <row r="19" spans="1:3" ht="13.5">
      <c r="A19" s="3034"/>
      <c r="B19" s="3031"/>
      <c r="C19" s="1997" t="s">
        <v>1665</v>
      </c>
    </row>
    <row r="20" spans="1:3" ht="13.5">
      <c r="A20" s="3035"/>
      <c r="B20" s="3030" t="s">
        <v>1666</v>
      </c>
      <c r="C20" s="3029"/>
    </row>
    <row r="21" spans="1:3" ht="13.5">
      <c r="A21" s="1998" t="s">
        <v>1667</v>
      </c>
      <c r="B21" s="1999"/>
      <c r="C21" s="2000"/>
    </row>
    <row r="22" spans="1:3" ht="13.5">
      <c r="A22" s="3032" t="s">
        <v>1668</v>
      </c>
      <c r="B22" s="3030" t="s">
        <v>1669</v>
      </c>
      <c r="C22" s="3029"/>
    </row>
    <row r="23" spans="1:3" ht="13.5">
      <c r="A23" s="3032"/>
      <c r="B23" s="3030" t="s">
        <v>1670</v>
      </c>
      <c r="C23" s="3029"/>
    </row>
    <row r="24" spans="1:3" ht="13.5">
      <c r="A24" s="3032"/>
      <c r="B24" s="3030" t="s">
        <v>1671</v>
      </c>
      <c r="C24" s="3029"/>
    </row>
    <row r="25" spans="1:3" ht="13.5">
      <c r="A25" s="3032"/>
      <c r="B25" s="3031" t="s">
        <v>1672</v>
      </c>
      <c r="C25" s="1997" t="s">
        <v>1673</v>
      </c>
    </row>
    <row r="26" spans="1:3" ht="13.5">
      <c r="A26" s="3032"/>
      <c r="B26" s="3031"/>
      <c r="C26" s="1997" t="s">
        <v>1674</v>
      </c>
    </row>
    <row r="27" spans="1:3" ht="13.5">
      <c r="A27" s="3032"/>
      <c r="B27" s="3031"/>
      <c r="C27" s="1997" t="s">
        <v>1675</v>
      </c>
    </row>
    <row r="28" spans="1:3" ht="13.5">
      <c r="A28" s="3032"/>
      <c r="B28" s="3031"/>
      <c r="C28" s="1997" t="s">
        <v>1676</v>
      </c>
    </row>
    <row r="29" spans="1:3" ht="13.5">
      <c r="A29" s="3032"/>
      <c r="B29" s="3031"/>
      <c r="C29" s="1997" t="s">
        <v>1677</v>
      </c>
    </row>
    <row r="30" spans="1:3" ht="13.5">
      <c r="A30" s="3032"/>
      <c r="B30" s="3031"/>
      <c r="C30" s="1997" t="s">
        <v>1678</v>
      </c>
    </row>
    <row r="31" spans="1:3" ht="13.5">
      <c r="A31" s="3032"/>
      <c r="B31" s="3031"/>
      <c r="C31" s="1997" t="s">
        <v>1679</v>
      </c>
    </row>
    <row r="32" spans="1:3" ht="13.5">
      <c r="A32" s="3032"/>
      <c r="B32" s="3031"/>
      <c r="C32" s="1997" t="s">
        <v>1680</v>
      </c>
    </row>
    <row r="33" spans="1:3" ht="13.5">
      <c r="A33" s="3032"/>
      <c r="B33" s="3031"/>
      <c r="C33" s="1997" t="s">
        <v>1681</v>
      </c>
    </row>
    <row r="34" spans="1:3">
      <c r="A34" s="2001" t="s">
        <v>75</v>
      </c>
    </row>
    <row r="37" spans="1:3">
      <c r="A37" s="2001" t="s">
        <v>1682</v>
      </c>
    </row>
    <row r="38" spans="1:3" ht="13.5">
      <c r="A38" s="2002" t="s">
        <v>76</v>
      </c>
    </row>
    <row r="39" spans="1:3" ht="13.5">
      <c r="A39" s="2002" t="s">
        <v>77</v>
      </c>
    </row>
    <row r="40" spans="1:3" ht="13.5">
      <c r="A40" s="2002" t="s">
        <v>78</v>
      </c>
    </row>
    <row r="41" spans="1:3" ht="13.5">
      <c r="A41" s="2003" t="s">
        <v>79</v>
      </c>
    </row>
    <row r="42" spans="1:3" ht="13.5">
      <c r="A42" s="200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824</v>
      </c>
      <c r="B2" s="1016">
        <f ca="1">TODAY()</f>
        <v>43913</v>
      </c>
      <c r="C2" s="1017" t="s">
        <v>825</v>
      </c>
      <c r="D2" s="1017"/>
    </row>
    <row r="3" spans="1:6" ht="24" customHeight="1">
      <c r="A3" s="1018" t="s">
        <v>826</v>
      </c>
      <c r="B3" s="1019" t="s">
        <v>827</v>
      </c>
      <c r="C3" s="2340" t="s">
        <v>828</v>
      </c>
      <c r="D3" s="2343" t="s">
        <v>829</v>
      </c>
      <c r="E3" s="1020" t="s">
        <v>830</v>
      </c>
      <c r="F3" s="1019" t="s">
        <v>828</v>
      </c>
    </row>
    <row r="4" spans="1:6" ht="24" customHeight="1">
      <c r="A4" s="1700" t="s">
        <v>831</v>
      </c>
      <c r="B4" s="1020" t="str">
        <f ca="1">IF(C4&lt;B2,"已过期",1119970066)</f>
        <v>已过期</v>
      </c>
      <c r="C4" s="2341">
        <v>43849</v>
      </c>
      <c r="D4" s="2344" t="s">
        <v>831</v>
      </c>
      <c r="E4" s="1020">
        <f ca="1">IF(F4&lt;B2,"已过期",96010014)</f>
        <v>96010014</v>
      </c>
      <c r="F4" s="1028">
        <v>47118</v>
      </c>
    </row>
    <row r="5" spans="1:6" ht="24" customHeight="1">
      <c r="A5" s="1700"/>
      <c r="B5" s="1020"/>
      <c r="C5" s="2341"/>
      <c r="D5" s="2344"/>
      <c r="E5" s="1020"/>
      <c r="F5" s="1028"/>
    </row>
    <row r="6" spans="1:6" ht="24" customHeight="1">
      <c r="A6" s="1700" t="s">
        <v>832</v>
      </c>
      <c r="B6" s="1020">
        <f ca="1">IF(C6&lt;B2,"已过期",1119970111)</f>
        <v>1119970111</v>
      </c>
      <c r="C6" s="2341">
        <v>44876</v>
      </c>
      <c r="D6" s="2344" t="s">
        <v>832</v>
      </c>
      <c r="E6" s="1020">
        <f ca="1">IF(F6&lt;B2,"已过期",94010078)</f>
        <v>94010078</v>
      </c>
      <c r="F6" s="1028">
        <v>46387</v>
      </c>
    </row>
    <row r="7" spans="1:6" ht="24" customHeight="1">
      <c r="A7" s="1700" t="s">
        <v>833</v>
      </c>
      <c r="B7" s="1020">
        <f ca="1">IF(C7&lt;B2,"已过期",1120050019)</f>
        <v>1120050019</v>
      </c>
      <c r="C7" s="2341">
        <v>44395</v>
      </c>
      <c r="D7" s="2344" t="s">
        <v>833</v>
      </c>
      <c r="E7" s="1020">
        <f ca="1">IF(F7&lt;B2,"已过期",2002110030)</f>
        <v>2002110030</v>
      </c>
      <c r="F7" s="1028">
        <v>46387</v>
      </c>
    </row>
    <row r="8" spans="1:6" ht="24" customHeight="1">
      <c r="A8" s="1700" t="s">
        <v>834</v>
      </c>
      <c r="B8" s="1020" t="str">
        <f ca="1">IF(C8&lt;B2,"已过期",1120000080)</f>
        <v>已过期</v>
      </c>
      <c r="C8" s="2341">
        <v>43849</v>
      </c>
      <c r="D8" s="2344" t="s">
        <v>834</v>
      </c>
      <c r="E8" s="1020">
        <f ca="1">IF(F8&lt;B2,"已过期",2000110082)</f>
        <v>2000110082</v>
      </c>
      <c r="F8" s="1028">
        <v>46387</v>
      </c>
    </row>
    <row r="9" spans="1:6" ht="24" customHeight="1">
      <c r="A9" s="1700" t="s">
        <v>835</v>
      </c>
      <c r="B9" s="1020" t="str">
        <f ca="1">IF(C9&lt;B2,"已过期",1419970001)</f>
        <v>已过期</v>
      </c>
      <c r="C9" s="2341">
        <v>43867</v>
      </c>
      <c r="D9" s="2344" t="s">
        <v>835</v>
      </c>
      <c r="E9" s="1020">
        <f ca="1">IF(F9&lt;B2,"已过期",2002110125)</f>
        <v>2002110125</v>
      </c>
      <c r="F9" s="1028">
        <v>47118</v>
      </c>
    </row>
    <row r="10" spans="1:6" ht="24" customHeight="1">
      <c r="A10" s="1700" t="s">
        <v>836</v>
      </c>
      <c r="B10" s="1020">
        <f ca="1">IF(C10&lt;B2,"已过期",1120060040)</f>
        <v>1120060040</v>
      </c>
      <c r="C10" s="2341">
        <v>44554</v>
      </c>
      <c r="D10" s="2344" t="s">
        <v>836</v>
      </c>
      <c r="E10" s="1020">
        <f ca="1">IF(F10&lt;B2,"已过期",2004110096)</f>
        <v>2004110096</v>
      </c>
      <c r="F10" s="1028">
        <v>47118</v>
      </c>
    </row>
    <row r="11" spans="1:6" ht="24" customHeight="1">
      <c r="A11" s="1700" t="s">
        <v>837</v>
      </c>
      <c r="B11" s="1020">
        <f ca="1">IF(C11&lt;B2,"已过期",1120100036)</f>
        <v>1120100036</v>
      </c>
      <c r="C11" s="2341">
        <v>44675</v>
      </c>
      <c r="D11" s="2344" t="s">
        <v>837</v>
      </c>
      <c r="E11" s="1020">
        <f ca="1">IF(F11&lt;B2,"已过期",2010110070)</f>
        <v>2010110070</v>
      </c>
      <c r="F11" s="1028">
        <v>47907</v>
      </c>
    </row>
    <row r="12" spans="1:6" ht="24" customHeight="1">
      <c r="A12" s="1700"/>
      <c r="B12" s="1020"/>
      <c r="C12" s="2922"/>
      <c r="D12" s="1700"/>
      <c r="E12" s="1020"/>
      <c r="F12" s="1028"/>
    </row>
    <row r="13" spans="1:6" ht="24" customHeight="1">
      <c r="A13" s="1700" t="s">
        <v>838</v>
      </c>
      <c r="B13" s="1020">
        <f ca="1">IF(C13&lt;B2,"已过期",1120070131)</f>
        <v>1120070131</v>
      </c>
      <c r="C13" s="2341">
        <v>44849</v>
      </c>
      <c r="D13" s="2344" t="s">
        <v>838</v>
      </c>
      <c r="E13" s="1020">
        <f ca="1">IF(F13&lt;B2,"已过期",2014110011)</f>
        <v>2014110011</v>
      </c>
      <c r="F13" s="1028">
        <v>49302</v>
      </c>
    </row>
    <row r="14" spans="1:6" ht="24" customHeight="1">
      <c r="A14" s="1700" t="s">
        <v>3006</v>
      </c>
      <c r="B14" s="1020">
        <f ca="1">IF(C14&lt;B2,"已过期",1120040230)</f>
        <v>1120040230</v>
      </c>
      <c r="C14" s="2341">
        <v>44864</v>
      </c>
      <c r="D14" s="2344" t="s">
        <v>3006</v>
      </c>
      <c r="E14" s="1020">
        <f ca="1">IF(F14&lt;B2,"已过期",98030020)</f>
        <v>98030020</v>
      </c>
      <c r="F14" s="1028">
        <v>47118</v>
      </c>
    </row>
    <row r="15" spans="1:6" ht="24" customHeight="1">
      <c r="A15" s="1701"/>
      <c r="B15" s="1020"/>
      <c r="C15" s="2341"/>
      <c r="D15" s="2345"/>
      <c r="E15" s="1020"/>
      <c r="F15" s="1021"/>
    </row>
    <row r="16" spans="1:6" ht="24" customHeight="1">
      <c r="A16" s="1700"/>
      <c r="B16" s="1020"/>
      <c r="C16" s="2922"/>
      <c r="D16" s="2344"/>
      <c r="E16" s="1020"/>
      <c r="F16" s="1028"/>
    </row>
    <row r="17" spans="1:7" ht="24" customHeight="1">
      <c r="A17" s="1700"/>
      <c r="B17" s="1020"/>
      <c r="C17" s="2341"/>
      <c r="D17" s="2344"/>
      <c r="E17" s="1020"/>
      <c r="F17" s="1028"/>
    </row>
    <row r="18" spans="1:7" ht="24" customHeight="1">
      <c r="A18" s="1700" t="s">
        <v>3013</v>
      </c>
      <c r="B18" s="1020">
        <v>1120190079</v>
      </c>
      <c r="C18" s="2922">
        <v>44826</v>
      </c>
      <c r="D18" s="2344"/>
      <c r="E18" s="1020"/>
      <c r="F18" s="1028"/>
    </row>
    <row r="19" spans="1:7" ht="24" customHeight="1">
      <c r="A19" s="1700"/>
      <c r="B19" s="1020"/>
      <c r="C19" s="2341"/>
      <c r="D19" s="2344"/>
      <c r="E19" s="1020"/>
      <c r="F19" s="1020"/>
    </row>
    <row r="20" spans="1:7" ht="24" customHeight="1">
      <c r="A20" s="1700"/>
      <c r="B20" s="1020"/>
      <c r="C20" s="2341"/>
      <c r="D20" s="2344"/>
      <c r="E20" s="1020"/>
      <c r="F20" s="1020"/>
    </row>
    <row r="21" spans="1:7" ht="24" customHeight="1">
      <c r="A21" s="1700"/>
      <c r="B21" s="1020"/>
      <c r="C21" s="2341"/>
      <c r="D21" s="2344" t="s">
        <v>839</v>
      </c>
      <c r="E21" s="1020">
        <f ca="1">IF(F21&lt;B2,"已过期",2011110090)</f>
        <v>2011110090</v>
      </c>
      <c r="F21" s="1028">
        <v>48302</v>
      </c>
    </row>
    <row r="22" spans="1:7" ht="24" customHeight="1">
      <c r="A22" s="1700" t="s">
        <v>840</v>
      </c>
      <c r="B22" s="1020">
        <f ca="1">IF(C22&lt;B2,"已过期",1120020033)</f>
        <v>1120020033</v>
      </c>
      <c r="C22" s="2922">
        <v>44339</v>
      </c>
      <c r="D22" s="2344" t="s">
        <v>840</v>
      </c>
      <c r="E22" s="1020">
        <f ca="1">IF(F22&lt;B2,"已过期",2000110137)</f>
        <v>2000110137</v>
      </c>
      <c r="F22" s="1028">
        <v>46387</v>
      </c>
    </row>
    <row r="23" spans="1:7" ht="24" customHeight="1">
      <c r="A23" s="1700" t="s">
        <v>3015</v>
      </c>
      <c r="B23" s="1020">
        <v>1119980106</v>
      </c>
      <c r="C23" s="2341">
        <v>43916</v>
      </c>
      <c r="D23" s="2344"/>
      <c r="E23" s="1020"/>
      <c r="F23" s="1020"/>
    </row>
    <row r="24" spans="1:7" s="1022" customFormat="1" ht="24" customHeight="1">
      <c r="A24" s="1701" t="s">
        <v>1327</v>
      </c>
      <c r="B24" s="1701" t="s">
        <v>1327</v>
      </c>
      <c r="C24" s="2342" t="s">
        <v>1327</v>
      </c>
      <c r="D24" s="2345" t="s">
        <v>1327</v>
      </c>
      <c r="E24" s="1701" t="s">
        <v>1327</v>
      </c>
      <c r="F24" s="1701" t="s">
        <v>1327</v>
      </c>
    </row>
    <row r="25" spans="1:7" ht="24" customHeight="1">
      <c r="A25" s="3036" t="s">
        <v>841</v>
      </c>
      <c r="B25" s="3036"/>
      <c r="C25" s="3036"/>
      <c r="D25" s="3036"/>
      <c r="E25" s="3036"/>
      <c r="F25" s="3036"/>
      <c r="G25" s="3036"/>
    </row>
    <row r="26" spans="1:7" s="1023" customFormat="1" ht="24" customHeight="1">
      <c r="A26" s="3037" t="s">
        <v>842</v>
      </c>
      <c r="B26" s="3037"/>
      <c r="C26" s="3038"/>
      <c r="D26" s="3039" t="s">
        <v>843</v>
      </c>
      <c r="E26" s="3037"/>
      <c r="F26" s="3037"/>
    </row>
    <row r="27" spans="1:7" s="1025" customFormat="1" ht="24" customHeight="1">
      <c r="A27" s="1024" t="s">
        <v>844</v>
      </c>
      <c r="B27" s="1019" t="s">
        <v>845</v>
      </c>
      <c r="C27" s="2340" t="s">
        <v>846</v>
      </c>
      <c r="D27" s="2347" t="s">
        <v>844</v>
      </c>
      <c r="E27" s="1019" t="s">
        <v>845</v>
      </c>
      <c r="F27" s="1019" t="s">
        <v>846</v>
      </c>
    </row>
    <row r="28" spans="1:7" s="1025" customFormat="1" ht="24" customHeight="1">
      <c r="A28" s="1026" t="s">
        <v>847</v>
      </c>
      <c r="B28" s="1027" t="s">
        <v>848</v>
      </c>
      <c r="C28" s="1028">
        <v>44820</v>
      </c>
      <c r="D28" s="2348" t="s">
        <v>849</v>
      </c>
      <c r="E28" s="1026" t="s">
        <v>850</v>
      </c>
      <c r="F28" s="1056">
        <v>44377</v>
      </c>
    </row>
    <row r="29" spans="1:7" s="1025" customFormat="1" ht="24" customHeight="1">
      <c r="A29" s="1026"/>
      <c r="B29" s="1026"/>
      <c r="C29" s="2346"/>
      <c r="D29" s="2348" t="s">
        <v>851</v>
      </c>
      <c r="E29" s="1200" t="s">
        <v>3014</v>
      </c>
      <c r="F29" s="1201">
        <v>44012</v>
      </c>
    </row>
    <row r="30" spans="1:7" ht="24" customHeight="1">
      <c r="C30" s="1029"/>
      <c r="D30" s="1029"/>
    </row>
  </sheetData>
  <sheetProtection sheet="1" objects="1" scenarios="1"/>
  <mergeCells count="3">
    <mergeCell ref="A25:G25"/>
    <mergeCell ref="A26:C26"/>
    <mergeCell ref="D26:F26"/>
  </mergeCells>
  <phoneticPr fontId="87" type="noConversion"/>
  <conditionalFormatting sqref="F4">
    <cfRule type="cellIs" dxfId="225" priority="97" stopIfTrue="1" operator="lessThan">
      <formula>$B$2</formula>
    </cfRule>
  </conditionalFormatting>
  <conditionalFormatting sqref="C5">
    <cfRule type="expression" dxfId="224" priority="92">
      <formula>AND($C5-TODAY()&lt;30,TODAY()&lt;$C5)</formula>
    </cfRule>
  </conditionalFormatting>
  <conditionalFormatting sqref="C5 F5">
    <cfRule type="cellIs" dxfId="223" priority="93" stopIfTrue="1" operator="lessThan">
      <formula>$B$2</formula>
    </cfRule>
  </conditionalFormatting>
  <conditionalFormatting sqref="F6 F8 F10">
    <cfRule type="cellIs" dxfId="222" priority="91" stopIfTrue="1" operator="lessThan">
      <formula>$B$2</formula>
    </cfRule>
  </conditionalFormatting>
  <conditionalFormatting sqref="C4:C11 C13 C23 C17 C19:C21">
    <cfRule type="expression" dxfId="221" priority="89">
      <formula>AND($C4-TODAY()&lt;30,TODAY()&lt;$C4)</formula>
    </cfRule>
  </conditionalFormatting>
  <conditionalFormatting sqref="F7 F9 F11 C4:C11 C13 C23 C17 C19:C21">
    <cfRule type="cellIs" dxfId="220" priority="90" stopIfTrue="1" operator="lessThan">
      <formula>$B$2</formula>
    </cfRule>
  </conditionalFormatting>
  <conditionalFormatting sqref="C20">
    <cfRule type="expression" dxfId="219" priority="77">
      <formula>AND($C20-TODAY()&lt;30,TODAY()&lt;$C20)</formula>
    </cfRule>
  </conditionalFormatting>
  <conditionalFormatting sqref="C20">
    <cfRule type="cellIs" dxfId="218" priority="78" stopIfTrue="1" operator="lessThan">
      <formula>$B$2</formula>
    </cfRule>
  </conditionalFormatting>
  <conditionalFormatting sqref="C17">
    <cfRule type="expression" dxfId="217" priority="71">
      <formula>AND($C17-TODAY()&lt;30,TODAY()&lt;$C17)</formula>
    </cfRule>
  </conditionalFormatting>
  <conditionalFormatting sqref="C17">
    <cfRule type="cellIs" dxfId="216" priority="72" stopIfTrue="1" operator="lessThan">
      <formula>$B$2</formula>
    </cfRule>
  </conditionalFormatting>
  <conditionalFormatting sqref="C19">
    <cfRule type="expression" dxfId="215" priority="69">
      <formula>AND($C19-TODAY()&lt;30,TODAY()&lt;$C19)</formula>
    </cfRule>
  </conditionalFormatting>
  <conditionalFormatting sqref="C19">
    <cfRule type="cellIs" dxfId="214" priority="70" stopIfTrue="1" operator="lessThan">
      <formula>$B$2</formula>
    </cfRule>
  </conditionalFormatting>
  <conditionalFormatting sqref="C21">
    <cfRule type="expression" dxfId="213" priority="67">
      <formula>AND($C21-TODAY()&lt;30,TODAY()&lt;$C21)</formula>
    </cfRule>
  </conditionalFormatting>
  <conditionalFormatting sqref="C21">
    <cfRule type="cellIs" dxfId="212" priority="68" stopIfTrue="1" operator="lessThan">
      <formula>$B$2</formula>
    </cfRule>
  </conditionalFormatting>
  <conditionalFormatting sqref="C23">
    <cfRule type="expression" dxfId="211" priority="65">
      <formula>AND($C23-TODAY()&lt;30,TODAY()&lt;$C23)</formula>
    </cfRule>
  </conditionalFormatting>
  <conditionalFormatting sqref="C23">
    <cfRule type="cellIs" dxfId="210" priority="66" stopIfTrue="1" operator="lessThan">
      <formula>$B$2</formula>
    </cfRule>
  </conditionalFormatting>
  <conditionalFormatting sqref="F18">
    <cfRule type="cellIs" dxfId="209" priority="62" stopIfTrue="1" operator="lessThan">
      <formula>$B$2</formula>
    </cfRule>
  </conditionalFormatting>
  <conditionalFormatting sqref="F22">
    <cfRule type="cellIs" dxfId="208" priority="61" stopIfTrue="1" operator="lessThan">
      <formula>$B$2</formula>
    </cfRule>
  </conditionalFormatting>
  <conditionalFormatting sqref="F21">
    <cfRule type="cellIs" dxfId="207" priority="60" stopIfTrue="1" operator="lessThan">
      <formula>$B$2</formula>
    </cfRule>
  </conditionalFormatting>
  <conditionalFormatting sqref="B4:B11 E4:E11 B17 E18:E23 B13 E13 B19:B23">
    <cfRule type="cellIs" dxfId="206" priority="58" stopIfTrue="1" operator="equal">
      <formula>"已过期"</formula>
    </cfRule>
  </conditionalFormatting>
  <conditionalFormatting sqref="A24:F24">
    <cfRule type="cellIs" dxfId="205" priority="54" stopIfTrue="1" operator="equal">
      <formula>"已过期"</formula>
    </cfRule>
  </conditionalFormatting>
  <conditionalFormatting sqref="F28">
    <cfRule type="expression" dxfId="204" priority="52">
      <formula>AND($E28-TODAY()&lt;30,TODAY()&lt;$E28)</formula>
    </cfRule>
  </conditionalFormatting>
  <conditionalFormatting sqref="F28">
    <cfRule type="cellIs" dxfId="203" priority="53" stopIfTrue="1" operator="lessThan">
      <formula>$B$2</formula>
    </cfRule>
  </conditionalFormatting>
  <conditionalFormatting sqref="F29">
    <cfRule type="expression" dxfId="202" priority="48" stopIfTrue="1">
      <formula>AND($E29-TODAY()&lt;30,TODAY()&lt;$E29)</formula>
    </cfRule>
  </conditionalFormatting>
  <conditionalFormatting sqref="F29">
    <cfRule type="cellIs" dxfId="201" priority="49" stopIfTrue="1" operator="lessThan">
      <formula>$B$2</formula>
    </cfRule>
  </conditionalFormatting>
  <conditionalFormatting sqref="F13">
    <cfRule type="cellIs" dxfId="200" priority="41" stopIfTrue="1" operator="lessThan">
      <formula>$B$2</formula>
    </cfRule>
  </conditionalFormatting>
  <conditionalFormatting sqref="C12">
    <cfRule type="expression" dxfId="199" priority="39">
      <formula>AND($C12-TODAY()&lt;30,TODAY()&lt;$C12)</formula>
    </cfRule>
  </conditionalFormatting>
  <conditionalFormatting sqref="C12">
    <cfRule type="cellIs" dxfId="198" priority="40" stopIfTrue="1" operator="lessThan">
      <formula>$B$2</formula>
    </cfRule>
  </conditionalFormatting>
  <conditionalFormatting sqref="C12">
    <cfRule type="expression" dxfId="197" priority="37">
      <formula>AND($C12-TODAY()&lt;30,TODAY()&lt;$C12)</formula>
    </cfRule>
  </conditionalFormatting>
  <conditionalFormatting sqref="C12">
    <cfRule type="cellIs" dxfId="196" priority="38" stopIfTrue="1" operator="lessThan">
      <formula>$B$2</formula>
    </cfRule>
  </conditionalFormatting>
  <conditionalFormatting sqref="B12">
    <cfRule type="cellIs" dxfId="195" priority="36" stopIfTrue="1" operator="equal">
      <formula>"已过期"</formula>
    </cfRule>
  </conditionalFormatting>
  <conditionalFormatting sqref="E12">
    <cfRule type="cellIs" dxfId="194" priority="35" stopIfTrue="1" operator="equal">
      <formula>"已过期"</formula>
    </cfRule>
  </conditionalFormatting>
  <conditionalFormatting sqref="F12">
    <cfRule type="cellIs" dxfId="193" priority="34" stopIfTrue="1" operator="lessThan">
      <formula>$B$2</formula>
    </cfRule>
  </conditionalFormatting>
  <conditionalFormatting sqref="C22">
    <cfRule type="expression" dxfId="192" priority="32">
      <formula>AND($C22-TODAY()&lt;30,TODAY()&lt;$C22)</formula>
    </cfRule>
  </conditionalFormatting>
  <conditionalFormatting sqref="C22">
    <cfRule type="cellIs" dxfId="191" priority="33" stopIfTrue="1" operator="lessThan">
      <formula>$B$2</formula>
    </cfRule>
  </conditionalFormatting>
  <conditionalFormatting sqref="C22">
    <cfRule type="expression" dxfId="190" priority="30">
      <formula>AND($C22-TODAY()&lt;30,TODAY()&lt;$C22)</formula>
    </cfRule>
  </conditionalFormatting>
  <conditionalFormatting sqref="C22">
    <cfRule type="cellIs" dxfId="189" priority="31" stopIfTrue="1" operator="lessThan">
      <formula>$B$2</formula>
    </cfRule>
  </conditionalFormatting>
  <conditionalFormatting sqref="C16">
    <cfRule type="expression" dxfId="188" priority="28">
      <formula>AND($C16-TODAY()&lt;30,TODAY()&lt;$C16)</formula>
    </cfRule>
  </conditionalFormatting>
  <conditionalFormatting sqref="C16">
    <cfRule type="cellIs" dxfId="187" priority="29" stopIfTrue="1" operator="lessThan">
      <formula>$B$2</formula>
    </cfRule>
  </conditionalFormatting>
  <conditionalFormatting sqref="C16">
    <cfRule type="expression" dxfId="186" priority="26">
      <formula>AND($C16-TODAY()&lt;30,TODAY()&lt;$C16)</formula>
    </cfRule>
  </conditionalFormatting>
  <conditionalFormatting sqref="C16">
    <cfRule type="cellIs" dxfId="185" priority="27" stopIfTrue="1" operator="lessThan">
      <formula>$B$2</formula>
    </cfRule>
  </conditionalFormatting>
  <conditionalFormatting sqref="B16">
    <cfRule type="cellIs" dxfId="184" priority="25" stopIfTrue="1" operator="equal">
      <formula>"已过期"</formula>
    </cfRule>
  </conditionalFormatting>
  <conditionalFormatting sqref="C14:C15">
    <cfRule type="expression" dxfId="183" priority="23">
      <formula>AND($C14-TODAY()&lt;30,TODAY()&lt;$C14)</formula>
    </cfRule>
  </conditionalFormatting>
  <conditionalFormatting sqref="C14:C15">
    <cfRule type="cellIs" dxfId="182" priority="24" stopIfTrue="1" operator="lessThan">
      <formula>$B$2</formula>
    </cfRule>
  </conditionalFormatting>
  <conditionalFormatting sqref="C14">
    <cfRule type="expression" dxfId="181" priority="21">
      <formula>AND($C14-TODAY()&lt;30,TODAY()&lt;$C14)</formula>
    </cfRule>
  </conditionalFormatting>
  <conditionalFormatting sqref="C14">
    <cfRule type="cellIs" dxfId="180" priority="22" stopIfTrue="1" operator="lessThan">
      <formula>$B$2</formula>
    </cfRule>
  </conditionalFormatting>
  <conditionalFormatting sqref="C15">
    <cfRule type="expression" dxfId="179" priority="19">
      <formula>AND($C15-TODAY()&lt;30,TODAY()&lt;$C15)</formula>
    </cfRule>
  </conditionalFormatting>
  <conditionalFormatting sqref="C15">
    <cfRule type="cellIs" dxfId="178" priority="20" stopIfTrue="1" operator="lessThan">
      <formula>$B$2</formula>
    </cfRule>
  </conditionalFormatting>
  <conditionalFormatting sqref="B14">
    <cfRule type="cellIs" dxfId="177" priority="18" stopIfTrue="1" operator="equal">
      <formula>"已过期"</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F16">
    <cfRule type="cellIs" dxfId="173" priority="14" stopIfTrue="1" operator="lessThan">
      <formula>$B$2</formula>
    </cfRule>
  </conditionalFormatting>
  <conditionalFormatting sqref="E16 E14">
    <cfRule type="cellIs" dxfId="172" priority="13" stopIfTrue="1" operator="equal">
      <formula>"已过期"</formula>
    </cfRule>
  </conditionalFormatting>
  <conditionalFormatting sqref="E15">
    <cfRule type="cellIs" dxfId="171" priority="12" stopIfTrue="1" operator="equal">
      <formula>"已过期"</formula>
    </cfRule>
  </conditionalFormatting>
  <conditionalFormatting sqref="D15">
    <cfRule type="cellIs" dxfId="170" priority="11" stopIfTrue="1" operator="equal">
      <formula>"已过期"</formula>
    </cfRule>
  </conditionalFormatting>
  <conditionalFormatting sqref="F17">
    <cfRule type="cellIs" dxfId="169" priority="10" stopIfTrue="1" operator="lessThan">
      <formula>$B$2</formula>
    </cfRule>
  </conditionalFormatting>
  <conditionalFormatting sqref="E17">
    <cfRule type="cellIs" dxfId="168" priority="9" stopIfTrue="1" operator="equal">
      <formula>"已过期"</formula>
    </cfRule>
  </conditionalFormatting>
  <conditionalFormatting sqref="F14">
    <cfRule type="cellIs" dxfId="167" priority="8" stopIfTrue="1" operator="lessThan">
      <formula>$B$2</formula>
    </cfRule>
  </conditionalFormatting>
  <conditionalFormatting sqref="C18">
    <cfRule type="expression" dxfId="166" priority="6">
      <formula>AND($C18-TODAY()&lt;30,TODAY()&lt;$C18)</formula>
    </cfRule>
  </conditionalFormatting>
  <conditionalFormatting sqref="C18">
    <cfRule type="cellIs" dxfId="165" priority="7" stopIfTrue="1" operator="lessThan">
      <formula>$B$2</formula>
    </cfRule>
  </conditionalFormatting>
  <conditionalFormatting sqref="C18">
    <cfRule type="expression" dxfId="164" priority="4">
      <formula>AND($C18-TODAY()&lt;30,TODAY()&lt;$C18)</formula>
    </cfRule>
  </conditionalFormatting>
  <conditionalFormatting sqref="C18">
    <cfRule type="cellIs" dxfId="163" priority="5" stopIfTrue="1" operator="lessThan">
      <formula>$B$2</formula>
    </cfRule>
  </conditionalFormatting>
  <conditionalFormatting sqref="B18">
    <cfRule type="cellIs" dxfId="162" priority="3" stopIfTrue="1" operator="equal">
      <formula>"已过期"</formula>
    </cfRule>
  </conditionalFormatting>
  <conditionalFormatting sqref="C28">
    <cfRule type="expression" dxfId="161" priority="1">
      <formula>AND($C28-TODAY()&lt;30,TODAY()&lt;$C28)</formula>
    </cfRule>
  </conditionalFormatting>
  <conditionalFormatting sqref="C28">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 (2)</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比较法-住宅-高层</vt:lpstr>
      <vt:lpstr>比较法-住宅-小高层</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'比较法-住宅-高层'!住宅朝向</vt:lpstr>
      <vt:lpstr>住宅朝向</vt:lpstr>
      <vt:lpstr>'比较法-住宅-高层'!住宅房型</vt:lpstr>
      <vt:lpstr>住宅房型</vt:lpstr>
      <vt:lpstr>'比较法-住宅-高层'!住宅公共部分装修</vt:lpstr>
      <vt:lpstr>住宅公共部分装修</vt:lpstr>
      <vt:lpstr>'比较法-住宅-高层'!住宅基础设施水平</vt:lpstr>
      <vt:lpstr>住宅基础设施水平</vt:lpstr>
      <vt:lpstr>'比较法-住宅-高层'!住宅建筑结构</vt:lpstr>
      <vt:lpstr>住宅建筑结构</vt:lpstr>
      <vt:lpstr>'比较法-住宅-高层'!住宅建筑类型</vt:lpstr>
      <vt:lpstr>住宅建筑类型</vt:lpstr>
      <vt:lpstr>'比较法-住宅-高层'!住宅建筑品质</vt:lpstr>
      <vt:lpstr>住宅建筑品质</vt:lpstr>
      <vt:lpstr>'比较法-住宅-高层'!住宅交易情况</vt:lpstr>
      <vt:lpstr>住宅交易情况</vt:lpstr>
      <vt:lpstr>'比较法-住宅-高层'!住宅楼层</vt:lpstr>
      <vt:lpstr>住宅楼层</vt:lpstr>
      <vt:lpstr>'比较法-住宅-高层'!住宅内部装修</vt:lpstr>
      <vt:lpstr>住宅内部装修</vt:lpstr>
      <vt:lpstr>'比较法-住宅-高层'!住宅物业管理</vt:lpstr>
      <vt:lpstr>住宅物业管理</vt:lpstr>
      <vt:lpstr>'比较法-住宅-高层'!住宅用途</vt:lpstr>
      <vt:lpstr>住宅用途</vt:lpstr>
      <vt:lpstr>'比较法-住宅-高层'!住宅主力户型面积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2020-03-23T08:17:31Z</dcterms:modified>
</cp:coreProperties>
</file>