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表" sheetId="80" r:id="rId19"/>
    <sheet name="成本法 (元)" sheetId="69" state="hidden" r:id="rId20"/>
    <sheet name="假设开发法" sheetId="12" state="hidden" r:id="rId21"/>
    <sheet name="中指大宗交易案例" sheetId="81"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36">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6" i="80" l="1"/>
  <c r="P58" i="33" l="1"/>
  <c r="Q58" i="33" s="1"/>
  <c r="R58" i="33" s="1"/>
  <c r="S58" i="33" s="1"/>
  <c r="T58" i="33" s="1"/>
  <c r="U58" i="33" s="1"/>
  <c r="V58" i="33" s="1"/>
  <c r="W58" i="33" s="1"/>
  <c r="X58" i="33" s="1"/>
  <c r="Y58" i="33" s="1"/>
  <c r="Z58" i="33" s="1"/>
  <c r="AA58" i="33" s="1"/>
  <c r="AB58" i="33" s="1"/>
  <c r="AC58" i="33" s="1"/>
  <c r="H104" i="33"/>
  <c r="I47" i="33"/>
  <c r="G47" i="33"/>
  <c r="I36" i="33"/>
  <c r="G36" i="33"/>
  <c r="I13" i="33"/>
  <c r="G13" i="33"/>
  <c r="I7" i="33"/>
  <c r="G7" i="33"/>
  <c r="I5" i="33"/>
  <c r="G5" i="33"/>
  <c r="D26" i="80"/>
  <c r="C36" i="33"/>
  <c r="G112" i="33"/>
  <c r="F112" i="33"/>
  <c r="E112" i="33"/>
  <c r="D112" i="33"/>
  <c r="C112" i="33"/>
  <c r="D104" i="33"/>
  <c r="E104" i="33" s="1"/>
  <c r="F104" i="33" s="1"/>
  <c r="G104" i="33" s="1"/>
  <c r="D66" i="33"/>
  <c r="E66" i="33" s="1"/>
  <c r="F66" i="33" s="1"/>
  <c r="G66" i="33" s="1"/>
  <c r="E36" i="33"/>
  <c r="E13" i="33"/>
  <c r="E14" i="39"/>
  <c r="L35" i="80" l="1"/>
  <c r="L34" i="80"/>
  <c r="C5" i="39"/>
  <c r="D3" i="39"/>
  <c r="D3" i="4"/>
  <c r="B21" i="1" l="1"/>
  <c r="U6" i="1" l="1"/>
  <c r="Z6" i="1" s="1"/>
  <c r="K21" i="80"/>
  <c r="M6" i="80"/>
  <c r="M5" i="80" l="1"/>
  <c r="M4" i="80"/>
  <c r="M3" i="80"/>
  <c r="L5" i="80"/>
  <c r="L4" i="80"/>
  <c r="L3" i="80"/>
  <c r="N20" i="80"/>
  <c r="N19" i="80"/>
  <c r="N18" i="80"/>
  <c r="N17" i="80"/>
  <c r="N16" i="80"/>
  <c r="N15" i="80"/>
  <c r="N14" i="80"/>
  <c r="N13" i="80"/>
  <c r="N12" i="80"/>
  <c r="M12" i="80"/>
  <c r="M13" i="80" s="1"/>
  <c r="M14" i="80" s="1"/>
  <c r="M15" i="80" s="1"/>
  <c r="M16" i="80" s="1"/>
  <c r="M17" i="80" s="1"/>
  <c r="M18" i="80" s="1"/>
  <c r="M19" i="80" s="1"/>
  <c r="M20" i="80" s="1"/>
  <c r="K12" i="80"/>
  <c r="K13" i="80" s="1"/>
  <c r="K14" i="80" s="1"/>
  <c r="N21" i="80" l="1"/>
  <c r="K4" i="80" s="1"/>
  <c r="M21" i="80"/>
  <c r="K5" i="80" s="1"/>
  <c r="K15" i="80"/>
  <c r="K16" i="80" s="1"/>
  <c r="K17" i="80"/>
  <c r="K18" i="80" s="1"/>
  <c r="K19" i="80" s="1"/>
  <c r="K20" i="80" s="1"/>
  <c r="B23" i="80"/>
  <c r="K3" i="80" l="1"/>
  <c r="L6" i="80" s="1"/>
  <c r="U4" i="43"/>
  <c r="K33" i="80"/>
  <c r="M33" i="80" s="1"/>
  <c r="K32" i="80"/>
  <c r="M32" i="80" s="1"/>
  <c r="K31" i="80"/>
  <c r="K30" i="80"/>
  <c r="K28" i="80"/>
  <c r="M28" i="80" s="1"/>
  <c r="J33" i="80"/>
  <c r="U6" i="43" s="1"/>
  <c r="J32" i="80"/>
  <c r="U5" i="43" s="1"/>
  <c r="J31" i="80"/>
  <c r="J30" i="80"/>
  <c r="U3" i="43" s="1"/>
  <c r="J29" i="80"/>
  <c r="U2" i="43" s="1"/>
  <c r="J28" i="80"/>
  <c r="J34" i="80" s="1"/>
  <c r="B32" i="80"/>
  <c r="C32" i="80"/>
  <c r="F22" i="80"/>
  <c r="F21" i="80"/>
  <c r="F20" i="80"/>
  <c r="F19" i="80"/>
  <c r="F18" i="80"/>
  <c r="F17" i="80"/>
  <c r="F16" i="80"/>
  <c r="F15" i="80"/>
  <c r="F14" i="80"/>
  <c r="M30" i="80" l="1"/>
  <c r="M31" i="80"/>
  <c r="M29" i="80"/>
  <c r="M34" i="80"/>
  <c r="N34" i="80" s="1"/>
  <c r="F23" i="80"/>
  <c r="G23" i="80" s="1"/>
  <c r="N6" i="1"/>
  <c r="O19" i="1"/>
  <c r="D37" i="43" l="1"/>
  <c r="F19" i="6"/>
  <c r="G19" i="6"/>
  <c r="B54" i="1"/>
  <c r="Y6"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D77" i="33"/>
  <c r="F15" i="33" s="1"/>
  <c r="S15"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c r="H40" i="33"/>
  <c r="AB40" i="33"/>
  <c r="AA40" i="33"/>
  <c r="Q39" i="33"/>
  <c r="Z39" i="33"/>
  <c r="J39" i="33"/>
  <c r="AC39" i="33"/>
  <c r="Q38" i="33"/>
  <c r="Z38" i="33"/>
  <c r="J38" i="33"/>
  <c r="AC38" i="33" s="1"/>
  <c r="H38" i="33"/>
  <c r="U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AA32"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U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AB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26" i="33"/>
  <c r="AB30" i="21"/>
  <c r="AA14" i="37"/>
  <c r="W31" i="34"/>
  <c r="AC13" i="36"/>
  <c r="W13" i="36"/>
  <c r="S11" i="36"/>
  <c r="AB46" i="34"/>
  <c r="AC30" i="34"/>
  <c r="AA14" i="34"/>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AA21" i="39" s="1"/>
  <c r="G94" i="39"/>
  <c r="H21" i="39"/>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H41" i="33"/>
  <c r="U41" i="33" s="1"/>
  <c r="J35" i="33"/>
  <c r="AC35" i="33" s="1"/>
  <c r="S37" i="33"/>
  <c r="AA37" i="33"/>
  <c r="S39" i="33"/>
  <c r="F101" i="33"/>
  <c r="G101" i="33"/>
  <c r="H101" i="33"/>
  <c r="I101" i="33"/>
  <c r="J101" i="33"/>
  <c r="K101" i="33"/>
  <c r="L101" i="33"/>
  <c r="M101" i="33"/>
  <c r="J32" i="33"/>
  <c r="S46" i="33"/>
  <c r="F91" i="33"/>
  <c r="H27" i="33"/>
  <c r="F87" i="33"/>
  <c r="H25" i="33"/>
  <c r="F25" i="33"/>
  <c r="J23" i="33"/>
  <c r="W23" i="33" s="1"/>
  <c r="H23" i="33"/>
  <c r="U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G22" i="69"/>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S27" i="39"/>
  <c r="W17" i="39"/>
  <c r="AC1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U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C32" i="33"/>
  <c r="W32" i="33"/>
  <c r="U27" i="33"/>
  <c r="AB27" i="33"/>
  <c r="G91" i="33"/>
  <c r="H91" i="33"/>
  <c r="I91" i="33"/>
  <c r="J91" i="33"/>
  <c r="K91" i="33"/>
  <c r="L91" i="33"/>
  <c r="M91" i="33"/>
  <c r="J27" i="33"/>
  <c r="U25" i="33"/>
  <c r="AB25" i="33"/>
  <c r="S25" i="33"/>
  <c r="AA25" i="33"/>
  <c r="G87" i="33"/>
  <c r="H87" i="33"/>
  <c r="I87" i="33"/>
  <c r="J87" i="33"/>
  <c r="K87" i="33"/>
  <c r="L87" i="33"/>
  <c r="M87" i="33"/>
  <c r="J25" i="33"/>
  <c r="F23" i="33"/>
  <c r="S23"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6" i="67"/>
  <c r="F5" i="73"/>
  <c r="F6" i="15"/>
  <c r="B13" i="76"/>
  <c r="F36" i="15"/>
  <c r="M23" i="67"/>
  <c r="M26" i="15"/>
  <c r="E2" i="68"/>
  <c r="E9" i="76"/>
  <c r="F40" i="67"/>
  <c r="M22" i="15"/>
  <c r="F20" i="31"/>
  <c r="F37" i="15"/>
  <c r="M28" i="15"/>
  <c r="F13" i="15"/>
  <c r="F16" i="67"/>
  <c r="F43" i="67"/>
  <c r="J15" i="67"/>
  <c r="C76" i="67"/>
  <c r="E10" i="76"/>
  <c r="M24" i="15"/>
  <c r="M29" i="67"/>
  <c r="F37" i="67"/>
  <c r="E12" i="76"/>
  <c r="F42" i="67"/>
  <c r="F38" i="15"/>
  <c r="M9" i="15"/>
  <c r="F8" i="67"/>
  <c r="AO13" i="1"/>
  <c r="F26" i="67"/>
  <c r="F26" i="15"/>
  <c r="F36" i="67"/>
  <c r="F7" i="15"/>
  <c r="L48" i="15"/>
  <c r="F42" i="15"/>
  <c r="B7" i="76"/>
  <c r="F7" i="73"/>
  <c r="M28" i="67"/>
  <c r="M6" i="67"/>
  <c r="M8" i="15"/>
  <c r="F3" i="73"/>
  <c r="B9" i="76"/>
  <c r="M22" i="67"/>
  <c r="M24" i="67"/>
  <c r="F9" i="67"/>
  <c r="E7" i="76"/>
  <c r="M8" i="67"/>
  <c r="E11" i="76"/>
  <c r="L47" i="67"/>
  <c r="E2" i="69"/>
  <c r="F9" i="15"/>
  <c r="F43" i="15"/>
  <c r="M6" i="15"/>
  <c r="L47" i="15"/>
  <c r="F7" i="67"/>
  <c r="E13" i="76"/>
  <c r="F4" i="73"/>
  <c r="F16" i="15"/>
  <c r="B12" i="76"/>
  <c r="F8" i="15"/>
  <c r="F6" i="73"/>
  <c r="B8" i="76"/>
  <c r="F38" i="67"/>
  <c r="J15" i="15"/>
  <c r="F6" i="67"/>
  <c r="E8" i="76"/>
  <c r="M23" i="15"/>
  <c r="B11" i="76"/>
  <c r="B10" i="76"/>
  <c r="F13" i="67"/>
  <c r="M9" i="67"/>
  <c r="M29" i="15"/>
  <c r="F40" i="15"/>
  <c r="C76" i="15"/>
  <c r="S45" i="33" l="1"/>
  <c r="U42" i="33"/>
  <c r="S43" i="33"/>
  <c r="S42" i="33"/>
  <c r="AA29" i="33"/>
  <c r="AB21" i="33"/>
  <c r="AC23" i="33"/>
  <c r="AB23" i="33"/>
  <c r="U19" i="33"/>
  <c r="W19" i="33"/>
  <c r="F79" i="33"/>
  <c r="G79" i="33" s="1"/>
  <c r="F17" i="33"/>
  <c r="S17" i="33" s="1"/>
  <c r="AB17" i="33"/>
  <c r="AC17" i="33"/>
  <c r="W15" i="33"/>
  <c r="AB15" i="33"/>
  <c r="E77" i="33"/>
  <c r="F77" i="33" s="1"/>
  <c r="G77" i="33" s="1"/>
  <c r="AB38" i="33"/>
  <c r="F111" i="33"/>
  <c r="G111" i="33" s="1"/>
  <c r="F36" i="33"/>
  <c r="AA36" i="33" s="1"/>
  <c r="W43" i="33"/>
  <c r="U43" i="33"/>
  <c r="W41" i="33"/>
  <c r="AA44" i="33"/>
  <c r="AC44" i="33"/>
  <c r="W42" i="33"/>
  <c r="AB41" i="33"/>
  <c r="S41" i="33"/>
  <c r="W38" i="33"/>
  <c r="U37" i="33"/>
  <c r="W37" i="33"/>
  <c r="AA35" i="33"/>
  <c r="W35" i="33"/>
  <c r="U35" i="33"/>
  <c r="AB34" i="33"/>
  <c r="AA34" i="33"/>
  <c r="AC34" i="33"/>
  <c r="W29" i="33"/>
  <c r="AB29" i="33"/>
  <c r="S12" i="33"/>
  <c r="AB12" i="33"/>
  <c r="AA23" i="33"/>
  <c r="AA19" i="33"/>
  <c r="AA15" i="33"/>
  <c r="U9" i="33"/>
  <c r="W31" i="39"/>
  <c r="U31" i="39"/>
  <c r="S23" i="39"/>
  <c r="S21" i="39"/>
  <c r="S17" i="39"/>
  <c r="S15" i="39"/>
  <c r="C18" i="9"/>
  <c r="D18" i="9" s="1"/>
  <c r="W9" i="39"/>
  <c r="J1" i="73"/>
  <c r="F7" i="1"/>
  <c r="F16" i="4"/>
  <c r="A18" i="51" s="1"/>
  <c r="B13" i="72" s="1"/>
  <c r="G44" i="43"/>
  <c r="G22" i="11"/>
  <c r="E1" i="73"/>
  <c r="G26" i="12"/>
  <c r="G22" i="68"/>
  <c r="H5" i="3"/>
  <c r="K6" i="1"/>
  <c r="AP6" i="1" s="1"/>
  <c r="C36" i="69" s="1"/>
  <c r="D1" i="43"/>
  <c r="B14" i="74"/>
  <c r="D50" i="43"/>
  <c r="F54" i="9"/>
  <c r="F32" i="15"/>
  <c r="F60" i="15" s="1"/>
  <c r="F52" i="9"/>
  <c r="D68" i="9"/>
  <c r="F30" i="69"/>
  <c r="F48" i="69" s="1"/>
  <c r="F31" i="12"/>
  <c r="F28" i="15"/>
  <c r="F32" i="67"/>
  <c r="F60" i="67" s="1"/>
  <c r="F28" i="67"/>
  <c r="M18" i="15"/>
  <c r="M18" i="67"/>
  <c r="F30" i="11"/>
  <c r="C48" i="11" s="1"/>
  <c r="C21" i="68"/>
  <c r="C40" i="69"/>
  <c r="G29" i="6"/>
  <c r="AZ21" i="3"/>
  <c r="AZ20" i="3"/>
  <c r="AZ19" i="3"/>
  <c r="AZ18" i="3"/>
  <c r="BL5" i="3"/>
  <c r="G28" i="6"/>
  <c r="BB5" i="3"/>
  <c r="E14" i="6" s="1"/>
  <c r="BA15" i="3"/>
  <c r="AZ15" i="3" s="1"/>
  <c r="G5" i="3"/>
  <c r="B3" i="3" s="1"/>
  <c r="E101" i="3" s="1"/>
  <c r="F29" i="6"/>
  <c r="E29" i="6" s="1"/>
  <c r="K15" i="1"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69" i="3"/>
  <c r="E585" i="3"/>
  <c r="E71" i="3"/>
  <c r="E92" i="3"/>
  <c r="E572" i="3"/>
  <c r="I4" i="6"/>
  <c r="G3" i="43" s="1"/>
  <c r="J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19" i="3"/>
  <c r="E526" i="3"/>
  <c r="E153" i="3"/>
  <c r="E305" i="3"/>
  <c r="AJ6" i="3"/>
  <c r="E328" i="3"/>
  <c r="E516" i="3"/>
  <c r="E579" i="3"/>
  <c r="E431" i="3"/>
  <c r="E359" i="3"/>
  <c r="E285" i="3"/>
  <c r="E229" i="3"/>
  <c r="E151" i="3"/>
  <c r="E311" i="3"/>
  <c r="E514" i="3"/>
  <c r="S6" i="3"/>
  <c r="E523" i="3"/>
  <c r="E551" i="3"/>
  <c r="V6" i="3"/>
  <c r="AB6" i="3"/>
  <c r="E387" i="3"/>
  <c r="E338" i="3"/>
  <c r="E321" i="3"/>
  <c r="E294" i="3"/>
  <c r="E230" i="3"/>
  <c r="E189" i="3"/>
  <c r="E69" i="3"/>
  <c r="E237" i="3"/>
  <c r="E304" i="3"/>
  <c r="E415" i="3"/>
  <c r="E395" i="3"/>
  <c r="E172" i="3"/>
  <c r="E445" i="3"/>
  <c r="E17" i="3"/>
  <c r="E550" i="3"/>
  <c r="E302" i="3"/>
  <c r="E117" i="3"/>
  <c r="E161" i="3"/>
  <c r="E290" i="3"/>
  <c r="E135" i="3"/>
  <c r="E254" i="3"/>
  <c r="E191" i="3"/>
  <c r="E159" i="3"/>
  <c r="E245" i="3"/>
  <c r="E303" i="3"/>
  <c r="E382" i="3"/>
  <c r="E423" i="3"/>
  <c r="E578" i="3"/>
  <c r="AI6" i="3"/>
  <c r="AN6" i="3"/>
  <c r="E385" i="3"/>
  <c r="E353" i="3"/>
  <c r="E293" i="3"/>
  <c r="E280" i="3"/>
  <c r="E336" i="3"/>
  <c r="X6" i="3"/>
  <c r="E583" i="3"/>
  <c r="E15" i="6"/>
  <c r="E64" i="39" s="1"/>
  <c r="E11" i="6"/>
  <c r="E60" i="39" s="1"/>
  <c r="E10" i="6"/>
  <c r="E13" i="6"/>
  <c r="H16" i="1"/>
  <c r="P6" i="1"/>
  <c r="P11" i="1"/>
  <c r="K14" i="1"/>
  <c r="D9" i="11"/>
  <c r="C9" i="11" s="1"/>
  <c r="D19" i="12"/>
  <c r="C19" i="12" s="1"/>
  <c r="AZ13" i="3"/>
  <c r="AZ5" i="3" s="1"/>
  <c r="O9" i="1"/>
  <c r="P9" i="1" s="1"/>
  <c r="O12" i="1"/>
  <c r="P12" i="1" s="1"/>
  <c r="O8" i="1"/>
  <c r="P8" i="1" s="1"/>
  <c r="H73" i="43"/>
  <c r="H90" i="43"/>
  <c r="O23" i="43"/>
  <c r="I18" i="43"/>
  <c r="E17" i="43" s="1"/>
  <c r="C17" i="43" s="1"/>
  <c r="F26" i="43"/>
  <c r="A1" i="79"/>
  <c r="H55" i="43"/>
  <c r="H86" i="43"/>
  <c r="H87" i="43"/>
  <c r="H89" i="43"/>
  <c r="H88" i="43"/>
  <c r="H84" i="43"/>
  <c r="D67" i="39"/>
  <c r="D69" i="39"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D3" i="73"/>
  <c r="C16" i="15"/>
  <c r="D5" i="73"/>
  <c r="D6" i="73"/>
  <c r="D4" i="73"/>
  <c r="C36" i="68"/>
  <c r="D7" i="73"/>
  <c r="D9" i="68"/>
  <c r="C16" i="67"/>
  <c r="L48" i="67"/>
  <c r="G1" i="73"/>
  <c r="H111" i="33" l="1"/>
  <c r="I111" i="33" s="1"/>
  <c r="J111" i="33" s="1"/>
  <c r="K111" i="33" s="1"/>
  <c r="L111" i="33" s="1"/>
  <c r="M111" i="33" s="1"/>
  <c r="J36" i="33"/>
  <c r="H36" i="33"/>
  <c r="AA17" i="33"/>
  <c r="S36" i="33"/>
  <c r="J7" i="36"/>
  <c r="A19" i="51"/>
  <c r="B14" i="72" s="1"/>
  <c r="I54" i="67"/>
  <c r="L58" i="67"/>
  <c r="Q60" i="67" s="1"/>
  <c r="J53" i="67"/>
  <c r="F1" i="67" s="1"/>
  <c r="L56" i="67"/>
  <c r="J57" i="67"/>
  <c r="J55" i="67" s="1"/>
  <c r="J58" i="67" s="1"/>
  <c r="Q50" i="67" s="1"/>
  <c r="C31" i="12"/>
  <c r="C28" i="15"/>
  <c r="C44" i="43"/>
  <c r="C77" i="9"/>
  <c r="C74" i="9" s="1"/>
  <c r="C48" i="69"/>
  <c r="G7" i="1"/>
  <c r="F7" i="36"/>
  <c r="S7" i="36" s="1"/>
  <c r="C13" i="12"/>
  <c r="C30" i="68"/>
  <c r="C30" i="69"/>
  <c r="H7" i="36"/>
  <c r="AB7" i="36" s="1"/>
  <c r="T36" i="36" s="1"/>
  <c r="G36" i="36" s="1"/>
  <c r="N94" i="46"/>
  <c r="N370" i="46"/>
  <c r="E26" i="43"/>
  <c r="G26" i="43"/>
  <c r="AA6" i="3"/>
  <c r="E246" i="3"/>
  <c r="E518" i="3"/>
  <c r="E402" i="3"/>
  <c r="E263" i="3"/>
  <c r="E61" i="3"/>
  <c r="E221" i="3"/>
  <c r="E535" i="3"/>
  <c r="E260" i="3"/>
  <c r="E565" i="3"/>
  <c r="E278" i="3"/>
  <c r="E130" i="3"/>
  <c r="E298" i="3"/>
  <c r="E335" i="3"/>
  <c r="E407" i="3"/>
  <c r="E506" i="3"/>
  <c r="E570" i="3"/>
  <c r="E358" i="3"/>
  <c r="E97" i="3"/>
  <c r="E247" i="3"/>
  <c r="E569" i="3"/>
  <c r="O6" i="3"/>
  <c r="E508" i="3"/>
  <c r="E343" i="3"/>
  <c r="E217" i="3"/>
  <c r="E331" i="3"/>
  <c r="E477" i="3"/>
  <c r="E362" i="3"/>
  <c r="E213" i="3"/>
  <c r="E563" i="3"/>
  <c r="E114" i="3"/>
  <c r="E169" i="3"/>
  <c r="E215" i="3"/>
  <c r="E320" i="3"/>
  <c r="E418" i="3"/>
  <c r="M6" i="3"/>
  <c r="E559" i="3"/>
  <c r="E390" i="3"/>
  <c r="E201" i="3"/>
  <c r="E396" i="3"/>
  <c r="E574" i="3"/>
  <c r="E509" i="3"/>
  <c r="E322" i="3"/>
  <c r="E501" i="3"/>
  <c r="E175" i="3"/>
  <c r="E186" i="3"/>
  <c r="E443" i="3"/>
  <c r="E14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426" i="3"/>
  <c r="E268" i="3"/>
  <c r="E530" i="3"/>
  <c r="E53" i="3"/>
  <c r="E316" i="3"/>
  <c r="E531" i="3"/>
  <c r="E207" i="3"/>
  <c r="E433" i="3"/>
  <c r="E474" i="3"/>
  <c r="E44" i="3"/>
  <c r="E211" i="3"/>
  <c r="E476" i="3"/>
  <c r="E515" i="3"/>
  <c r="E32" i="3"/>
  <c r="E406" i="3"/>
  <c r="E480" i="3"/>
  <c r="E384" i="3"/>
  <c r="E273" i="3"/>
  <c r="E182" i="3"/>
  <c r="E28" i="3"/>
  <c r="AS6" i="3"/>
  <c r="E548" i="3"/>
  <c r="E379" i="3"/>
  <c r="E236" i="3"/>
  <c r="E274" i="3"/>
  <c r="E468" i="3"/>
  <c r="E193" i="3"/>
  <c r="E239" i="3"/>
  <c r="N6" i="3"/>
  <c r="E282" i="3"/>
  <c r="E553" i="3"/>
  <c r="E366" i="3"/>
  <c r="E125" i="3"/>
  <c r="E109" i="3"/>
  <c r="E334" i="3"/>
  <c r="E295" i="3"/>
  <c r="E162" i="3"/>
  <c r="E546" i="3"/>
  <c r="E558" i="3"/>
  <c r="E478" i="3"/>
  <c r="E164" i="3"/>
  <c r="E397" i="3"/>
  <c r="E203" i="3"/>
  <c r="E577" i="3"/>
  <c r="E128" i="3"/>
  <c r="H26" i="43"/>
  <c r="D26" i="43" s="1"/>
  <c r="C25" i="43" s="1"/>
  <c r="Q16" i="1"/>
  <c r="F27" i="69" s="1"/>
  <c r="C47" i="69" s="1"/>
  <c r="D45" i="69" s="1"/>
  <c r="E441" i="3"/>
  <c r="E30" i="3"/>
  <c r="E377" i="3"/>
  <c r="E210" i="3"/>
  <c r="E166" i="3"/>
  <c r="E27" i="3"/>
  <c r="E489" i="3"/>
  <c r="E547" i="3"/>
  <c r="P6" i="3"/>
  <c r="AG6" i="3"/>
  <c r="E145" i="3"/>
  <c r="I6" i="3"/>
  <c r="E315" i="3"/>
  <c r="E111" i="3"/>
  <c r="E344" i="3"/>
  <c r="E45" i="3"/>
  <c r="E29" i="3"/>
  <c r="AM6" i="3"/>
  <c r="E317" i="3"/>
  <c r="E291" i="3"/>
  <c r="E272" i="3"/>
  <c r="E126" i="3"/>
  <c r="E70" i="3"/>
  <c r="E447" i="3"/>
  <c r="E403" i="3"/>
  <c r="E505" i="3"/>
  <c r="E432" i="3"/>
  <c r="E411" i="3"/>
  <c r="E576" i="3"/>
  <c r="E271" i="3"/>
  <c r="E549" i="3"/>
  <c r="E74" i="3"/>
  <c r="E279" i="3"/>
  <c r="E55" i="3"/>
  <c r="E587" i="3"/>
  <c r="E437" i="3"/>
  <c r="E156" i="3"/>
  <c r="E112" i="3"/>
  <c r="G16" i="1"/>
  <c r="F10" i="39" s="1"/>
  <c r="S10" i="39" s="1"/>
  <c r="C28" i="67"/>
  <c r="E63" i="39"/>
  <c r="E59" i="40"/>
  <c r="F30" i="6"/>
  <c r="K16" i="1"/>
  <c r="BA5" i="3"/>
  <c r="E121" i="3"/>
  <c r="E88" i="3"/>
  <c r="E404" i="3"/>
  <c r="E444" i="3"/>
  <c r="E581" i="3"/>
  <c r="E367" i="3"/>
  <c r="E414" i="3"/>
  <c r="E448" i="3"/>
  <c r="U6" i="3"/>
  <c r="E107" i="3"/>
  <c r="E252" i="3"/>
  <c r="E196" i="3"/>
  <c r="E567" i="3"/>
  <c r="E318" i="3"/>
  <c r="E256" i="3"/>
  <c r="E72" i="3"/>
  <c r="E429" i="3"/>
  <c r="E288" i="3"/>
  <c r="Q6" i="3"/>
  <c r="E434" i="3"/>
  <c r="E427" i="3"/>
  <c r="E16" i="3"/>
  <c r="E580" i="3"/>
  <c r="E351" i="3"/>
  <c r="E171" i="3"/>
  <c r="E106" i="3"/>
  <c r="E496" i="3"/>
  <c r="E571" i="3"/>
  <c r="E438" i="3"/>
  <c r="E560" i="3"/>
  <c r="E120" i="3"/>
  <c r="E202" i="3"/>
  <c r="J6" i="3"/>
  <c r="E557" i="3"/>
  <c r="E345" i="3"/>
  <c r="E400" i="3"/>
  <c r="E485" i="3"/>
  <c r="AO6" i="3"/>
  <c r="Z6" i="3"/>
  <c r="E327" i="3"/>
  <c r="E204" i="3"/>
  <c r="E89" i="3"/>
  <c r="E368" i="3"/>
  <c r="E227" i="3"/>
  <c r="E31" i="3"/>
  <c r="E394" i="3"/>
  <c r="E214" i="3"/>
  <c r="E150" i="3"/>
  <c r="E73" i="3"/>
  <c r="E454" i="3"/>
  <c r="E450" i="3"/>
  <c r="AE6" i="3"/>
  <c r="E424" i="3"/>
  <c r="E472" i="3"/>
  <c r="E519" i="3"/>
  <c r="E511" i="3"/>
  <c r="E253" i="3"/>
  <c r="E188" i="3"/>
  <c r="E15" i="3"/>
  <c r="E93" i="3"/>
  <c r="E14" i="3"/>
  <c r="E357" i="3"/>
  <c r="E257" i="3"/>
  <c r="E208" i="3"/>
  <c r="E168" i="3"/>
  <c r="E54" i="3"/>
  <c r="E475" i="3"/>
  <c r="E471" i="3"/>
  <c r="E537" i="3"/>
  <c r="W6" i="3"/>
  <c r="H6" i="3" s="1"/>
  <c r="E465" i="3"/>
  <c r="E481" i="3"/>
  <c r="E529" i="3"/>
  <c r="E133" i="3"/>
  <c r="E228" i="3"/>
  <c r="E238" i="3"/>
  <c r="AH6" i="3"/>
  <c r="E455" i="3"/>
  <c r="K6" i="3"/>
  <c r="E177" i="3"/>
  <c r="E262" i="3"/>
  <c r="E85" i="3"/>
  <c r="E543" i="3"/>
  <c r="E178" i="3"/>
  <c r="E36" i="3"/>
  <c r="E562" i="3"/>
  <c r="E457" i="3"/>
  <c r="E527" i="3"/>
  <c r="E458" i="3"/>
  <c r="E573" i="3"/>
  <c r="E330" i="3"/>
  <c r="E277" i="3"/>
  <c r="E99" i="3"/>
  <c r="E314" i="3"/>
  <c r="E453" i="3"/>
  <c r="E393" i="3"/>
  <c r="E440" i="3"/>
  <c r="E463" i="3"/>
  <c r="E333" i="3"/>
  <c r="E219" i="3"/>
  <c r="E62" i="3"/>
  <c r="E105" i="3"/>
  <c r="E422" i="3"/>
  <c r="E401" i="3"/>
  <c r="E346" i="3"/>
  <c r="E234" i="3"/>
  <c r="E20" i="3"/>
  <c r="AK6" i="3"/>
  <c r="E545" i="3"/>
  <c r="E181" i="3"/>
  <c r="E568" i="3"/>
  <c r="E77" i="3"/>
  <c r="E329" i="3"/>
  <c r="E116" i="3"/>
  <c r="E564" i="3"/>
  <c r="E507" i="3"/>
  <c r="E376" i="3"/>
  <c r="E483" i="3"/>
  <c r="E108" i="3"/>
  <c r="E226" i="3"/>
  <c r="E43" i="3"/>
  <c r="E170" i="3"/>
  <c r="E392" i="3"/>
  <c r="E340" i="3"/>
  <c r="E365" i="3"/>
  <c r="E532" i="3"/>
  <c r="E313" i="3"/>
  <c r="E224" i="3"/>
  <c r="E157" i="3"/>
  <c r="E306" i="3"/>
  <c r="E352" i="3"/>
  <c r="E136" i="3"/>
  <c r="E461" i="3"/>
  <c r="E122" i="3"/>
  <c r="E223" i="3"/>
  <c r="E493" i="3"/>
  <c r="E486" i="3"/>
  <c r="E490" i="3"/>
  <c r="E498" i="3"/>
  <c r="E25" i="3"/>
  <c r="E242" i="3"/>
  <c r="E60" i="3"/>
  <c r="E100" i="3"/>
  <c r="E325" i="3"/>
  <c r="E289" i="3"/>
  <c r="E265" i="3"/>
  <c r="E372" i="3"/>
  <c r="E540" i="3"/>
  <c r="E79" i="3"/>
  <c r="E137" i="3"/>
  <c r="E299" i="3"/>
  <c r="AQ6" i="3"/>
  <c r="E123" i="3"/>
  <c r="E364" i="3"/>
  <c r="E176" i="3"/>
  <c r="E524" i="3"/>
  <c r="E419" i="3"/>
  <c r="E40" i="3"/>
  <c r="E119" i="3"/>
  <c r="E276" i="3"/>
  <c r="L6" i="3"/>
  <c r="E473" i="3"/>
  <c r="E38" i="3"/>
  <c r="E194" i="3"/>
  <c r="E339" i="3"/>
  <c r="E52" i="3"/>
  <c r="E147" i="3"/>
  <c r="E50" i="3"/>
  <c r="E218" i="3"/>
  <c r="E510"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165" i="3"/>
  <c r="E197" i="3"/>
  <c r="E575" i="3"/>
  <c r="E552" i="3"/>
  <c r="E469" i="3"/>
  <c r="E449" i="3"/>
  <c r="E566" i="3"/>
  <c r="E494" i="3"/>
  <c r="E417" i="3"/>
  <c r="E90" i="3"/>
  <c r="E198" i="3"/>
  <c r="E258" i="3"/>
  <c r="E348" i="3"/>
  <c r="AL6" i="3"/>
  <c r="E59" i="3"/>
  <c r="E462" i="3"/>
  <c r="E446" i="3"/>
  <c r="E96" i="3"/>
  <c r="E103" i="3"/>
  <c r="E142" i="3"/>
  <c r="E248" i="3"/>
  <c r="E235" i="3"/>
  <c r="E383" i="3"/>
  <c r="E492" i="3"/>
  <c r="E66" i="3"/>
  <c r="E48" i="3"/>
  <c r="E206" i="3"/>
  <c r="E233" i="3"/>
  <c r="E381" i="3"/>
  <c r="E51" i="3"/>
  <c r="E113" i="3"/>
  <c r="E287" i="3"/>
  <c r="E309" i="3"/>
  <c r="E82" i="3"/>
  <c r="E536" i="3"/>
  <c r="E167" i="3"/>
  <c r="E525" i="3"/>
  <c r="E502" i="3"/>
  <c r="E487" i="3"/>
  <c r="E451" i="3"/>
  <c r="AP6" i="3"/>
  <c r="E413" i="3"/>
  <c r="E420" i="3"/>
  <c r="E37" i="3"/>
  <c r="E187" i="3"/>
  <c r="E281" i="3"/>
  <c r="E363" i="3"/>
  <c r="E504" i="3"/>
  <c r="E75" i="3"/>
  <c r="E482" i="3"/>
  <c r="E467" i="3"/>
  <c r="E98" i="3"/>
  <c r="E138" i="3"/>
  <c r="E174" i="3"/>
  <c r="E267" i="3"/>
  <c r="E300" i="3"/>
  <c r="E386" i="3"/>
  <c r="E522" i="3"/>
  <c r="E86" i="3"/>
  <c r="E33" i="3"/>
  <c r="E127" i="3"/>
  <c r="E284" i="3"/>
  <c r="AF6" i="3"/>
  <c r="E63" i="3"/>
  <c r="E118" i="3"/>
  <c r="E222" i="3"/>
  <c r="E326" i="3"/>
  <c r="E83" i="3"/>
  <c r="E286" i="3"/>
  <c r="E456" i="3"/>
  <c r="E374" i="3"/>
  <c r="E491" i="3"/>
  <c r="E39" i="3"/>
  <c r="E192" i="3"/>
  <c r="E356" i="3"/>
  <c r="E428" i="3"/>
  <c r="E64" i="3"/>
  <c r="E65" i="3"/>
  <c r="E220" i="3"/>
  <c r="E307" i="3"/>
  <c r="E35" i="3"/>
  <c r="E250" i="3"/>
  <c r="E102" i="3"/>
  <c r="E179" i="3"/>
  <c r="E22" i="3"/>
  <c r="E148" i="3"/>
  <c r="E141" i="3"/>
  <c r="E534" i="3"/>
  <c r="E442" i="3"/>
  <c r="E398" i="3"/>
  <c r="E360" i="3"/>
  <c r="E554" i="3"/>
  <c r="E460" i="3"/>
  <c r="E26" i="3"/>
  <c r="E95" i="3"/>
  <c r="E155" i="3"/>
  <c r="E243" i="3"/>
  <c r="E349" i="3"/>
  <c r="E58" i="3"/>
  <c r="E409" i="3"/>
  <c r="E521" i="3"/>
  <c r="E18" i="3"/>
  <c r="E78" i="3"/>
  <c r="E160" i="3"/>
  <c r="E163" i="3"/>
  <c r="E209" i="3"/>
  <c r="E324" i="3"/>
  <c r="E310" i="3"/>
  <c r="E23" i="3"/>
  <c r="E24" i="3"/>
  <c r="E49" i="3"/>
  <c r="E232" i="3"/>
  <c r="E355" i="3"/>
  <c r="Y6" i="3"/>
  <c r="E19" i="3"/>
  <c r="E158" i="3"/>
  <c r="E283" i="3"/>
  <c r="E513" i="3"/>
  <c r="E140" i="3"/>
  <c r="E542" i="3"/>
  <c r="E430" i="3"/>
  <c r="E13" i="3"/>
  <c r="E115" i="3"/>
  <c r="E259" i="3"/>
  <c r="E76" i="3"/>
  <c r="E425" i="3"/>
  <c r="E190" i="3"/>
  <c r="E249" i="3"/>
  <c r="E354" i="3"/>
  <c r="E67" i="3"/>
  <c r="E144" i="3"/>
  <c r="E370" i="3"/>
  <c r="E81" i="3"/>
  <c r="E323"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E27" i="6"/>
  <c r="K26" i="6" s="1"/>
  <c r="M26" i="6" s="1"/>
  <c r="I26" i="6" s="1"/>
  <c r="S26" i="6" s="1"/>
  <c r="F31" i="6"/>
  <c r="E51" i="40"/>
  <c r="E16" i="6"/>
  <c r="AC6" i="3"/>
  <c r="E58" i="40"/>
  <c r="E62" i="39"/>
  <c r="AY6" i="3"/>
  <c r="E3" i="6"/>
  <c r="M14" i="1"/>
  <c r="D5" i="43"/>
  <c r="C7" i="43"/>
  <c r="C5" i="43" s="1"/>
  <c r="D10" i="52"/>
  <c r="D125" i="9"/>
  <c r="D11" i="52" s="1"/>
  <c r="B7" i="74"/>
  <c r="F59" i="67"/>
  <c r="H7" i="37"/>
  <c r="AB7" i="37" s="1"/>
  <c r="T42" i="37" s="1"/>
  <c r="G42" i="37" s="1"/>
  <c r="L36" i="43"/>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F41" i="67"/>
  <c r="AE6" i="1"/>
  <c r="Q52" i="67" l="1"/>
  <c r="U36" i="33"/>
  <c r="AB36" i="33"/>
  <c r="W36" i="33"/>
  <c r="AC36" i="33"/>
  <c r="Q73" i="67"/>
  <c r="F45" i="69"/>
  <c r="C29" i="69"/>
  <c r="D27" i="69" s="1"/>
  <c r="F28" i="12"/>
  <c r="C29" i="12" s="1"/>
  <c r="D28" i="12" s="1"/>
  <c r="H10" i="40"/>
  <c r="AB10" i="40" s="1"/>
  <c r="J10" i="40"/>
  <c r="AC10" i="40" s="1"/>
  <c r="J10" i="39"/>
  <c r="W10" i="39" s="1"/>
  <c r="AA10" i="39"/>
  <c r="F10" i="40"/>
  <c r="S10" i="40" s="1"/>
  <c r="H10" i="39"/>
  <c r="U10" i="39" s="1"/>
  <c r="E65" i="39"/>
  <c r="E69" i="39"/>
  <c r="L37" i="43"/>
  <c r="P36" i="43"/>
  <c r="N36" i="43"/>
  <c r="Q36" i="43"/>
  <c r="O36" i="43"/>
  <c r="M36" i="43"/>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27" i="68"/>
  <c r="M27" i="67"/>
  <c r="M27" i="15"/>
  <c r="F41" i="15"/>
  <c r="AC10" i="39" l="1"/>
  <c r="E49" i="34"/>
  <c r="C6" i="68"/>
  <c r="C7" i="68" s="1"/>
  <c r="U10" i="40"/>
  <c r="AA10" i="40"/>
  <c r="F45" i="68"/>
  <c r="C29" i="68"/>
  <c r="D27" i="68" s="1"/>
  <c r="C47" i="68"/>
  <c r="D45" i="68"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D19" i="6"/>
  <c r="C14"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67"/>
  <c r="D10" i="68"/>
  <c r="C17" i="15"/>
  <c r="M19" i="9" l="1"/>
  <c r="C118" i="9" s="1"/>
  <c r="B2" i="74" s="1"/>
  <c r="H24" i="6"/>
  <c r="C25" i="11"/>
  <c r="H21" i="6"/>
  <c r="R21" i="6" s="1"/>
  <c r="R8" i="1" s="1"/>
  <c r="D30"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H9" i="68" l="1"/>
  <c r="C8" i="68" s="1"/>
  <c r="C5" i="68" s="1"/>
  <c r="C23" i="68" s="1"/>
  <c r="B29" i="1"/>
  <c r="C18" i="1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6"/>
  <c r="C19" i="9"/>
  <c r="D2" i="35"/>
  <c r="D2" i="34"/>
  <c r="L51" i="1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9" i="1"/>
  <c r="C20" i="9"/>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B6" i="74" l="1"/>
  <c r="D6" i="74" s="1"/>
  <c r="G118" i="9"/>
  <c r="F118" i="9" s="1"/>
  <c r="I118" i="9"/>
  <c r="H118" i="9" s="1"/>
  <c r="G4" i="52" l="1"/>
  <c r="B52" i="72" s="1"/>
  <c r="E118" i="9"/>
  <c r="F4" i="52"/>
  <c r="B51" i="72" s="1"/>
  <c r="F119" i="9"/>
  <c r="F5" i="52" s="1"/>
  <c r="B53" i="72" s="1"/>
  <c r="H4" i="52"/>
  <c r="H101" i="9"/>
  <c r="D14" i="74" s="1"/>
  <c r="C104" i="9"/>
  <c r="H119" i="9"/>
  <c r="H5" i="52" s="1"/>
  <c r="H102" i="9"/>
  <c r="C105" i="9"/>
  <c r="I4" i="52"/>
  <c r="E14" i="74" l="1"/>
  <c r="F14" i="74"/>
  <c r="B5" i="74"/>
  <c r="D5" i="74" s="1"/>
  <c r="E4" i="52"/>
  <c r="B48" i="72" s="1"/>
  <c r="D118" i="9"/>
  <c r="D7" i="53"/>
  <c r="B21" i="72" s="1"/>
  <c r="D5" i="53"/>
  <c r="H107" i="9"/>
  <c r="D45" i="9"/>
  <c r="M48" i="9"/>
  <c r="C5" i="74" l="1"/>
  <c r="D119" i="9"/>
  <c r="D5" i="52" s="1"/>
  <c r="B49" i="72" s="1"/>
  <c r="D4" i="52"/>
  <c r="B47" i="72" s="1"/>
  <c r="B20" i="72"/>
  <c r="D6" i="53"/>
  <c r="B22" i="72" s="1"/>
  <c r="M49" i="9"/>
  <c r="D122" i="9"/>
  <c r="H108" i="9"/>
  <c r="D13" i="53"/>
  <c r="D55" i="9"/>
  <c r="M53" i="9" s="1"/>
  <c r="C78" i="9"/>
  <c r="C73" i="9" s="1"/>
  <c r="C72" i="9"/>
  <c r="D53" i="9"/>
  <c r="C93" i="9"/>
  <c r="C86" i="9" s="1"/>
  <c r="C85" i="9"/>
  <c r="D52" i="9"/>
  <c r="C64" i="9"/>
  <c r="C63" i="9" s="1"/>
  <c r="C67" i="9" s="1"/>
  <c r="C95" i="9" l="1"/>
  <c r="D123" i="9"/>
  <c r="D9" i="52" s="1"/>
  <c r="D8" i="52"/>
  <c r="L65" i="9"/>
  <c r="M65" i="9" s="1"/>
  <c r="L67" i="9"/>
  <c r="M67" i="9" s="1"/>
  <c r="L63" i="9"/>
  <c r="M63" i="9" s="1"/>
  <c r="L66" i="9"/>
  <c r="M66" i="9" s="1"/>
  <c r="L64" i="9"/>
  <c r="M64" i="9" s="1"/>
  <c r="L68" i="9"/>
  <c r="M68" i="9" s="1"/>
  <c r="C68" i="9"/>
  <c r="D54" i="9" s="1"/>
  <c r="D59" i="9"/>
  <c r="M55" i="9" s="1"/>
  <c r="B30" i="72"/>
  <c r="D14" i="53"/>
  <c r="B32" i="72" s="1"/>
  <c r="C79" i="9"/>
  <c r="C6" i="74"/>
  <c r="D15" i="53"/>
  <c r="B31" i="72" s="1"/>
  <c r="C80" i="9" l="1"/>
  <c r="E80" i="9" s="1"/>
  <c r="E81" i="9" s="1"/>
  <c r="M69" i="9"/>
  <c r="N69"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<sst xmlns="http://schemas.openxmlformats.org/spreadsheetml/2006/main" count="9069" uniqueCount="3899">
  <si>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</si>
  <si>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</si>
  <si>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</si>
  <si>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</si>
  <si>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</si>
  <si>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</si>
  <si>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</si>
  <si>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</si>
  <si>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</si>
  <si>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</si>
  <si>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</si>
  <si>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</si>
  <si>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</si>
  <si>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</si>
  <si>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</si>
  <si>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</si>
  <si>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</si>
  <si>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</si>
  <si>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</si>
  <si>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</si>
  <si>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</si>
  <si>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</si>
  <si>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</si>
  <si>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</si>
  <si>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</si>
  <si>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</si>
  <si>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</si>
  <si>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</si>
  <si>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</si>
  <si>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</si>
  <si>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</si>
  <si>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</si>
  <si>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</si>
  <si>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</si>
  <si>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</si>
  <si>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</si>
  <si>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</si>
  <si>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</si>
  <si>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</si>
  <si>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</si>
  <si>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</si>
  <si>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</si>
  <si>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</si>
  <si>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</si>
  <si>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</si>
  <si>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</si>
  <si>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</si>
  <si>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</si>
  <si>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</si>
  <si>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</si>
  <si>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</si>
  <si>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</si>
  <si>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</si>
  <si>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</si>
  <si>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</si>
  <si>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</si>
  <si>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</si>
  <si>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</si>
  <si>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</si>
  <si>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</si>
  <si>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</si>
  <si>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</si>
  <si>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</si>
  <si>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</si>
  <si>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</si>
  <si>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</si>
  <si>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</si>
  <si>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</si>
  <si>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</si>
  <si>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</si>
  <si>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</si>
  <si>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</si>
  <si>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</si>
  <si>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</si>
  <si>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</si>
  <si>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</si>
  <si>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</si>
  <si>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</si>
  <si>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</si>
  <si>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</si>
  <si>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</si>
  <si>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</si>
  <si>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</si>
  <si>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</si>
  <si>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</si>
  <si>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</si>
  <si>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</si>
  <si>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</si>
  <si>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</si>
  <si>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</si>
  <si>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</si>
  <si>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</si>
  <si>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</si>
  <si>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</si>
  <si>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</si>
  <si>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</si>
  <si>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</si>
  <si>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</si>
  <si>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</si>
  <si>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</si>
  <si>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</si>
  <si>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</si>
  <si>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</si>
  <si>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</si>
  <si>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</si>
  <si>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</si>
  <si>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</si>
  <si>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</si>
  <si>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</si>
  <si>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</si>
  <si>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</si>
  <si>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</si>
  <si>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</si>
  <si>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</si>
  <si>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</si>
  <si>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</si>
  <si>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</si>
  <si>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</si>
  <si>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</si>
  <si>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</si>
  <si>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</si>
  <si>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</si>
  <si>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</si>
  <si>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</si>
  <si>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</si>
  <si>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</si>
  <si>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</si>
  <si>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</si>
  <si>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</si>
  <si>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</si>
  <si>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</si>
  <si>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</si>
  <si>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</si>
  <si>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</si>
  <si>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</si>
  <si>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</si>
  <si>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</si>
  <si>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</si>
  <si>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</si>
  <si>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</si>
  <si>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</si>
  <si>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</si>
  <si>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</si>
  <si>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</si>
  <si>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</si>
  <si>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</si>
  <si>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</si>
  <si>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</si>
  <si>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</si>
  <si>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</si>
  <si>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</si>
  <si>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</si>
  <si>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</si>
  <si>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</si>
  <si>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</si>
  <si>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</si>
  <si>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</si>
  <si>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</si>
  <si>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</si>
  <si>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</si>
  <si>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</si>
  <si>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</si>
  <si>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</si>
  <si>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</si>
  <si>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</si>
  <si>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</si>
  <si>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</si>
  <si>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</si>
  <si>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</si>
  <si>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</si>
  <si>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</si>
  <si>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</si>
  <si>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</si>
  <si>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</si>
  <si>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</si>
  <si>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</si>
  <si>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</si>
  <si>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</si>
  <si>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</si>
  <si>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</si>
  <si>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</si>
  <si>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</si>
  <si>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</si>
  <si>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</si>
  <si>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</si>
  <si>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</si>
  <si>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</si>
  <si>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</si>
  <si>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</si>
  <si>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</si>
  <si>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</si>
  <si>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</si>
  <si>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</si>
  <si>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</si>
  <si>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</si>
  <si>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</si>
  <si>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</si>
  <si>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</si>
  <si>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</si>
  <si>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</si>
  <si>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</si>
  <si>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</si>
  <si>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</si>
  <si>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</si>
  <si>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</si>
  <si>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</si>
  <si>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</si>
  <si>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</si>
  <si>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</si>
  <si>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</si>
  <si>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</si>
  <si>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</si>
  <si>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</si>
  <si>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</si>
  <si>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</si>
  <si>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</si>
  <si>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</si>
  <si>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</si>
  <si>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</si>
  <si>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</si>
  <si>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</si>
  <si>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</si>
  <si>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</si>
  <si>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</si>
  <si>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</si>
  <si>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</si>
  <si>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</si>
  <si>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</si>
  <si>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</si>
  <si>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</si>
  <si>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</si>
  <si>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</si>
  <si>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</si>
  <si>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</si>
  <si>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</si>
  <si>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</si>
  <si>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</si>
  <si>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</si>
  <si>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</si>
  <si>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</si>
  <si>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</si>
  <si>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</si>
  <si>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</si>
  <si>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</si>
  <si>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</si>
  <si>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</si>
  <si>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</si>
  <si>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</si>
  <si>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</si>
  <si>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</si>
  <si>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</si>
  <si>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</si>
  <si>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</si>
  <si>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</si>
  <si>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</si>
  <si>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</si>
  <si>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</si>
  <si>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</si>
  <si>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</si>
  <si>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</si>
  <si>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</si>
  <si>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</si>
  <si>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</si>
  <si>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</si>
  <si>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</si>
  <si>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</si>
  <si>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</si>
  <si>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</si>
  <si>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</si>
  <si>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</si>
  <si>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</si>
  <si>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</si>
  <si>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</si>
  <si>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</si>
  <si>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</si>
  <si>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</si>
  <si>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</si>
  <si>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</si>
  <si>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</si>
  <si>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</si>
  <si>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</si>
  <si>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</si>
  <si>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</si>
  <si>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</si>
  <si>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</si>
  <si>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</si>
  <si>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</si>
  <si>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</si>
  <si>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</si>
  <si>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</si>
  <si>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</si>
  <si>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</si>
  <si>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</si>
  <si>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</si>
  <si>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</si>
  <si>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</si>
  <si>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</si>
  <si>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</si>
  <si>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</si>
  <si>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</si>
  <si>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</si>
  <si>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</si>
  <si>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</si>
  <si>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</si>
  <si>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</si>
  <si>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</si>
  <si>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</si>
  <si>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</si>
  <si>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</si>
  <si>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</si>
  <si>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</si>
  <si>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</si>
  <si>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</si>
  <si>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</si>
  <si>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</si>
  <si>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</si>
  <si>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</si>
  <si>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</si>
  <si>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</si>
  <si>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</si>
  <si>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</si>
  <si>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</si>
  <si>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</si>
  <si>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</si>
  <si>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</si>
  <si>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</si>
  <si>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</si>
  <si>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</si>
  <si>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</si>
  <si>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</si>
  <si>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</si>
  <si>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</si>
  <si>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</si>
  <si>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</si>
  <si>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</si>
  <si>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</si>
  <si>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</si>
  <si>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</si>
  <si>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</si>
  <si>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</si>
  <si>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</si>
  <si>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</si>
  <si>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</si>
  <si>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</si>
  <si>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</si>
  <si>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</si>
  <si>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</si>
  <si>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</si>
  <si>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</si>
  <si>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</si>
  <si>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</si>
  <si>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</si>
  <si>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</si>
  <si>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</si>
  <si>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</si>
  <si>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</si>
  <si>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</si>
  <si>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</si>
  <si>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</si>
  <si>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</si>
  <si>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</si>
  <si>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</si>
  <si>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</si>
  <si>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</si>
  <si>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</si>
  <si>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</si>
  <si>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</si>
  <si>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</si>
  <si>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</si>
  <si>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</si>
  <si>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</si>
  <si>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</si>
  <si>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</si>
  <si>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</si>
  <si>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</si>
  <si>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</si>
  <si>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</si>
  <si>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</si>
  <si>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</si>
  <si>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</si>
  <si>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</si>
  <si>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</si>
  <si>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</si>
  <si>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</si>
  <si>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</si>
  <si>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</si>
  <si>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</si>
  <si>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</si>
  <si>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</si>
  <si>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</si>
  <si>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</si>
  <si>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</si>
  <si>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</si>
  <si>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</si>
  <si>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</si>
  <si>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</si>
  <si>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</si>
  <si>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</si>
  <si>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</si>
  <si>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</si>
  <si>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</si>
  <si>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</si>
  <si>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</si>
  <si>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</si>
  <si>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</si>
  <si>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</si>
  <si>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</si>
  <si>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</si>
  <si>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</si>
  <si>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</si>
  <si>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</si>
  <si>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</si>
  <si>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</si>
  <si>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</si>
  <si>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</si>
  <si>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</si>
  <si>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</si>
  <si>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</si>
  <si>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</si>
  <si>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</si>
  <si>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</si>
  <si>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</si>
  <si>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</si>
  <si>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</si>
  <si>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</si>
  <si>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</si>
  <si>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</si>
  <si>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</si>
  <si>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</si>
  <si>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</si>
  <si>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</si>
  <si>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</si>
  <si>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</si>
  <si>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</si>
  <si>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</si>
  <si>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</si>
  <si>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</si>
  <si>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</si>
  <si>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</si>
  <si>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</si>
  <si>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</si>
  <si>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</si>
  <si>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</si>
  <si>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</si>
  <si>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</si>
  <si>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</si>
  <si>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</si>
  <si>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</si>
  <si>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</si>
  <si>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</si>
  <si>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</si>
  <si>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</si>
  <si>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</si>
  <si>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</si>
  <si>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</si>
  <si>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</si>
  <si>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</si>
  <si>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</si>
  <si>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</si>
  <si>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</si>
  <si>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</si>
  <si>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</si>
  <si>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</si>
  <si>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</si>
  <si>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</si>
  <si>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</si>
  <si>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</si>
  <si>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</si>
  <si>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</si>
  <si>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</si>
  <si>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</si>
  <si>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</si>
  <si>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</si>
  <si>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</si>
  <si>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</si>
  <si>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</si>
  <si>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</si>
  <si>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</si>
  <si>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</si>
  <si>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</si>
  <si>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</si>
  <si>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</si>
  <si>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</si>
  <si>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</si>
  <si>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</si>
  <si>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</si>
  <si>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</si>
  <si>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</si>
  <si>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</si>
  <si>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</si>
  <si>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</si>
  <si>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</si>
  <si>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</si>
  <si>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</si>
  <si>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</si>
  <si>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</si>
  <si>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</si>
  <si>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</si>
  <si>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</si>
  <si>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</si>
  <si>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</si>
  <si>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</si>
  <si>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</si>
  <si>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</si>
  <si>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</si>
  <si>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</si>
  <si>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</si>
  <si>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</si>
  <si>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</si>
  <si>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</si>
  <si>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</si>
  <si>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</si>
  <si>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</si>
  <si>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</si>
  <si>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</si>
  <si>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</si>
  <si>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</si>
  <si>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</si>
  <si>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</si>
  <si>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</si>
  <si>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</si>
  <si>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</si>
  <si>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</si>
  <si>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</si>
  <si>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</si>
  <si>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</si>
  <si>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</si>
  <si>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</si>
  <si>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</si>
  <si>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</si>
  <si>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</si>
  <si>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</si>
  <si>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</si>
  <si>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</si>
  <si>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</si>
  <si>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</si>
  <si>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</si>
  <si>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</si>
  <si>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</si>
  <si>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</si>
  <si>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</si>
  <si>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</si>
  <si>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</si>
  <si>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</si>
  <si>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</si>
  <si>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</si>
  <si>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</si>
  <si>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</si>
  <si>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</si>
  <si>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</si>
  <si>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</si>
  <si>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</si>
  <si>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</si>
  <si>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</si>
  <si>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</si>
  <si>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</si>
  <si>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</si>
  <si>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</si>
  <si>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</si>
  <si>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</si>
  <si>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</si>
  <si>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</si>
  <si>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</si>
  <si>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</si>
  <si>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</si>
  <si>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</si>
  <si>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</si>
  <si>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</si>
  <si>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</si>
  <si>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</si>
  <si>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</si>
  <si>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</si>
  <si>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</si>
  <si>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</si>
  <si>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</si>
  <si>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</si>
  <si>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</si>
  <si>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</si>
  <si>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</si>
  <si>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</si>
  <si>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</si>
  <si>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</si>
  <si>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</si>
  <si>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</si>
  <si>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</si>
  <si>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</si>
  <si>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</si>
  <si>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</si>
  <si>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</si>
  <si>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</si>
  <si>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</si>
  <si>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</si>
  <si>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</si>
  <si>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</si>
  <si>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</si>
  <si>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</si>
  <si>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</si>
  <si>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</si>
  <si>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</si>
  <si>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</si>
  <si>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</si>
  <si>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</si>
  <si>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</si>
  <si>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</si>
  <si>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</si>
  <si>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</si>
  <si>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</si>
  <si>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</si>
  <si>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</si>
  <si>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</si>
  <si>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</si>
  <si>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</si>
  <si>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</si>
  <si>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</si>
  <si>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</si>
  <si>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</si>
  <si>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</si>
  <si>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</si>
  <si>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</si>
  <si>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</si>
  <si>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</si>
  <si>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</si>
  <si>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</si>
  <si>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</si>
  <si>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</si>
  <si>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</si>
  <si>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</si>
  <si>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</si>
  <si>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</si>
  <si>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</si>
  <si>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</si>
  <si>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</si>
  <si>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</si>
  <si>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</si>
  <si>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</si>
  <si>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</si>
  <si>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</si>
  <si>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</si>
  <si>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</si>
  <si>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</si>
  <si>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</si>
  <si>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</si>
  <si>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</si>
  <si>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</si>
  <si>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</si>
  <si>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</si>
  <si>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</si>
  <si>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</si>
  <si>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</si>
  <si>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</si>
  <si>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</si>
  <si>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</si>
  <si>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</si>
  <si>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</si>
  <si>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</si>
  <si>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</si>
  <si>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</si>
  <si>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</si>
  <si>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</si>
  <si>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</si>
  <si>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</si>
  <si>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</si>
  <si>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</si>
  <si>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</si>
  <si>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</si>
  <si>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</si>
  <si>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</si>
  <si>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</si>
  <si>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</si>
  <si>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</si>
  <si>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</si>
  <si>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</si>
  <si>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</si>
  <si>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</si>
  <si>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</si>
  <si>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</si>
  <si>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</si>
  <si>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</si>
  <si>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</si>
  <si>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</si>
  <si>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</si>
  <si>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</si>
  <si>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</si>
  <si>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</si>
  <si>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</si>
  <si>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</si>
  <si>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</si>
  <si>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</si>
  <si>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</si>
  <si>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</si>
  <si>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</si>
  <si>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</si>
  <si>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</si>
  <si>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</si>
  <si>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</si>
  <si>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</si>
  <si>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</si>
  <si>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</si>
  <si>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</si>
  <si>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</si>
  <si>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</si>
  <si>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</si>
  <si>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</si>
  <si>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</si>
  <si>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</si>
  <si>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</si>
  <si>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</si>
  <si>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</si>
  <si>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</si>
  <si>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</si>
  <si>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</si>
  <si>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</si>
  <si>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</si>
  <si>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</si>
  <si>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</si>
  <si>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</si>
  <si>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</si>
  <si>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</si>
  <si>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</si>
  <si>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</si>
  <si>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</si>
  <si>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</si>
  <si>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</si>
  <si>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</si>
  <si>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</si>
  <si>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</si>
  <si>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</si>
  <si>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</si>
  <si>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</si>
  <si>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</si>
  <si>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</si>
  <si>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</si>
  <si>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</si>
  <si>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</si>
  <si>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</si>
  <si>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</si>
  <si>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</si>
  <si>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</si>
  <si>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</si>
  <si>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</si>
  <si>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</si>
  <si>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</si>
  <si>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</si>
  <si>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</si>
  <si>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</si>
  <si>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</si>
  <si>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</si>
  <si>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</si>
  <si>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</si>
  <si>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</si>
  <si>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</si>
  <si>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</si>
  <si>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</si>
  <si>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</si>
  <si>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</si>
  <si>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</si>
  <si>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</si>
  <si>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</si>
  <si>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</si>
  <si>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</si>
  <si>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</si>
  <si>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</si>
  <si>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</si>
  <si>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</si>
  <si>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</si>
  <si>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</si>
  <si>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</si>
  <si>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</si>
  <si>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</si>
  <si>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</si>
  <si>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</si>
  <si>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</si>
  <si>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</si>
  <si>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</si>
  <si>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</si>
  <si>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</si>
  <si>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</si>
  <si>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</si>
  <si>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</si>
  <si>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</si>
  <si>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</si>
  <si>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</si>
  <si>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</si>
  <si>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</si>
  <si>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</si>
  <si>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</si>
  <si>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</si>
  <si>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</si>
  <si>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</si>
  <si>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</si>
  <si>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</si>
  <si>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</si>
  <si>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</si>
  <si>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</si>
  <si>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</si>
  <si>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</si>
  <si>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</si>
  <si>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</si>
  <si>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</si>
  <si>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</si>
  <si>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</si>
  <si>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</si>
  <si>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</si>
  <si>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</si>
  <si>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</si>
  <si>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</si>
  <si>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</si>
  <si>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</si>
  <si>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</si>
  <si>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</si>
  <si>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</si>
  <si>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</si>
  <si>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</si>
  <si>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</si>
  <si>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</si>
  <si>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</si>
  <si>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</si>
  <si>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</si>
  <si>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</si>
  <si>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</si>
  <si>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</si>
  <si>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</si>
  <si>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</si>
  <si>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</si>
  <si>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</si>
  <si>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</si>
  <si>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</si>
  <si>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</si>
  <si>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</si>
  <si>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</si>
  <si>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</si>
  <si>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</si>
  <si>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</si>
  <si>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</si>
  <si>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</si>
  <si>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</si>
  <si>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</si>
  <si>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</si>
  <si>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</si>
  <si>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</si>
  <si>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</si>
  <si>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</si>
  <si>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</si>
  <si>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</si>
  <si>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</si>
  <si>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</si>
  <si>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</si>
  <si>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</si>
  <si>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</si>
  <si>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</si>
  <si>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</si>
  <si>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</si>
  <si>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</si>
  <si>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</si>
  <si>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</si>
  <si>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</si>
  <si>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</si>
  <si>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</si>
  <si>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</si>
  <si>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</si>
  <si>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</si>
  <si>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</si>
  <si>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</si>
  <si>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</si>
  <si>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</si>
  <si>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</si>
  <si>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</si>
  <si>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</si>
  <si>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</si>
  <si>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</si>
  <si>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</si>
  <si>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</si>
  <si>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</si>
  <si>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</si>
  <si>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</si>
  <si>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</si>
  <si>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</si>
  <si>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</si>
  <si>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</si>
  <si>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</si>
  <si>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</si>
  <si>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</si>
  <si>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</si>
  <si>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</si>
  <si>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</si>
  <si>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</si>
  <si>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</si>
  <si>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</si>
  <si>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</si>
  <si>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</si>
  <si>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</si>
  <si>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</si>
  <si>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</si>
  <si>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</si>
  <si>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</si>
  <si>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</si>
  <si>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</si>
  <si>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</si>
  <si>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</si>
  <si>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</si>
  <si>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</si>
  <si>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</si>
  <si>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</si>
  <si>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</si>
  <si>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</si>
  <si>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</si>
  <si>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</si>
  <si>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</si>
  <si>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</si>
  <si>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</si>
  <si>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</si>
  <si>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</si>
  <si>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</si>
  <si>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</si>
  <si>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</si>
  <si>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</si>
  <si>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</si>
  <si>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</si>
  <si>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</si>
  <si>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</si>
  <si>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</si>
  <si>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</si>
  <si>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</si>
  <si>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</si>
  <si>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</si>
  <si>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</si>
  <si>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</si>
  <si>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</si>
  <si>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</si>
  <si>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</si>
  <si>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</si>
  <si>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</si>
  <si>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</si>
  <si>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</si>
  <si>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</si>
  <si>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</si>
  <si>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</si>
  <si>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</si>
  <si>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</si>
  <si>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</si>
  <si>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</si>
  <si>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</si>
  <si>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</si>
  <si>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</si>
  <si>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</si>
  <si>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</si>
  <si>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</si>
  <si>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</si>
  <si>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</si>
  <si>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</si>
  <si>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</si>
  <si>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</si>
  <si>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</si>
  <si>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</si>
  <si>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</si>
  <si>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</si>
  <si>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</si>
  <si>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</si>
  <si>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</si>
  <si>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</si>
  <si>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</si>
  <si>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</si>
  <si>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</si>
  <si>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</si>
  <si>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</si>
  <si>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</si>
  <si>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</si>
  <si>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</si>
  <si>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</si>
  <si>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</si>
  <si>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</si>
  <si>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</si>
  <si>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</si>
  <si>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</si>
  <si>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</si>
  <si>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</si>
  <si>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</si>
  <si>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</si>
  <si>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</si>
  <si>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</si>
  <si>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</si>
  <si>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</si>
  <si>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</si>
  <si>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</si>
  <si>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</si>
  <si>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</si>
  <si>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</si>
  <si>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</si>
  <si>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</si>
  <si>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</si>
  <si>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</si>
  <si>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</si>
  <si>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</si>
  <si>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</si>
  <si>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</si>
  <si>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</si>
  <si>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</si>
  <si>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</si>
  <si>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</si>
  <si>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</si>
  <si>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</si>
  <si>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</si>
  <si>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</si>
  <si>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</si>
  <si>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</si>
  <si>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</si>
  <si>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</si>
  <si>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</si>
  <si>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</si>
  <si>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</si>
  <si>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</si>
  <si>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</si>
  <si>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</si>
  <si>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</si>
  <si>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</si>
  <si>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</si>
  <si>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</si>
  <si>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</si>
  <si>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</si>
  <si>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</si>
  <si>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</si>
  <si>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</si>
  <si>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</si>
  <si>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</si>
  <si>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</si>
  <si>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</si>
  <si>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</si>
  <si>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</si>
  <si>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</si>
  <si>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</si>
  <si>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</si>
  <si>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</si>
  <si>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</si>
  <si>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</si>
  <si>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</si>
  <si>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</si>
  <si>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</si>
  <si>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</si>
  <si>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</si>
  <si>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</si>
  <si>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</si>
  <si>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</si>
  <si>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</si>
  <si>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</si>
  <si>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</si>
  <si>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</si>
  <si>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</si>
  <si>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</si>
  <si>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</si>
  <si>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</si>
  <si>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</si>
  <si>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</si>
  <si>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</si>
  <si>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</si>
  <si>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</si>
  <si>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</si>
  <si>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</si>
  <si>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</si>
  <si>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</si>
  <si>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</si>
  <si>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</si>
  <si>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</si>
  <si>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</si>
  <si>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</si>
  <si>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</si>
  <si>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</si>
  <si>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</si>
  <si>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</si>
  <si>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</si>
  <si>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</si>
  <si>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</si>
  <si>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</si>
  <si>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</si>
  <si>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</si>
  <si>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</si>
  <si>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</si>
  <si>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</si>
  <si>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</si>
  <si>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</si>
  <si>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</si>
  <si>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</si>
  <si>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</si>
  <si>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</si>
  <si>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</si>
  <si>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</si>
  <si>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</si>
  <si>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</si>
  <si>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</si>
  <si>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</si>
  <si>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</si>
  <si>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</si>
  <si>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</si>
  <si>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</si>
  <si>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</si>
  <si>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</si>
  <si>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</si>
  <si>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</si>
  <si>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</si>
  <si>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</si>
  <si>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</si>
  <si>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</si>
  <si>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</si>
  <si>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</si>
  <si>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</si>
  <si>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</si>
  <si>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</si>
  <si>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</si>
  <si>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</si>
  <si>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</si>
  <si>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</si>
  <si>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</si>
  <si>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</si>
  <si>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</si>
  <si>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</si>
  <si>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</si>
  <si>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</si>
  <si>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</si>
  <si>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</si>
  <si>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</si>
  <si>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</si>
  <si>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</si>
  <si>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</si>
  <si>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</si>
  <si>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</si>
  <si>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</si>
  <si>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</si>
  <si>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</si>
  <si>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</si>
  <si>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</si>
  <si>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</si>
  <si>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</si>
  <si>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</si>
  <si>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</si>
  <si>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</si>
  <si>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</si>
  <si>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</si>
  <si>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</si>
  <si>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</si>
  <si>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</si>
  <si>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</si>
  <si>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</si>
  <si>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</si>
  <si>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</si>
  <si>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</si>
  <si>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</si>
  <si>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</si>
  <si>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</si>
  <si>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</si>
  <si>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</si>
  <si>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</si>
  <si>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</si>
  <si>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</si>
  <si>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</si>
  <si>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</si>
  <si>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</si>
  <si>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</si>
  <si>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</si>
  <si>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</si>
  <si>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</si>
  <si>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</si>
  <si>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</si>
  <si>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</si>
  <si>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</si>
  <si>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</si>
  <si>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</si>
  <si>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</si>
  <si>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</si>
  <si>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</si>
  <si>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</si>
  <si>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</si>
  <si>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</si>
  <si>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</si>
  <si>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</si>
  <si>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</si>
  <si>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</si>
  <si>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</si>
  <si>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</si>
  <si>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</si>
  <si>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</si>
  <si>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</si>
  <si>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</si>
  <si>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</si>
  <si>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</si>
  <si>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</si>
  <si>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</si>
  <si>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</si>
  <si>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</si>
  <si>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</si>
  <si>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</si>
  <si>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</si>
  <si>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</si>
  <si>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</si>
  <si>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</si>
  <si>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</si>
  <si>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</si>
  <si>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</si>
  <si>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</si>
  <si>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</si>
  <si>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</si>
  <si>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</si>
  <si>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</si>
  <si>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</si>
  <si>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</si>
  <si>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</si>
  <si>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</si>
  <si>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</si>
  <si>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</si>
  <si>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</si>
  <si>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</si>
  <si>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</si>
  <si>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</si>
  <si>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</si>
  <si>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</si>
  <si>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</si>
  <si>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</si>
  <si>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</si>
  <si>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</si>
  <si>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</si>
  <si>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</si>
  <si>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</si>
  <si>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</si>
  <si>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</si>
  <si>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</si>
  <si>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</si>
  <si>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</si>
  <si>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</si>
  <si>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</si>
  <si>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</si>
  <si>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</si>
  <si>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</si>
  <si>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</si>
  <si>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</si>
  <si>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</si>
  <si>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</si>
  <si>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</si>
  <si>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</si>
  <si>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</si>
  <si>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</si>
  <si>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</si>
  <si>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</si>
  <si>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</si>
  <si>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</si>
  <si>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</si>
  <si>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</si>
  <si>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</si>
  <si>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</si>
  <si>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</si>
  <si>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</si>
  <si>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</si>
  <si>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</si>
  <si>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</si>
  <si>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</si>
  <si>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</si>
  <si>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</si>
  <si>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</si>
  <si>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</si>
  <si>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</si>
  <si>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</si>
  <si>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</si>
  <si>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</si>
  <si>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</si>
  <si>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</si>
  <si>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</si>
  <si>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</si>
  <si>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</si>
  <si>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</si>
  <si>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</si>
  <si>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</si>
  <si>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</si>
  <si>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</si>
  <si>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</si>
  <si>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</si>
  <si>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</si>
  <si>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</si>
  <si>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</si>
  <si>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</si>
  <si>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</si>
  <si>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</si>
  <si>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</si>
  <si>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</si>
  <si>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</si>
  <si>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</si>
  <si>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</si>
  <si>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</si>
  <si>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</si>
  <si>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</si>
  <si>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</si>
  <si>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</si>
  <si>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</si>
  <si>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</si>
  <si>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</si>
  <si>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</si>
  <si>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</si>
  <si>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</si>
  <si>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</si>
  <si>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</si>
  <si>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</si>
  <si>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</si>
  <si>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</si>
  <si>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</si>
  <si>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</si>
  <si>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</si>
  <si>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</si>
  <si>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</si>
  <si>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</si>
  <si>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</si>
  <si>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</si>
  <si>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</si>
  <si>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</si>
  <si>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</si>
  <si>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</si>
  <si>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</si>
  <si>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</si>
  <si>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</si>
  <si>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</si>
  <si>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</si>
  <si>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</si>
  <si>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</si>
  <si>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</si>
  <si>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</si>
  <si>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</si>
  <si>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</si>
  <si>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</si>
  <si>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</si>
  <si>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</si>
  <si>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</si>
  <si>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</si>
  <si>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</si>
  <si>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</si>
  <si>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</si>
  <si>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</si>
  <si>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</si>
  <si>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</si>
  <si>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</si>
  <si>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</si>
  <si>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</si>
  <si>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</si>
  <si>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</si>
  <si>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</si>
  <si>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</si>
  <si>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</si>
  <si>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</si>
  <si>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</si>
  <si>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</si>
  <si>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</si>
  <si>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</si>
  <si>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</si>
  <si>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</si>
  <si>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</si>
  <si>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</si>
  <si>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</si>
  <si>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</si>
  <si>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</si>
  <si>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</si>
  <si>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</si>
  <si>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</si>
  <si>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</si>
  <si>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</si>
  <si>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</si>
  <si>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</si>
  <si>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</si>
  <si>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</si>
  <si>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</si>
  <si>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</si>
  <si>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</si>
  <si>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</si>
  <si>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</si>
  <si>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</si>
  <si>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</si>
  <si>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</si>
  <si>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</si>
  <si>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</si>
  <si>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</si>
  <si>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</si>
  <si>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</si>
  <si>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</si>
  <si>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</si>
  <si>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</si>
  <si>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</si>
  <si>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</si>
  <si>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</si>
  <si>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</si>
  <si>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</si>
  <si>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</si>
  <si>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</si>
  <si>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</si>
  <si>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</si>
  <si>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</si>
  <si>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</si>
  <si>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</si>
  <si>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</si>
  <si>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</si>
  <si>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</si>
  <si>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</si>
  <si>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</si>
  <si>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</si>
  <si>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</si>
  <si>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</si>
  <si>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</si>
  <si>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</si>
  <si>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</si>
  <si>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</si>
  <si>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</si>
  <si>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</si>
  <si>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</si>
  <si>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</si>
  <si>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</si>
  <si>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</si>
  <si>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</si>
  <si>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</si>
  <si>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</si>
  <si>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</si>
  <si>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</si>
  <si>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</si>
  <si>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</si>
  <si>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</si>
  <si>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</si>
  <si>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</si>
  <si>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</si>
  <si>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</si>
  <si>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</si>
  <si>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</si>
  <si>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</si>
  <si>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</si>
  <si>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</si>
  <si>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</si>
  <si>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</si>
  <si>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</si>
  <si>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</si>
  <si>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</si>
  <si>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</si>
  <si>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</si>
  <si>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</si>
  <si>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</si>
  <si>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</si>
  <si>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</si>
  <si>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</si>
  <si>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</si>
  <si>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</si>
  <si>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</si>
  <si>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</si>
  <si>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</si>
  <si>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</si>
  <si>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</si>
  <si>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</si>
  <si>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</si>
  <si>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</si>
  <si>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</si>
  <si>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</si>
  <si>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</si>
  <si>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</si>
  <si>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</si>
  <si>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</si>
  <si>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</si>
  <si>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</si>
  <si>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</si>
  <si>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</si>
  <si>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</si>
  <si>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</si>
  <si>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</si>
  <si>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</si>
  <si>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</si>
  <si>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</si>
  <si>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</si>
  <si>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</si>
  <si>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</si>
  <si>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</si>
  <si>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</si>
  <si>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</si>
  <si>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</si>
  <si>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</si>
  <si>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</si>
  <si>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</si>
  <si>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</si>
  <si>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</si>
  <si>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</si>
  <si>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</si>
  <si>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</si>
  <si>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</si>
  <si>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</si>
  <si>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</si>
  <si>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</si>
  <si>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</si>
  <si>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</si>
  <si>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</si>
  <si>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</si>
  <si>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</si>
  <si>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</si>
  <si>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</si>
  <si>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</si>
  <si>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</si>
  <si>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</si>
  <si>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</si>
  <si>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</si>
  <si>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</si>
  <si>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</si>
  <si>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</si>
  <si>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</si>
  <si>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</si>
  <si>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</si>
  <si>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</si>
  <si>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</si>
  <si>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</si>
  <si>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</si>
  <si>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</si>
  <si>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</si>
  <si>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</si>
  <si>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</si>
  <si>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</si>
  <si>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</si>
  <si>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</si>
  <si>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</si>
  <si>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</si>
  <si>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</si>
  <si>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</si>
  <si>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</si>
  <si>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</si>
  <si>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</si>
  <si>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</si>
  <si>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</si>
  <si>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</si>
  <si>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</si>
  <si>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</si>
  <si>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</si>
  <si>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</si>
  <si>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</si>
  <si>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</si>
  <si>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</si>
  <si>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</si>
  <si>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</si>
  <si>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</si>
  <si>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</si>
  <si>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</si>
  <si>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</si>
  <si>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</si>
  <si>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</si>
  <si>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</si>
  <si>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</si>
  <si>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</si>
  <si>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</si>
  <si>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</si>
  <si>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</si>
  <si>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</si>
  <si>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</si>
  <si>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</si>
  <si>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</si>
  <si>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</si>
  <si>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</si>
  <si>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</si>
  <si>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</si>
  <si>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</si>
  <si>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</si>
  <si>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</si>
  <si>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</si>
  <si>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</si>
  <si>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</si>
  <si>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</si>
  <si>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</si>
  <si>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</si>
  <si>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</si>
  <si>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</si>
  <si>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</si>
  <si>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</si>
  <si>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</si>
  <si>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</si>
  <si>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</si>
  <si>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</si>
  <si>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</si>
  <si>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</si>
  <si>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</si>
  <si>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</si>
  <si>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</si>
  <si>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</si>
  <si>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</si>
  <si>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</si>
  <si>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</si>
  <si>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</si>
  <si>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</si>
  <si>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</si>
  <si>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</si>
  <si>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</si>
  <si>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</si>
  <si>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</si>
  <si>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</si>
  <si>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</si>
  <si>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</si>
  <si>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</si>
  <si>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</si>
  <si>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</si>
  <si>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</si>
  <si>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</si>
  <si>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</si>
  <si>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</si>
  <si>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</si>
  <si>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</si>
  <si>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</si>
  <si>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</si>
  <si>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</si>
  <si>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</si>
  <si>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</si>
  <si>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</si>
  <si>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</si>
  <si>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</si>
  <si>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</si>
  <si>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</si>
  <si>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</si>
  <si>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</si>
  <si>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</si>
  <si>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</si>
  <si>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</si>
  <si>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</si>
  <si>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</si>
  <si>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</si>
  <si>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</si>
  <si>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</si>
  <si>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</si>
  <si>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</si>
  <si>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</si>
  <si>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</si>
  <si>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</si>
  <si>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</si>
  <si>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</si>
  <si>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</si>
  <si>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</si>
  <si>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</si>
  <si>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</si>
  <si>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</si>
  <si>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</si>
  <si>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</si>
  <si>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</si>
  <si>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</si>
  <si>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</si>
  <si>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</si>
  <si>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</si>
  <si>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</si>
  <si>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</si>
  <si>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</si>
  <si>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</si>
  <si>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</si>
  <si>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</si>
  <si>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</si>
  <si>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</si>
  <si>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</si>
  <si>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</si>
  <si>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</si>
  <si>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</si>
  <si>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</si>
  <si>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</si>
  <si>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</si>
  <si>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</si>
  <si>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</si>
  <si>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</si>
  <si>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</si>
  <si>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</si>
  <si>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</si>
  <si>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</si>
  <si>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</si>
  <si>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</si>
  <si>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</si>
  <si>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</si>
  <si>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</si>
  <si>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</si>
  <si>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</si>
  <si>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</si>
  <si>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</si>
  <si>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</si>
  <si>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</si>
  <si>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</si>
  <si>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</si>
  <si>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</si>
  <si>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</si>
  <si>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</si>
  <si>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</si>
  <si>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</si>
  <si>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</si>
  <si>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</si>
  <si>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</si>
  <si>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</si>
  <si>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</si>
  <si>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</si>
  <si>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</si>
  <si>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</si>
  <si>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</si>
  <si>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</si>
  <si>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</si>
  <si>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</si>
  <si>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</si>
  <si>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</si>
  <si>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</si>
  <si>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</si>
  <si>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</si>
  <si>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</si>
  <si>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</si>
  <si>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</si>
  <si>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</si>
  <si>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</si>
  <si>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</si>
  <si>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</si>
  <si>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</si>
  <si>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</si>
  <si>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</si>
  <si>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</si>
  <si>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</si>
  <si>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</si>
  <si>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</si>
  <si>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</si>
  <si>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</si>
  <si>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</si>
  <si>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</si>
  <si>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</si>
  <si>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</si>
  <si>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</si>
  <si>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</si>
  <si>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</si>
  <si>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</si>
  <si>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</si>
  <si>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</si>
  <si>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</si>
  <si>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</si>
  <si>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</si>
  <si>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</si>
  <si>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</si>
  <si>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</si>
  <si>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</si>
  <si>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</si>
  <si>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</si>
  <si>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</si>
  <si>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</si>
  <si>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</si>
  <si>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</si>
  <si>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</si>
  <si>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</si>
  <si>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</si>
  <si>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</si>
  <si>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</si>
  <si>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</si>
  <si>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</si>
  <si>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</si>
  <si>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</si>
  <si>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</si>
  <si>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</si>
  <si>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</si>
  <si>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</si>
  <si>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</si>
  <si>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</si>
  <si>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</si>
  <si>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</si>
  <si>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</si>
  <si>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</si>
  <si>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</si>
  <si>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</si>
  <si>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</si>
  <si>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</si>
  <si>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</si>
  <si>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</si>
  <si>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</si>
  <si>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</si>
  <si>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</si>
  <si>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</si>
  <si>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</si>
  <si>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</si>
  <si>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</si>
  <si>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</si>
  <si>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</si>
  <si>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</si>
  <si>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</si>
  <si>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</si>
  <si>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</si>
  <si>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</si>
  <si>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</si>
  <si>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</si>
  <si>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</si>
  <si>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</si>
  <si>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</si>
  <si>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</si>
  <si>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</si>
  <si>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</si>
  <si>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</si>
  <si>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</si>
  <si>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</si>
  <si>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</si>
  <si>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</si>
  <si>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</si>
  <si>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</si>
  <si>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</si>
  <si>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</si>
  <si>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</si>
  <si>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</si>
  <si>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</si>
  <si>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</si>
  <si>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</si>
  <si>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</si>
  <si>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</si>
  <si>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</si>
  <si>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</si>
  <si>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</si>
  <si>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</si>
  <si>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</si>
  <si>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</si>
  <si>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</si>
  <si>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</si>
  <si>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</si>
  <si>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</si>
  <si>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</si>
  <si>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</si>
  <si>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</si>
  <si>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</si>
  <si>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</si>
  <si>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</si>
  <si>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</si>
  <si>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</si>
  <si>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</si>
  <si>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</si>
  <si>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</si>
  <si>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</si>
  <si>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</si>
  <si>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</si>
  <si>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</si>
  <si>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</si>
  <si>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</si>
  <si>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</si>
  <si>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</si>
  <si>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</si>
  <si>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</si>
  <si>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</si>
  <si>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</si>
  <si>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</si>
  <si>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</si>
  <si>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</si>
  <si>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</si>
  <si>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</si>
  <si>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</si>
  <si>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</si>
  <si>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</si>
  <si>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</si>
  <si>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</si>
  <si>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</si>
  <si>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</si>
  <si>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</si>
  <si>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</si>
  <si>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</si>
  <si>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</si>
  <si>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</si>
  <si>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</si>
  <si>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</si>
  <si>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</si>
  <si>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</si>
  <si>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</si>
  <si>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</si>
  <si>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</si>
  <si>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</si>
  <si>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</si>
  <si>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</si>
  <si>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</si>
  <si>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</si>
  <si>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</si>
  <si>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</si>
  <si>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</si>
  <si>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</si>
  <si>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</si>
  <si>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</si>
  <si>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</si>
  <si>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</si>
  <si>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</si>
  <si>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</si>
  <si>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</si>
  <si>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</si>
  <si>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</si>
  <si>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</si>
  <si>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</si>
  <si>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</si>
  <si>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</si>
  <si>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</si>
  <si>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</si>
  <si>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</si>
  <si>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</si>
  <si>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</si>
  <si>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</si>
  <si>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</si>
  <si>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</si>
  <si>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</si>
  <si>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</si>
  <si>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</si>
  <si>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</si>
  <si>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</si>
  <si>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</si>
  <si>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</si>
  <si>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</si>
  <si>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</si>
  <si>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</si>
  <si>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</si>
  <si>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</si>
  <si>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</si>
  <si>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</si>
  <si>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</si>
  <si>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</si>
  <si>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</si>
  <si>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</si>
  <si>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</si>
  <si>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</si>
  <si>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</si>
  <si>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</si>
  <si>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</si>
  <si>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</si>
  <si>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</si>
  <si>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</si>
  <si>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</si>
  <si>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</si>
  <si>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</si>
  <si>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</si>
  <si>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</si>
  <si>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</si>
  <si>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</si>
  <si>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</si>
  <si>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</si>
  <si>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</si>
  <si>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</si>
  <si>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</si>
  <si>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</si>
  <si>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</si>
  <si>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</si>
  <si>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</si>
  <si>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</si>
  <si>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</si>
  <si>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</si>
  <si>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</si>
  <si>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</si>
  <si>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</si>
  <si>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</si>
  <si>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</si>
  <si>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</si>
  <si>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</si>
  <si>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</si>
  <si>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</si>
  <si>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</si>
  <si>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</si>
  <si>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</si>
  <si>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</si>
  <si>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</si>
  <si>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</si>
  <si>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</si>
  <si>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</si>
  <si>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</si>
  <si>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</si>
  <si>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</si>
  <si>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</si>
  <si>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</si>
  <si>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</si>
  <si>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</si>
  <si>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</si>
  <si>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</si>
  <si>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</si>
  <si>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</si>
  <si>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</si>
  <si>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</si>
  <si>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</si>
  <si>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</si>
  <si>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</si>
  <si>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</si>
  <si>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</si>
  <si>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</si>
  <si>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</si>
  <si>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</si>
  <si>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</si>
  <si>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</si>
  <si>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</si>
  <si>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</si>
  <si>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</si>
  <si>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</si>
  <si>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</si>
  <si>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</si>
  <si>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</si>
  <si>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</si>
  <si>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</si>
  <si>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</si>
  <si>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</si>
  <si>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</si>
  <si>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</si>
  <si>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</si>
  <si>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</si>
  <si>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</si>
  <si>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</si>
  <si>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</si>
  <si>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</si>
  <si>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</si>
  <si>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</si>
  <si>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</si>
  <si>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</si>
  <si>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</si>
  <si>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</si>
  <si>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</si>
  <si>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</si>
  <si>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</si>
  <si>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</si>
  <si>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</si>
  <si>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</si>
  <si>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</si>
  <si>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</si>
  <si>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</si>
  <si>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</si>
  <si>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</si>
  <si>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</si>
  <si>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</si>
  <si>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</si>
  <si>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</si>
  <si>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</si>
  <si>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</si>
  <si>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</si>
  <si>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</si>
  <si>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</si>
  <si>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</si>
  <si>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</si>
  <si>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</si>
  <si>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</si>
  <si>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</si>
  <si>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</si>
  <si>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</si>
  <si>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</si>
  <si>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</si>
  <si>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</si>
  <si>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</si>
  <si>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</si>
  <si>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</si>
  <si>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</si>
  <si>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</si>
  <si>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</si>
  <si>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</si>
  <si>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</si>
  <si>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</si>
  <si>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</si>
  <si>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</si>
  <si>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</si>
  <si>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</si>
  <si>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</si>
  <si>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</si>
  <si>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</si>
  <si>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</si>
  <si>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</si>
  <si>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</si>
  <si>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</si>
  <si>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</si>
  <si>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</si>
  <si>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</si>
  <si>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</si>
  <si>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</si>
  <si>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</si>
  <si>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</si>
  <si>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</si>
  <si>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</si>
  <si>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</si>
  <si>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</si>
  <si>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</si>
  <si>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</si>
  <si>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</si>
  <si>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</si>
  <si>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</si>
  <si>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</si>
  <si>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</si>
  <si>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</si>
  <si>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</si>
  <si>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</si>
  <si>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</si>
  <si>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</si>
  <si>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</si>
  <si>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</si>
  <si>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</si>
  <si>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</si>
  <si>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</si>
  <si>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</si>
  <si>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</si>
  <si>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</si>
  <si>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</si>
  <si>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</si>
  <si>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</si>
  <si>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</si>
  <si>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</si>
  <si>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</si>
  <si>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</si>
  <si>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</si>
  <si>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</si>
  <si>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</si>
  <si>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</si>
  <si>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</si>
  <si>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</si>
  <si>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</si>
  <si>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</si>
  <si>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</si>
  <si>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</si>
  <si>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</si>
  <si>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</si>
  <si>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</si>
  <si>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</si>
  <si>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</si>
  <si>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</si>
  <si>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</si>
  <si>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</si>
  <si>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</si>
  <si>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</si>
  <si>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</si>
  <si>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</si>
  <si>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</si>
  <si>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</si>
  <si>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</si>
  <si>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</si>
  <si>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</si>
  <si>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</si>
  <si>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</si>
  <si>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</si>
  <si>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</si>
  <si>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</si>
  <si>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</si>
  <si>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</si>
  <si>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</si>
  <si>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</si>
  <si>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</si>
  <si>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</si>
  <si>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</si>
  <si>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</si>
  <si>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</si>
  <si>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</si>
  <si>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</si>
  <si>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</si>
  <si>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</si>
  <si>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</si>
  <si>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</si>
  <si>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</si>
  <si>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</si>
  <si>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</si>
  <si>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</si>
  <si>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</si>
  <si>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</si>
  <si>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</si>
  <si>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</si>
  <si>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</si>
  <si>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</si>
  <si>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</si>
  <si>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</si>
  <si>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</si>
  <si>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</si>
  <si>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</si>
  <si>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</si>
  <si>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</si>
  <si>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</si>
  <si>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</si>
  <si>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</si>
  <si>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</si>
  <si>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</si>
  <si>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</si>
  <si>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</si>
  <si>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</si>
  <si>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</si>
  <si>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</si>
  <si>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</si>
  <si>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</si>
  <si>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</si>
  <si>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</si>
  <si>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</si>
  <si>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</si>
  <si>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</si>
  <si>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</si>
  <si>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</si>
  <si>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</si>
  <si>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</si>
  <si>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</si>
  <si>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</si>
  <si>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</si>
  <si>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</si>
  <si>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</si>
  <si>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</si>
  <si>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</si>
  <si>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</si>
  <si>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</si>
  <si>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</si>
  <si>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</si>
  <si>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</si>
  <si>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</si>
  <si>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</si>
  <si>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</si>
  <si>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</si>
  <si>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</si>
  <si>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</si>
  <si>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</si>
  <si>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</si>
  <si>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</si>
  <si>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</si>
  <si>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</si>
  <si>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</si>
  <si>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</si>
  <si>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</si>
  <si>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</si>
  <si>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</si>
  <si>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</si>
  <si>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</si>
  <si>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</si>
  <si>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</si>
  <si>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</si>
  <si>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</si>
  <si>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</si>
  <si>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</si>
  <si>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</si>
  <si>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</si>
  <si>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</si>
  <si>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</si>
  <si>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</si>
  <si>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</si>
  <si>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</si>
  <si>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</si>
  <si>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</si>
  <si>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</si>
  <si>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</si>
  <si>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</si>
  <si>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</si>
  <si>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</si>
  <si>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</si>
  <si>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</si>
  <si>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</si>
  <si>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</si>
  <si>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</si>
  <si>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</si>
  <si>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</si>
  <si>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</si>
  <si>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</si>
  <si>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</si>
  <si>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</si>
  <si>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</si>
  <si>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</si>
  <si>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</si>
  <si>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</si>
  <si>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</si>
  <si>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</si>
  <si>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</si>
  <si>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</si>
  <si>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</si>
  <si>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</si>
  <si>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</si>
  <si>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</si>
  <si>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</si>
  <si>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</si>
  <si>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</si>
  <si>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</si>
  <si>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</si>
  <si>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</si>
  <si>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</si>
  <si>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</si>
  <si>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</si>
  <si>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</si>
  <si>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</si>
  <si>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</si>
  <si>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</si>
  <si>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</si>
  <si>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</si>
  <si>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</si>
  <si>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</si>
  <si>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</si>
  <si>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</si>
  <si>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</si>
  <si>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</si>
  <si>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</si>
  <si>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</si>
  <si>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</si>
  <si>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</si>
  <si>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</si>
  <si>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</si>
  <si>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</si>
  <si>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</si>
  <si>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</si>
  <si>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</si>
  <si>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</si>
  <si>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</si>
  <si>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</si>
  <si>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</si>
  <si>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</si>
  <si>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</si>
  <si>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</si>
  <si>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</si>
  <si>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</si>
  <si>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</si>
  <si>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</si>
  <si>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</si>
  <si>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</si>
  <si>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</si>
  <si>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</si>
  <si>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</si>
  <si>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</si>
  <si>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</si>
  <si>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</si>
  <si>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</si>
  <si>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</si>
  <si>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</si>
  <si>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</si>
  <si>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</si>
  <si>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</si>
  <si>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</si>
  <si>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</si>
  <si>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</si>
  <si>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</si>
  <si>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</si>
  <si>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</si>
  <si>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</si>
  <si>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</si>
  <si>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</si>
  <si>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</si>
  <si>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</si>
  <si>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</si>
  <si>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</si>
  <si>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</si>
  <si>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</si>
  <si>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</si>
  <si>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</si>
  <si>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</si>
  <si>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</si>
  <si>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</si>
  <si>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</si>
  <si>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</si>
  <si>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</si>
  <si>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</si>
  <si>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</si>
  <si>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</si>
  <si>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</si>
  <si>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</si>
  <si>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</si>
  <si>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</si>
  <si>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</si>
  <si>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</si>
  <si>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</si>
  <si>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</si>
  <si>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</si>
  <si>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</si>
  <si>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</si>
  <si>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</si>
  <si>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</si>
  <si>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</si>
  <si>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</si>
  <si>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</si>
  <si>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</si>
  <si>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</si>
  <si>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</si>
  <si>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</si>
  <si>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</si>
  <si>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</si>
  <si>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</si>
  <si>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</si>
  <si>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</si>
  <si>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</si>
  <si>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</si>
  <si>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</si>
  <si>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</si>
  <si>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</si>
  <si>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</si>
  <si>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</si>
  <si>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</si>
  <si>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</si>
  <si>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</si>
  <si>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</si>
  <si>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</si>
  <si>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</si>
  <si>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</si>
  <si>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</si>
  <si>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</si>
  <si>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</si>
  <si>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</si>
  <si>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</si>
  <si>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</si>
  <si>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</si>
  <si>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</si>
  <si>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</si>
  <si>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</si>
  <si>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</si>
  <si>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</si>
  <si>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</si>
  <si>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</si>
  <si>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</si>
  <si>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</si>
  <si>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</si>
  <si>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</si>
  <si>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</si>
  <si>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</si>
  <si>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</si>
  <si>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</si>
  <si>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</si>
  <si>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</si>
  <si>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</si>
  <si>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</si>
  <si>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</si>
  <si>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</si>
  <si>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</si>
  <si>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</si>
  <si>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</si>
  <si>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</si>
  <si>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</si>
  <si>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</si>
  <si>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</si>
  <si>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</si>
  <si>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</si>
  <si>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</si>
  <si>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</si>
  <si>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</si>
  <si>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</si>
  <si>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</si>
  <si>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</si>
  <si>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</si>
  <si>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</si>
  <si>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</si>
  <si>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</si>
  <si>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</si>
  <si>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</si>
  <si>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</si>
  <si>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</si>
  <si>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</si>
  <si>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</si>
  <si>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</si>
  <si>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</si>
  <si>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</si>
  <si>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</si>
  <si>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</si>
  <si>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</si>
  <si>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</si>
  <si>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</si>
  <si>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</si>
  <si>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</si>
  <si>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</si>
  <si>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</si>
  <si>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</si>
  <si>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</si>
  <si>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</si>
  <si>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</si>
  <si>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</si>
  <si>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</si>
  <si>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</si>
  <si>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</si>
  <si>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</si>
  <si>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</si>
  <si>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</si>
  <si>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</si>
  <si>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</si>
  <si>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</si>
  <si>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</si>
  <si>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</si>
  <si>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</si>
  <si>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</si>
  <si>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</si>
  <si>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</si>
  <si>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</si>
  <si>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</si>
  <si>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</si>
  <si>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</si>
  <si>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</si>
  <si>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</si>
  <si>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</si>
  <si>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</si>
  <si>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</si>
  <si>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</si>
  <si>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</si>
  <si>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</si>
  <si>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</si>
  <si>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</si>
  <si>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</si>
  <si>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</si>
  <si>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</si>
  <si>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</si>
  <si>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</si>
  <si>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</si>
  <si>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</si>
  <si>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</si>
  <si>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</si>
  <si>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</si>
  <si>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</si>
  <si>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</si>
  <si>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</si>
  <si>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</si>
  <si>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</si>
  <si>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</si>
  <si>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</si>
  <si>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</si>
  <si>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</si>
  <si>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</si>
  <si>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</si>
  <si>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</si>
  <si>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</si>
  <si>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</si>
  <si>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</si>
  <si>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</si>
  <si>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</si>
  <si>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</si>
  <si>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</si>
  <si>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</si>
  <si>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</si>
  <si>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</si>
  <si>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</si>
  <si>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</si>
  <si>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</si>
  <si>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</si>
  <si>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</si>
  <si>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</si>
  <si>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</si>
  <si>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</si>
  <si>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</si>
  <si>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</si>
  <si>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</si>
  <si>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</si>
  <si>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</si>
  <si>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</si>
  <si>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</si>
  <si>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</si>
  <si>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</si>
  <si>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</si>
  <si>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</si>
  <si>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</si>
  <si>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</si>
  <si>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</si>
  <si>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</si>
  <si>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</si>
  <si>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</si>
  <si>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</si>
  <si>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</si>
  <si>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</si>
  <si>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</si>
  <si>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</si>
  <si>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</si>
  <si>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</si>
  <si>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</si>
  <si>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</si>
  <si>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</si>
  <si>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</si>
  <si>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</si>
  <si>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</si>
  <si>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</si>
  <si>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</si>
  <si>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</si>
  <si>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</si>
  <si>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</si>
  <si>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</si>
  <si>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</si>
  <si>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</si>
  <si>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</si>
  <si>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</si>
  <si>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</si>
  <si>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</si>
  <si>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</si>
  <si>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</si>
  <si>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</si>
  <si>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</si>
  <si>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</si>
  <si>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</si>
  <si>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</si>
  <si>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</si>
  <si>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</si>
  <si>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</si>
  <si>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</si>
  <si>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</si>
  <si>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</si>
  <si>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</si>
  <si>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</si>
  <si>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</si>
  <si>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</si>
  <si>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</si>
  <si>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</si>
  <si>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</si>
  <si>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</si>
  <si>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</si>
  <si>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</si>
  <si>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</si>
  <si>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</si>
  <si>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</si>
  <si>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</si>
  <si>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</si>
  <si>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</si>
  <si>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</si>
  <si>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</si>
  <si>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</si>
  <si>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</si>
  <si>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</si>
  <si>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</si>
  <si>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</si>
  <si>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</si>
  <si>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</si>
  <si>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</si>
  <si>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</si>
  <si>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</si>
  <si>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</si>
  <si>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</si>
  <si>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</si>
  <si>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</si>
  <si>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</si>
  <si>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</si>
  <si>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</si>
  <si>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</si>
  <si>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</si>
  <si>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</si>
  <si>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</si>
  <si>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</si>
  <si>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</si>
  <si>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</si>
  <si>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</si>
  <si>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</si>
  <si>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</si>
  <si>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</si>
  <si>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</si>
  <si>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</si>
  <si>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</si>
  <si>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</si>
  <si>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</si>
  <si>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</si>
  <si>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</si>
  <si>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</si>
  <si>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</si>
  <si>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</si>
  <si>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</si>
  <si>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</si>
  <si>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</si>
  <si>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</si>
  <si>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</si>
  <si>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</si>
  <si>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</si>
  <si>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</si>
  <si>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</si>
  <si>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</si>
  <si>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</si>
  <si>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</si>
  <si>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</si>
  <si>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</si>
  <si>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</si>
  <si>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</si>
  <si>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</si>
  <si>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</si>
  <si>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</si>
  <si>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</si>
  <si>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</si>
  <si>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</si>
  <si>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</si>
  <si>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</si>
  <si>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</si>
  <si>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</si>
  <si>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</si>
  <si>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</si>
  <si>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</si>
  <si>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</si>
  <si>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</si>
  <si>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</si>
  <si>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</si>
  <si>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</si>
  <si>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</si>
  <si>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</si>
  <si>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</si>
  <si>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</si>
  <si>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</si>
  <si>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</si>
  <si>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</si>
  <si>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</si>
  <si>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</si>
  <si>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</si>
  <si>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</si>
  <si>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</si>
  <si>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</si>
  <si>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</si>
  <si>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</si>
  <si>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</si>
  <si>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</si>
  <si>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</si>
  <si>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</si>
  <si>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</si>
  <si>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</si>
  <si>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</si>
  <si>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</si>
  <si>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</si>
  <si>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</si>
  <si>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</si>
  <si>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</si>
  <si>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</si>
  <si>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</si>
  <si>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</si>
  <si>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</si>
  <si>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</si>
  <si>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</si>
  <si>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</si>
  <si>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</si>
  <si>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</si>
  <si>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</si>
  <si>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</si>
  <si>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</si>
  <si>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</si>
  <si>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</si>
  <si>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</si>
  <si>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</si>
  <si>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</si>
  <si>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</si>
  <si>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</si>
  <si>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</si>
  <si>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</si>
  <si>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</si>
  <si>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</si>
  <si>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</si>
  <si>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</si>
  <si>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</si>
  <si>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</si>
  <si>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</si>
  <si>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</si>
  <si>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</si>
  <si>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</si>
  <si>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</si>
  <si>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</si>
  <si>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</si>
  <si>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</si>
  <si>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</si>
  <si>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</si>
  <si>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</si>
  <si>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</si>
  <si>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</si>
  <si>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</si>
  <si>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</si>
  <si>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</si>
  <si>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</si>
  <si>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</si>
  <si>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</si>
  <si>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</si>
  <si>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</si>
  <si>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</si>
  <si>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</si>
  <si>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</si>
  <si>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</si>
  <si>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</si>
  <si>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</si>
  <si>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</si>
  <si>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</si>
  <si>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</si>
  <si>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</si>
  <si>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</si>
  <si>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</si>
  <si>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</si>
  <si>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</si>
  <si>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</si>
  <si>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</si>
  <si>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</si>
  <si>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</si>
  <si>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</si>
  <si>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</si>
  <si>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</si>
  <si>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</si>
  <si>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</si>
  <si>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</si>
  <si>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</si>
  <si>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</si>
  <si>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</si>
  <si>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</si>
  <si>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</si>
  <si>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</si>
  <si>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</si>
  <si>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</si>
  <si>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</si>
  <si>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</si>
  <si>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</si>
  <si>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</si>
  <si>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</si>
  <si>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</si>
  <si>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</si>
  <si>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</si>
  <si>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</si>
  <si>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</si>
  <si>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</si>
  <si>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</si>
  <si>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</si>
  <si>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</si>
  <si>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</si>
  <si>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</si>
  <si>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</si>
  <si>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</si>
  <si>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</si>
  <si>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</si>
  <si>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</si>
  <si>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</si>
  <si>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</si>
  <si>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</si>
  <si>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</si>
  <si>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</si>
  <si>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</si>
  <si>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</si>
  <si>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</si>
  <si>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</si>
  <si>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</si>
  <si>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</si>
  <si>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</si>
  <si>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</si>
  <si>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</si>
  <si>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</si>
  <si>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</si>
  <si>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</si>
  <si>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</si>
  <si>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</si>
  <si>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</si>
  <si>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</si>
  <si>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</si>
  <si>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</si>
  <si>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</si>
  <si>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</si>
  <si>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</si>
  <si>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</si>
  <si>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</si>
  <si>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</si>
  <si>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</si>
  <si>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</si>
  <si>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</si>
  <si>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</si>
  <si>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</si>
  <si>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</si>
  <si>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</si>
  <si>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</si>
  <si>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</si>
  <si>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</si>
  <si>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</si>
  <si>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</si>
  <si>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</si>
  <si>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</si>
  <si>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</si>
  <si>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</si>
  <si>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</si>
  <si>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</si>
  <si>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</si>
  <si>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</si>
  <si>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</si>
  <si>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</si>
  <si>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</si>
  <si>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</si>
  <si>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</si>
  <si>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</si>
  <si>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</si>
  <si>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</si>
  <si>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</si>
  <si>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</si>
  <si>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</si>
  <si>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</si>
  <si>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</si>
  <si>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</si>
  <si>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</si>
  <si>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</si>
  <si>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</si>
  <si>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</si>
  <si>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</si>
  <si>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</si>
  <si>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</si>
  <si>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</si>
  <si>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</si>
  <si>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</si>
  <si>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</si>
  <si>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</si>
  <si>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</si>
  <si>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</si>
  <si>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</si>
  <si>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</si>
  <si>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</si>
  <si>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</si>
  <si>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</si>
  <si>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</si>
  <si>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</si>
  <si>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</si>
  <si>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</si>
  <si>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</si>
  <si>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</si>
  <si>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</si>
  <si>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</si>
  <si>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</si>
  <si>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</si>
  <si>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</si>
  <si>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</si>
  <si>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</si>
  <si>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</si>
  <si>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</si>
  <si>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</si>
  <si>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</si>
  <si>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</si>
  <si>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</si>
  <si>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</si>
  <si>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</si>
  <si>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</si>
  <si>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</si>
  <si>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</si>
  <si>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</si>
  <si>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</si>
  <si>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</si>
  <si>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</si>
  <si>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</si>
  <si>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</si>
  <si>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</si>
  <si>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</si>
  <si>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</si>
  <si>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</si>
  <si>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</si>
  <si>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</si>
  <si>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</si>
  <si>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</si>
  <si>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</si>
  <si>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</si>
  <si>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</si>
  <si>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</si>
  <si>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</si>
  <si>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</si>
  <si>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</si>
  <si>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</si>
  <si>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</si>
  <si>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</si>
  <si>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</si>
  <si>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</si>
  <si>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</si>
  <si>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</si>
  <si>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</si>
  <si>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</si>
  <si>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</si>
  <si>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</si>
  <si>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</si>
  <si>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</si>
  <si>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</si>
  <si>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</si>
  <si>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</si>
  <si>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</si>
  <si>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</si>
  <si>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</si>
  <si>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</si>
  <si>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</si>
  <si>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</si>
  <si>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</si>
  <si>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</si>
  <si>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</si>
  <si>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</si>
  <si>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</si>
  <si>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</si>
  <si>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</si>
  <si>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</si>
  <si>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</si>
  <si>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</si>
  <si>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</si>
  <si>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</si>
  <si>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</si>
  <si>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</si>
  <si>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</si>
  <si>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</si>
  <si>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</si>
  <si>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</si>
  <si>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</si>
  <si>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</si>
  <si>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</si>
  <si>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</si>
  <si>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</si>
  <si>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</si>
  <si>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</si>
  <si>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</si>
  <si>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</si>
  <si>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</si>
  <si>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</si>
  <si>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</si>
  <si>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</si>
  <si>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</si>
  <si>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</si>
  <si>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</si>
  <si>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</si>
  <si>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</si>
  <si>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</si>
  <si>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</si>
  <si>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</si>
  <si>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</si>
  <si>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</si>
  <si>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</si>
  <si>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</si>
  <si>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</si>
  <si>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</si>
  <si>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</si>
  <si>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</si>
  <si>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</si>
  <si>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</si>
  <si>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</si>
  <si>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</si>
  <si>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</si>
  <si>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</si>
  <si>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</si>
  <si>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</si>
  <si>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</si>
  <si>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</si>
  <si>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</si>
  <si>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</si>
  <si>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</si>
  <si>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</si>
  <si>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</si>
  <si>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</si>
  <si>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</si>
  <si>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</si>
  <si>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</si>
  <si>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</si>
  <si>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</si>
  <si>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</si>
  <si>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</si>
  <si>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</si>
  <si>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</si>
  <si>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</si>
  <si>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</si>
  <si>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</si>
  <si>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</si>
  <si>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</si>
  <si>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</si>
  <si>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</si>
  <si>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</si>
  <si>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</si>
  <si>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</si>
  <si>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</si>
  <si>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</si>
  <si>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</si>
  <si>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</si>
  <si>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</si>
  <si>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</si>
  <si>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</si>
  <si>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</si>
  <si>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</si>
  <si>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</si>
  <si>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</si>
  <si>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</si>
  <si>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</si>
  <si>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</si>
  <si>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</si>
  <si>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</si>
  <si>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</si>
  <si>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</si>
  <si>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</si>
  <si>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</si>
  <si>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</si>
  <si>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</si>
  <si>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</si>
  <si>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</si>
  <si>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</si>
  <si>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</si>
  <si>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</si>
  <si>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</si>
  <si>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</si>
  <si>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</si>
  <si>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</si>
  <si>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</si>
  <si>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</si>
  <si>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</si>
  <si>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</si>
  <si>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</si>
  <si>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</si>
  <si>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</si>
  <si>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</si>
  <si>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</si>
  <si>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</si>
  <si>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</si>
  <si>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</si>
  <si>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</si>
  <si>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</si>
  <si>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</si>
  <si>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</si>
  <si>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</si>
  <si>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</si>
  <si>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</si>
  <si>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</si>
  <si>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</si>
  <si>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</si>
  <si>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</si>
  <si>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</si>
  <si>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</si>
  <si>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</si>
  <si>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</si>
  <si>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</si>
  <si>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</si>
  <si>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</si>
  <si>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</si>
  <si>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</si>
  <si>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</si>
  <si>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</si>
  <si>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</si>
  <si>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</si>
  <si>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</si>
  <si>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</si>
  <si>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</si>
  <si>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</si>
  <si>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</si>
  <si>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</si>
  <si>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</si>
  <si>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</si>
  <si>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</si>
  <si>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</si>
  <si>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</si>
  <si>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</si>
  <si>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</si>
  <si>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</si>
  <si>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</si>
  <si>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</si>
  <si>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</si>
  <si>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</si>
  <si>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</si>
  <si>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</si>
  <si>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</si>
  <si>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</si>
  <si>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</si>
  <si>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</si>
  <si>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</si>
  <si>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</si>
  <si>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</si>
  <si>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</si>
  <si>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</si>
  <si>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</si>
  <si>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</si>
  <si>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</si>
  <si>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</si>
  <si>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</si>
  <si>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</si>
  <si>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</si>
  <si>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</si>
  <si>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</si>
  <si>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</si>
  <si>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</si>
  <si>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</si>
  <si>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</si>
  <si>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</si>
  <si>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</si>
  <si>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</si>
  <si>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</si>
  <si>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</si>
  <si>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</si>
  <si>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</si>
  <si>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</si>
  <si>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</si>
  <si>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</si>
  <si>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</si>
  <si>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</si>
  <si>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</si>
  <si>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</si>
  <si>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</si>
  <si>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</si>
  <si>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</si>
  <si>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</si>
  <si>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</si>
  <si>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</si>
  <si>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</si>
  <si>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</si>
  <si>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</si>
  <si>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</si>
  <si>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</si>
  <si>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</si>
  <si>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</si>
  <si>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</si>
  <si>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</si>
  <si>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</si>
  <si>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</si>
  <si>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</si>
  <si>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</si>
  <si>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</si>
  <si>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</si>
  <si>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</si>
  <si>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</si>
  <si>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</si>
  <si>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</si>
  <si>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</si>
  <si>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</si>
  <si>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</si>
  <si>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</si>
  <si>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</si>
  <si>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</si>
  <si>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</si>
  <si>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</si>
  <si>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</si>
  <si>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</si>
  <si>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</si>
  <si>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</si>
  <si>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</si>
  <si>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</si>
  <si>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</si>
  <si>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</si>
  <si>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</si>
  <si>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</si>
  <si>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</si>
  <si>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</si>
  <si>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</si>
  <si>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</si>
  <si>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</si>
  <si>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</si>
  <si>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</si>
  <si>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</si>
  <si>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</si>
  <si>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</si>
  <si>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</si>
  <si>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</si>
  <si>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</si>
  <si>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</si>
  <si>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</si>
  <si>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</si>
  <si>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</si>
  <si>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</si>
  <si>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</si>
  <si>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</si>
  <si>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</si>
  <si>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</si>
  <si>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</si>
  <si>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</si>
  <si>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</si>
  <si>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</si>
  <si>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</si>
  <si>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</si>
  <si>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</si>
  <si>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</si>
  <si>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</si>
  <si>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</si>
  <si>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</si>
  <si>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</si>
  <si>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</si>
  <si>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</si>
  <si>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</si>
  <si>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</si>
  <si>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</si>
  <si>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</si>
  <si>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</si>
  <si>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</si>
  <si>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</si>
  <si>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</si>
  <si>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</si>
  <si>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</si>
  <si>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</si>
  <si>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</si>
  <si>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</si>
  <si>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</si>
  <si>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</si>
  <si>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</si>
  <si>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</si>
  <si>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</si>
  <si>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</si>
  <si>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</si>
  <si>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</si>
  <si>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</si>
  <si>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</si>
  <si>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</si>
  <si>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</si>
  <si>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</si>
  <si>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</si>
  <si>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</si>
  <si>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</si>
  <si>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</si>
  <si>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</si>
  <si>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</si>
  <si>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</si>
  <si>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</si>
  <si>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</si>
  <si>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</si>
  <si>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</si>
  <si>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</si>
  <si>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</si>
  <si>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</si>
  <si>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</si>
  <si>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</si>
  <si>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</si>
  <si>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</si>
  <si>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</si>
  <si>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</si>
  <si>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</si>
  <si>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</si>
  <si>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</si>
  <si>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</si>
  <si>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</si>
  <si>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</si>
  <si>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</si>
  <si>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</si>
  <si>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</si>
  <si>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</si>
  <si>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</si>
  <si>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</si>
  <si>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</si>
  <si>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</si>
  <si>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</si>
  <si>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</si>
  <si>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</si>
  <si>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</si>
  <si>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</si>
  <si>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</si>
  <si>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</si>
  <si>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</si>
  <si>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</si>
  <si>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</si>
  <si>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</si>
  <si>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</si>
  <si>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</si>
  <si>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</si>
  <si>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</si>
  <si>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</si>
  <si>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</si>
  <si>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</si>
  <si>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</si>
  <si>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</si>
  <si>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</si>
  <si>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</si>
  <si>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</si>
  <si>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</si>
  <si>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</si>
  <si>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</si>
  <si>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</si>
  <si>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</si>
  <si>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</si>
  <si>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</si>
  <si>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</si>
  <si>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</si>
  <si>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</si>
  <si>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</si>
  <si>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</si>
  <si>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</si>
  <si>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</si>
  <si>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</si>
  <si>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</si>
  <si>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</si>
  <si>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</si>
  <si>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</si>
  <si>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</si>
  <si>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</si>
  <si>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</si>
  <si>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</si>
  <si>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</si>
  <si>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</si>
  <si>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</si>
  <si>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</si>
  <si>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</si>
  <si>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</si>
  <si>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</si>
  <si>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</si>
  <si>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</si>
  <si>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</si>
  <si>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</si>
  <si>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</si>
  <si>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</si>
  <si>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</si>
  <si>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</si>
  <si>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</si>
  <si>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</si>
  <si>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</si>
  <si>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</si>
  <si>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</si>
  <si>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</si>
  <si>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</si>
  <si>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</si>
  <si>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</si>
  <si>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</si>
  <si>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</si>
  <si>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</si>
  <si>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</si>
  <si>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</si>
  <si>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</si>
  <si>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</si>
  <si>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</si>
  <si>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</si>
  <si>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</si>
  <si>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</si>
  <si>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</si>
  <si>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</si>
  <si>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</si>
  <si>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</si>
  <si>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</si>
  <si>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</si>
  <si>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</si>
  <si>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</si>
  <si>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</si>
  <si>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</si>
  <si>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</si>
  <si>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</si>
  <si>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</si>
  <si>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</si>
  <si>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</si>
  <si>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</si>
  <si>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</si>
  <si>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</si>
  <si>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</si>
  <si>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</si>
  <si>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</si>
  <si>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</si>
  <si>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</si>
  <si>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</si>
  <si>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</si>
  <si>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</si>
  <si>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</si>
  <si>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</si>
  <si>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</si>
  <si>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</si>
  <si>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</si>
  <si>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</si>
  <si>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</si>
  <si>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</si>
  <si>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</si>
  <si>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</si>
  <si>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</si>
  <si>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</si>
  <si>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</si>
  <si>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</si>
  <si>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</si>
  <si>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</si>
  <si>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</si>
  <si>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</si>
  <si>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</si>
  <si>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</si>
  <si>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北京首华建设经营有限公司</t>
    <phoneticPr fontId="6" type="noConversion"/>
  </si>
  <si>
    <t>商业</t>
    <phoneticPr fontId="6" type="noConversion"/>
  </si>
  <si>
    <t>商业项目</t>
  </si>
  <si>
    <t>现房</t>
  </si>
  <si>
    <t>是</t>
  </si>
  <si>
    <t>地上</t>
  </si>
  <si>
    <t>商业</t>
    <phoneticPr fontId="7" type="noConversion"/>
  </si>
  <si>
    <t>成新度</t>
  </si>
  <si>
    <t>建成年代</t>
    <phoneticPr fontId="3" type="noConversion"/>
  </si>
  <si>
    <t>年租金</t>
    <phoneticPr fontId="134" type="noConversion"/>
  </si>
  <si>
    <t>作为办公使用</t>
    <phoneticPr fontId="134" type="noConversion"/>
  </si>
  <si>
    <t>日租金</t>
    <phoneticPr fontId="134" type="noConversion"/>
  </si>
  <si>
    <t>收益法</t>
  </si>
  <si>
    <t>宗地容积率</t>
  </si>
  <si>
    <t>不临65条商业街</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</si>
  <si>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</si>
  <si>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Ⅰ—01</t>
  </si>
  <si>
    <t>好</t>
  </si>
  <si>
    <t>较好</t>
  </si>
  <si>
    <t>差</t>
  </si>
  <si>
    <t>地下</t>
  </si>
  <si>
    <t>未包含在土地购买价格中</t>
  </si>
  <si>
    <t>已包含在土地取得成本中</t>
  </si>
  <si>
    <t>自定义</t>
  </si>
  <si>
    <t>砖混</t>
  </si>
  <si>
    <t>非生产用房</t>
  </si>
  <si>
    <t>押一</t>
  </si>
  <si>
    <t>直线</t>
    <phoneticPr fontId="3" type="noConversion"/>
  </si>
  <si>
    <t>观察</t>
    <phoneticPr fontId="3" type="noConversion"/>
  </si>
  <si>
    <t>地下一层</t>
    <phoneticPr fontId="3" type="noConversion"/>
  </si>
  <si>
    <t>建筑面积</t>
    <phoneticPr fontId="3" type="noConversion"/>
  </si>
  <si>
    <t>总楼层</t>
    <phoneticPr fontId="3" type="noConversion"/>
  </si>
  <si>
    <t>所在层数</t>
    <phoneticPr fontId="3" type="noConversion"/>
  </si>
  <si>
    <t>合计</t>
    <phoneticPr fontId="3" type="noConversion"/>
  </si>
  <si>
    <t>租赁合同</t>
    <phoneticPr fontId="134" type="noConversion"/>
  </si>
  <si>
    <r>
      <t>4</t>
    </r>
    <r>
      <rPr>
        <sz val="11"/>
        <color theme="1"/>
        <rFont val="宋体"/>
        <family val="3"/>
        <charset val="134"/>
        <scheme val="minor"/>
      </rPr>
      <t>50万-500万</t>
    </r>
    <phoneticPr fontId="134" type="noConversion"/>
  </si>
  <si>
    <t>北沿河商铺1层</t>
    <phoneticPr fontId="134" type="noConversion"/>
  </si>
  <si>
    <r>
      <t>7</t>
    </r>
    <r>
      <rPr>
        <sz val="11"/>
        <color theme="1"/>
        <rFont val="宋体"/>
        <family val="3"/>
        <charset val="134"/>
        <scheme val="minor"/>
      </rPr>
      <t>-8元</t>
    </r>
    <phoneticPr fontId="134" type="noConversion"/>
  </si>
  <si>
    <t>1层</t>
    <phoneticPr fontId="134" type="noConversion"/>
  </si>
  <si>
    <t>单方造价</t>
    <phoneticPr fontId="3" type="noConversion"/>
  </si>
  <si>
    <t>总造价</t>
    <phoneticPr fontId="134" type="noConversion"/>
  </si>
  <si>
    <t>地下一层</t>
    <phoneticPr fontId="134" type="noConversion"/>
  </si>
  <si>
    <t>2层</t>
    <phoneticPr fontId="134" type="noConversion"/>
  </si>
  <si>
    <t>3层</t>
    <phoneticPr fontId="134" type="noConversion"/>
  </si>
  <si>
    <t>4层</t>
    <phoneticPr fontId="134" type="noConversion"/>
  </si>
  <si>
    <t>5层</t>
    <phoneticPr fontId="134" type="noConversion"/>
  </si>
  <si>
    <t>租金</t>
    <phoneticPr fontId="134" type="noConversion"/>
  </si>
  <si>
    <t>系数</t>
    <phoneticPr fontId="134" type="noConversion"/>
  </si>
  <si>
    <t>平均日租金</t>
    <phoneticPr fontId="134" type="noConversion"/>
  </si>
  <si>
    <t>楼面单价</t>
  </si>
  <si>
    <t>楼层修正</t>
  </si>
  <si>
    <r>
      <t>主楼-</t>
    </r>
    <r>
      <rPr>
        <sz val="11"/>
        <color theme="1"/>
        <rFont val="宋体"/>
        <family val="3"/>
        <charset val="134"/>
        <scheme val="minor"/>
      </rPr>
      <t>1层</t>
    </r>
    <phoneticPr fontId="134" type="noConversion"/>
  </si>
  <si>
    <t>附属平方</t>
    <phoneticPr fontId="134" type="noConversion"/>
  </si>
  <si>
    <t>主楼1-5层</t>
    <phoneticPr fontId="134" type="noConversion"/>
  </si>
  <si>
    <t>合计</t>
    <phoneticPr fontId="134" type="noConversion"/>
  </si>
  <si>
    <t>合计</t>
    <phoneticPr fontId="134" type="noConversion"/>
  </si>
  <si>
    <t>市场</t>
    <phoneticPr fontId="134" type="noConversion"/>
  </si>
  <si>
    <t>弃用</t>
    <phoneticPr fontId="134" type="noConversion"/>
  </si>
  <si>
    <r>
      <t>1</t>
    </r>
    <r>
      <rPr>
        <sz val="11"/>
        <color theme="1"/>
        <rFont val="宋体"/>
        <family val="3"/>
        <charset val="134"/>
        <scheme val="minor"/>
      </rPr>
      <t>0年</t>
    </r>
    <phoneticPr fontId="134" type="noConversion"/>
  </si>
  <si>
    <r>
      <t>主楼1</t>
    </r>
    <r>
      <rPr>
        <sz val="11"/>
        <color theme="1"/>
        <rFont val="宋体"/>
        <family val="3"/>
        <charset val="134"/>
        <scheme val="minor"/>
      </rPr>
      <t>-5层</t>
    </r>
    <phoneticPr fontId="134" type="noConversion"/>
  </si>
  <si>
    <r>
      <t>2</t>
    </r>
    <r>
      <rPr>
        <sz val="11"/>
        <color theme="1"/>
        <rFont val="宋体"/>
        <family val="3"/>
        <charset val="134"/>
        <scheme val="minor"/>
      </rPr>
      <t>023.8-2024.8</t>
    </r>
    <phoneticPr fontId="134" type="noConversion"/>
  </si>
  <si>
    <t>10年平均租金</t>
    <phoneticPr fontId="134" type="noConversion"/>
  </si>
  <si>
    <t>附属平房</t>
    <phoneticPr fontId="134" type="noConversion"/>
  </si>
  <si>
    <t>主楼-1层</t>
    <phoneticPr fontId="134" type="noConversion"/>
  </si>
  <si>
    <t>建筑面积</t>
    <phoneticPr fontId="134" type="noConversion"/>
  </si>
  <si>
    <t>合同10年平均日租金</t>
    <phoneticPr fontId="134" type="noConversion"/>
  </si>
  <si>
    <t>年数</t>
    <phoneticPr fontId="134" type="noConversion"/>
  </si>
  <si>
    <r>
      <t>2</t>
    </r>
    <r>
      <rPr>
        <sz val="11"/>
        <color theme="1"/>
        <rFont val="宋体"/>
        <family val="3"/>
        <charset val="134"/>
        <scheme val="minor"/>
      </rPr>
      <t>024.8-2025.8</t>
    </r>
    <phoneticPr fontId="134" type="noConversion"/>
  </si>
  <si>
    <r>
      <t>2</t>
    </r>
    <r>
      <rPr>
        <sz val="11"/>
        <color theme="1"/>
        <rFont val="宋体"/>
        <family val="3"/>
        <charset val="134"/>
        <scheme val="minor"/>
      </rPr>
      <t>025.8-2026.8</t>
    </r>
    <phoneticPr fontId="134" type="noConversion"/>
  </si>
  <si>
    <r>
      <t>2</t>
    </r>
    <r>
      <rPr>
        <sz val="11"/>
        <color theme="1"/>
        <rFont val="宋体"/>
        <family val="3"/>
        <charset val="134"/>
        <scheme val="minor"/>
      </rPr>
      <t>026.8-2027.8</t>
    </r>
    <phoneticPr fontId="134" type="noConversion"/>
  </si>
  <si>
    <r>
      <t>2</t>
    </r>
    <r>
      <rPr>
        <sz val="11"/>
        <color theme="1"/>
        <rFont val="宋体"/>
        <family val="3"/>
        <charset val="134"/>
        <scheme val="minor"/>
      </rPr>
      <t>027.8-2028.8</t>
    </r>
    <phoneticPr fontId="134" type="noConversion"/>
  </si>
  <si>
    <r>
      <t>2</t>
    </r>
    <r>
      <rPr>
        <sz val="11"/>
        <color theme="1"/>
        <rFont val="宋体"/>
        <family val="3"/>
        <charset val="134"/>
        <scheme val="minor"/>
      </rPr>
      <t>028.8-2029.8</t>
    </r>
    <phoneticPr fontId="134" type="noConversion"/>
  </si>
  <si>
    <r>
      <t>2</t>
    </r>
    <r>
      <rPr>
        <sz val="11"/>
        <color theme="1"/>
        <rFont val="宋体"/>
        <family val="3"/>
        <charset val="134"/>
        <scheme val="minor"/>
      </rPr>
      <t>029.8-2030.8</t>
    </r>
    <phoneticPr fontId="134" type="noConversion"/>
  </si>
  <si>
    <r>
      <t>2</t>
    </r>
    <r>
      <rPr>
        <sz val="11"/>
        <color theme="1"/>
        <rFont val="宋体"/>
        <family val="3"/>
        <charset val="134"/>
        <scheme val="minor"/>
      </rPr>
      <t>030.8-2031.8</t>
    </r>
    <phoneticPr fontId="134" type="noConversion"/>
  </si>
  <si>
    <r>
      <t>2</t>
    </r>
    <r>
      <rPr>
        <sz val="11"/>
        <color theme="1"/>
        <rFont val="宋体"/>
        <family val="3"/>
        <charset val="134"/>
        <scheme val="minor"/>
      </rPr>
      <t>031.8-2032.8</t>
    </r>
    <phoneticPr fontId="134" type="noConversion"/>
  </si>
  <si>
    <t>每三年增长率</t>
    <phoneticPr fontId="134" type="noConversion"/>
  </si>
  <si>
    <t>备注</t>
    <phoneticPr fontId="134" type="noConversion"/>
  </si>
  <si>
    <r>
      <rPr>
        <sz val="10"/>
        <color indexed="8"/>
        <rFont val="宋体"/>
        <family val="3"/>
        <charset val="134"/>
      </rPr>
      <t>层高高约</t>
    </r>
    <r>
      <rPr>
        <sz val="10"/>
        <color indexed="8"/>
        <rFont val="Arial"/>
        <family val="2"/>
      </rPr>
      <t>6</t>
    </r>
    <r>
      <rPr>
        <sz val="10"/>
        <color indexed="8"/>
        <rFont val="宋体"/>
        <family val="3"/>
        <charset val="134"/>
      </rPr>
      <t>米</t>
    </r>
    <phoneticPr fontId="134" type="noConversion"/>
  </si>
  <si>
    <t>商业</t>
    <phoneticPr fontId="30" type="noConversion"/>
  </si>
  <si>
    <t>合计</t>
    <phoneticPr fontId="134" type="noConversion"/>
  </si>
  <si>
    <t>正常</t>
  </si>
  <si>
    <t>20-30</t>
  </si>
  <si>
    <t>20-30</t>
    <phoneticPr fontId="30" type="noConversion"/>
  </si>
  <si>
    <t>一般</t>
  </si>
  <si>
    <t>七通</t>
  </si>
  <si>
    <t>单面临街</t>
  </si>
  <si>
    <t>三元NEO-CitiGo酒店</t>
    <phoneticPr fontId="3" type="noConversion"/>
  </si>
  <si>
    <t>40-50</t>
  </si>
  <si>
    <t>30-40</t>
  </si>
  <si>
    <t>10-20</t>
  </si>
  <si>
    <t>0-10</t>
  </si>
  <si>
    <t>高端消费人群</t>
    <phoneticPr fontId="134" type="noConversion"/>
  </si>
  <si>
    <t>中高端消费人群</t>
    <phoneticPr fontId="134" type="noConversion"/>
  </si>
  <si>
    <t>中端消费人群</t>
    <phoneticPr fontId="134" type="noConversion"/>
  </si>
  <si>
    <t>中低端消费人群</t>
    <phoneticPr fontId="134" type="noConversion"/>
  </si>
  <si>
    <t>钢混</t>
  </si>
  <si>
    <t>精装修</t>
  </si>
  <si>
    <t>普通装修</t>
  </si>
  <si>
    <t>简单装修</t>
  </si>
  <si>
    <t>毛坯</t>
  </si>
  <si>
    <t>商场</t>
    <phoneticPr fontId="3" type="noConversion"/>
  </si>
  <si>
    <t>酒店</t>
    <phoneticPr fontId="3" type="noConversion"/>
  </si>
  <si>
    <t>适宜</t>
  </si>
  <si>
    <t>较适宜</t>
  </si>
  <si>
    <t>较不适宜</t>
  </si>
  <si>
    <t>不适宜</t>
  </si>
  <si>
    <t>老旧装修</t>
    <phoneticPr fontId="3" type="noConversion"/>
  </si>
  <si>
    <t>0-10%</t>
    <phoneticPr fontId="3" type="noConversion"/>
  </si>
  <si>
    <t>10-20%</t>
    <phoneticPr fontId="3" type="noConversion"/>
  </si>
  <si>
    <t>20-30%</t>
    <phoneticPr fontId="3" type="noConversion"/>
  </si>
  <si>
    <t>30-40%</t>
    <phoneticPr fontId="3" type="noConversion"/>
  </si>
  <si>
    <r>
      <rPr>
        <sz val="11"/>
        <color indexed="8"/>
        <rFont val="宋体"/>
        <family val="3"/>
        <charset val="134"/>
      </rPr>
      <t>大于4</t>
    </r>
    <r>
      <rPr>
        <sz val="11"/>
        <color indexed="8"/>
        <rFont val="Arial"/>
        <family val="2"/>
      </rPr>
      <t>0%</t>
    </r>
    <phoneticPr fontId="3" type="noConversion"/>
  </si>
  <si>
    <t>地下占比</t>
    <phoneticPr fontId="30" type="noConversion"/>
  </si>
  <si>
    <t>10%-20%</t>
    <phoneticPr fontId="30" type="noConversion"/>
  </si>
  <si>
    <t>项目模式</t>
  </si>
  <si>
    <t>售价</t>
  </si>
  <si>
    <t>六通</t>
  </si>
  <si>
    <t>酒店</t>
  </si>
  <si>
    <t>地下面积占比</t>
    <phoneticPr fontId="134" type="noConversion"/>
  </si>
  <si>
    <t>混合</t>
  </si>
  <si>
    <t>混合</t>
    <phoneticPr fontId="30" type="noConversion"/>
  </si>
  <si>
    <t>光彩国际中心A座</t>
    <phoneticPr fontId="134" type="noConversion"/>
  </si>
  <si>
    <t>光彩国际中心</t>
  </si>
  <si>
    <t>北京</t>
  </si>
  <si>
    <t>东城</t>
  </si>
  <si>
    <t>东单</t>
  </si>
  <si>
    <t>购物中心/百货商场</t>
  </si>
  <si>
    <t>甲级</t>
  </si>
  <si>
    <t>成交</t>
  </si>
  <si>
    <t>资产交易</t>
  </si>
  <si>
    <t>北京瑞海物业管理服务有限公司(内资)</t>
  </si>
  <si>
    <t>泛海控股</t>
  </si>
  <si>
    <t>富力万达嘉华酒店</t>
    <phoneticPr fontId="134" type="noConversion"/>
  </si>
  <si>
    <t>富力万达嘉华酒店</t>
  </si>
  <si>
    <t>石景山</t>
  </si>
  <si>
    <t>股权交易</t>
  </si>
  <si>
    <t>北京英协置业投资有限公司(内资)</t>
  </si>
  <si>
    <t>富力集团</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</si>
  <si>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</si>
  <si>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</si>
  <si>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</si>
  <si>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</si>
  <si>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</si>
  <si>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</si>
  <si>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</si>
  <si>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</si>
  <si>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</si>
  <si>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</si>
  <si>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</si>
  <si>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</si>
  <si>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</si>
  <si>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</si>
  <si>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</si>
  <si>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</si>
  <si>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办公</t>
    <phoneticPr fontId="30" type="noConversion"/>
  </si>
  <si>
    <t>北京市大兴区兴丰大街三段87号-1至6层全部</t>
    <phoneticPr fontId="134" type="noConversion"/>
  </si>
  <si>
    <t>北京市大兴区兴丰大街三段87号</t>
  </si>
  <si>
    <t>大兴区</t>
  </si>
  <si>
    <t>其他</t>
  </si>
  <si>
    <t>法拍</t>
  </si>
  <si>
    <t>王磊(内资)</t>
  </si>
  <si>
    <t>高淑荣</t>
  </si>
  <si>
    <t>执行人北京美泉宫饭店管理有限公司名下位于北京市海淀区西四环北路125号1幢房产</t>
    <phoneticPr fontId="134" type="noConversion"/>
  </si>
  <si>
    <t>北京美泉宫饭店</t>
  </si>
  <si>
    <t>海淀区</t>
  </si>
  <si>
    <t>北京泰恒新景商贸有限公司(内资)</t>
  </si>
  <si>
    <t>北京美泉宫饭店管理有限公司</t>
  </si>
  <si>
    <t>北京市朝阳区辛庄一街9号楼1至2层101及104配套商业，-1层-101、-104及-105戊类库房</t>
    <phoneticPr fontId="134" type="noConversion"/>
  </si>
  <si>
    <t>泛海国际底商</t>
  </si>
  <si>
    <t>朝阳</t>
  </si>
  <si>
    <t>朝阳公园</t>
  </si>
  <si>
    <t>配套商业</t>
  </si>
  <si>
    <t>大城县新晨商贸有限公司(内资)</t>
  </si>
  <si>
    <t>北京泛海东风置业有限公司</t>
  </si>
  <si>
    <t>（破）怀柔区杨宋镇凤翔科技开发区和平路甲1号楼1至2层1单元101</t>
    <phoneticPr fontId="134" type="noConversion"/>
  </si>
  <si>
    <t>欧郡香水城</t>
  </si>
  <si>
    <t>怀柔</t>
  </si>
  <si>
    <t>庙城</t>
  </si>
  <si>
    <t>北京凤桐祥瑞房地产开发有限公司</t>
  </si>
  <si>
    <t>（破）北京市怀柔区杨宋镇凤翔科技开发区和平路甲3号楼1至3层101</t>
    <phoneticPr fontId="134" type="noConversion"/>
  </si>
  <si>
    <t>北京市丰台区右安门外大街2号院1号楼-1层A段-01 （建筑面积1067.95平方米）房产</t>
    <phoneticPr fontId="134" type="noConversion"/>
  </si>
  <si>
    <t>迦南公寓写字楼</t>
  </si>
  <si>
    <t>丰台</t>
  </si>
  <si>
    <t>右安门外</t>
  </si>
  <si>
    <t>北京传世恒源文化传播有限公司</t>
  </si>
  <si>
    <t>北京市通州区口子村东1号院152号楼-1至3层101</t>
    <phoneticPr fontId="134" type="noConversion"/>
  </si>
  <si>
    <t>经略天则</t>
  </si>
  <si>
    <t>通州</t>
  </si>
  <si>
    <t>次渠</t>
  </si>
  <si>
    <t>河北山滨建筑工程有限公司(内资)</t>
  </si>
  <si>
    <t>北京市海淀区紫竹院路116号3层A座商业A02</t>
    <phoneticPr fontId="134" type="noConversion"/>
  </si>
  <si>
    <t>嘉豪国际中心商铺</t>
  </si>
  <si>
    <t>海淀</t>
  </si>
  <si>
    <t>曙光</t>
  </si>
  <si>
    <t>淮安振耀建筑劳务有限公司(内资)</t>
  </si>
  <si>
    <t>北京市昌平区北七家镇天通东苑三区2号楼-1至4层3门</t>
    <phoneticPr fontId="134" type="noConversion"/>
  </si>
  <si>
    <t>天通苑东三区法式园</t>
  </si>
  <si>
    <t>昌平</t>
  </si>
  <si>
    <t>天通苑</t>
  </si>
  <si>
    <t>位于北京市东城区东四十二条15号商业房地产及增建地下室、采光顶</t>
    <phoneticPr fontId="134" type="noConversion"/>
  </si>
  <si>
    <t>东四十二条15号</t>
  </si>
  <si>
    <t>东城区</t>
  </si>
  <si>
    <t>北京君道成投资咨询有限公司(内资)</t>
  </si>
  <si>
    <t>北京市朝阳区朝新嘉园东里六区1号楼1至2层114</t>
    <phoneticPr fontId="134" type="noConversion"/>
  </si>
  <si>
    <t>朝阳新城</t>
  </si>
  <si>
    <t>东坝</t>
  </si>
  <si>
    <t>李玲</t>
  </si>
  <si>
    <t>曾兴亮</t>
  </si>
  <si>
    <t>北京市朝阳区东坝中路30号院4号楼1层103</t>
    <phoneticPr fontId="134" type="noConversion"/>
  </si>
  <si>
    <t>金泰丽富嘉园</t>
  </si>
  <si>
    <t>朝阳区</t>
  </si>
  <si>
    <t>光耀东方中心B1-L4</t>
    <phoneticPr fontId="134" type="noConversion"/>
  </si>
  <si>
    <t>光耀东方中心</t>
  </si>
  <si>
    <t>航天桥</t>
  </si>
  <si>
    <t>海德股份(内资)</t>
  </si>
  <si>
    <t>光耀东方集团</t>
  </si>
  <si>
    <t>北京市朝阳区朝阳路139号院3号楼23层2701室</t>
    <phoneticPr fontId="134" type="noConversion"/>
  </si>
  <si>
    <t>首创禧瑞都</t>
  </si>
  <si>
    <t>东大桥</t>
  </si>
  <si>
    <t>个人</t>
  </si>
  <si>
    <t>容宇（北京）贸易有限公司</t>
  </si>
  <si>
    <t>北京市海淀区阜成路115号1号楼1层101</t>
    <phoneticPr fontId="134" type="noConversion"/>
  </si>
  <si>
    <t>北京印象</t>
  </si>
  <si>
    <t>定慧寺</t>
  </si>
  <si>
    <t>北京壹博仕健康管理有限公司(内资)</t>
  </si>
  <si>
    <t>顺峰饮食酒店管理股份有限公司</t>
  </si>
  <si>
    <t>北京市丰台区方庄南路2号5层2单元501、502、503、505、506、507、508、509、510、511、512、516、517共13套酒店用房整体拍卖</t>
    <phoneticPr fontId="134" type="noConversion"/>
  </si>
  <si>
    <t>亚胜铂第</t>
  </si>
  <si>
    <t>方庄</t>
  </si>
  <si>
    <t>琉璃厂东街22、24号1幢1至2层2幢1至2层3幢1至2层4幢1至2层5幢1层</t>
    <phoneticPr fontId="134" type="noConversion"/>
  </si>
  <si>
    <t>琉璃厂东街</t>
  </si>
  <si>
    <t>西城</t>
  </si>
  <si>
    <t>宣武门</t>
  </si>
  <si>
    <t>商业街</t>
  </si>
  <si>
    <t>万柳华府北街9号院1号楼-1至1层102</t>
    <phoneticPr fontId="134" type="noConversion"/>
  </si>
  <si>
    <t>万柳书院</t>
  </si>
  <si>
    <t>万柳</t>
  </si>
  <si>
    <t>沈某某</t>
  </si>
  <si>
    <t>北京市顺义区安祥大街11号院69号楼-2至2层</t>
    <phoneticPr fontId="134" type="noConversion"/>
  </si>
  <si>
    <t>中粮祥云小镇商铺</t>
  </si>
  <si>
    <t>顺义</t>
  </si>
  <si>
    <t>后沙峪</t>
  </si>
  <si>
    <t>北京市西城区复兴门外大街8号及迤北房地产资产（复兴商业城项目）</t>
    <phoneticPr fontId="134" type="noConversion"/>
  </si>
  <si>
    <t>复兴商业城</t>
  </si>
  <si>
    <t>木樨地</t>
  </si>
  <si>
    <t>北京首开城市运营服务集团有限公司(内资)</t>
  </si>
  <si>
    <t>北京城市开发集团有限责任公司</t>
  </si>
  <si>
    <t>北京市朝阳区观唐东路1号院5-905幢-1至2层</t>
    <phoneticPr fontId="134" type="noConversion"/>
  </si>
  <si>
    <t>观唐花园</t>
  </si>
  <si>
    <t>来广营</t>
  </si>
  <si>
    <t>山西阳坡泉煤炭销售有限公司(内资)</t>
  </si>
  <si>
    <t>北京五环大酒店</t>
    <phoneticPr fontId="134" type="noConversion"/>
  </si>
  <si>
    <t>北京五环大酒店</t>
  </si>
  <si>
    <t>北京亮视医院管理发展有限公司(内资)</t>
  </si>
  <si>
    <t>北京五环酒店管理有限公司</t>
  </si>
  <si>
    <t>奥林匹克地下空间</t>
    <phoneticPr fontId="134" type="noConversion"/>
  </si>
  <si>
    <t>北京奥林匹克公园中心区</t>
  </si>
  <si>
    <t>奥林匹克公园</t>
  </si>
  <si>
    <t>北京新奥集团</t>
  </si>
  <si>
    <t>丽思卡尔顿酒店</t>
    <phoneticPr fontId="134" type="noConversion"/>
  </si>
  <si>
    <t>金融街公寓商业楼</t>
  </si>
  <si>
    <t>金融街</t>
  </si>
  <si>
    <t>乙级</t>
  </si>
  <si>
    <t>北京金融街投资（集团）有限公司(内资)</t>
  </si>
  <si>
    <t>金融街控股股份有限公司</t>
  </si>
  <si>
    <t>北京福地凰城酒店</t>
    <phoneticPr fontId="134" type="noConversion"/>
  </si>
  <si>
    <t>北京福地凰城酒店</t>
  </si>
  <si>
    <t>上海锦和商业经营管理股份有限公司(内资)</t>
  </si>
  <si>
    <t>翰德集团</t>
  </si>
  <si>
    <t>北苑路158号项目</t>
    <phoneticPr fontId="134" type="noConversion"/>
  </si>
  <si>
    <t>北苑路158号项目</t>
  </si>
  <si>
    <t>翰同（北京）投资管理有限公司</t>
  </si>
  <si>
    <t>家和超市</t>
    <phoneticPr fontId="134" type="noConversion"/>
  </si>
  <si>
    <t>家和新天地购物中心</t>
  </si>
  <si>
    <t>亦庄</t>
  </si>
  <si>
    <t>瀚同资本(内资)</t>
  </si>
  <si>
    <t>八大处控股</t>
  </si>
  <si>
    <t>玫瑰坊商业中心</t>
    <phoneticPr fontId="134" type="noConversion"/>
  </si>
  <si>
    <t>玫瑰坊商业中心</t>
  </si>
  <si>
    <t>北京通华业科技发展有限公司(内资)</t>
  </si>
  <si>
    <t>深圳市华富溢投资有限公司</t>
  </si>
  <si>
    <t>金隅国际4号楼1层商业</t>
    <phoneticPr fontId="134" type="noConversion"/>
  </si>
  <si>
    <t>金隅国际</t>
  </si>
  <si>
    <t>北京金隅集团股份有限公司</t>
  </si>
  <si>
    <t>北京市大兴金惠园小区商业楼</t>
    <phoneticPr fontId="134" type="noConversion"/>
  </si>
  <si>
    <t>金惠园小区商业楼</t>
  </si>
  <si>
    <t>大兴</t>
  </si>
  <si>
    <t>北京华润曙光房地产开发有限公司</t>
  </si>
  <si>
    <t>北京金融街丽思卡尔顿酒店</t>
    <phoneticPr fontId="134" type="noConversion"/>
  </si>
  <si>
    <t>北京金融街丽思卡尔顿酒店</t>
  </si>
  <si>
    <t>拟成交</t>
  </si>
  <si>
    <t>金融街集团(内资)</t>
  </si>
  <si>
    <t>北京金融街里兹置业有限公司,金融街</t>
  </si>
  <si>
    <t>西单商场</t>
    <phoneticPr fontId="134" type="noConversion"/>
  </si>
  <si>
    <t>西单商场</t>
  </si>
  <si>
    <t>北京华天饮食集团公司(内资)</t>
  </si>
  <si>
    <t>首商集团</t>
  </si>
  <si>
    <t>世茂广场</t>
    <phoneticPr fontId="134" type="noConversion"/>
  </si>
  <si>
    <t>世茂广场</t>
  </si>
  <si>
    <t>东直门</t>
  </si>
  <si>
    <t>北京卓睿物业管理有限公司(内资)</t>
  </si>
  <si>
    <t>北京财富时代置业有限公司,北京百鼎新世纪商业管理有限公司</t>
  </si>
  <si>
    <t>来广营西路2号院3号楼臻园（爱朗国际幼儿园）</t>
    <phoneticPr fontId="134" type="noConversion"/>
  </si>
  <si>
    <t>来广营西路2号院3号楼臻园（爱朗国际幼儿园）</t>
  </si>
  <si>
    <t>望京</t>
  </si>
  <si>
    <t>北京广盈房地产开发有限公司</t>
  </si>
  <si>
    <t>大地花园酒店</t>
    <phoneticPr fontId="134" type="noConversion"/>
  </si>
  <si>
    <t>大地花园酒店</t>
  </si>
  <si>
    <t>翰同(内资)</t>
  </si>
  <si>
    <t>海淀区国资委</t>
  </si>
  <si>
    <t>新华东街289号院1号楼（京杭府）商业</t>
    <phoneticPr fontId="134" type="noConversion"/>
  </si>
  <si>
    <t>新华东街289号院1号楼（京杭府）商业</t>
  </si>
  <si>
    <t>运河大街</t>
  </si>
  <si>
    <t>北京东部绿城置业有限公司</t>
  </si>
  <si>
    <t>太古里北区15号楼部分资产</t>
    <phoneticPr fontId="134" type="noConversion"/>
  </si>
  <si>
    <t>太古里北区15号楼</t>
  </si>
  <si>
    <t>三里屯</t>
  </si>
  <si>
    <t>文旅商业</t>
  </si>
  <si>
    <t>北京安业物业管理有限公司(内资)</t>
  </si>
  <si>
    <t>丁章胡同5号-1至1层101房产</t>
    <phoneticPr fontId="134" type="noConversion"/>
  </si>
  <si>
    <t>丁章胡同5号-1至1层101房产</t>
  </si>
  <si>
    <t>中国证券登记结算有限责任公司</t>
  </si>
  <si>
    <t>华熙LIVE·五棵松50%股权</t>
    <phoneticPr fontId="134" type="noConversion"/>
  </si>
  <si>
    <t>华熙LIVE·五棵松</t>
  </si>
  <si>
    <t>旭辉集团股份有限公司(内资)</t>
  </si>
  <si>
    <t>天津卓新咨询服务有限公司(legal entity),芜湖策华企业管理合伙企业(有限合伙)</t>
  </si>
  <si>
    <t>都汇大厦</t>
    <phoneticPr fontId="134" type="noConversion"/>
  </si>
  <si>
    <t>冠城大厦（太阳宫大厦）</t>
  </si>
  <si>
    <t>太阳宫</t>
  </si>
  <si>
    <t>冠城大通股份有限公司</t>
  </si>
  <si>
    <t>盈都大厦D座</t>
    <phoneticPr fontId="134" type="noConversion"/>
  </si>
  <si>
    <t>盈都大厦D座</t>
  </si>
  <si>
    <t>知春路</t>
  </si>
  <si>
    <t>普洛斯投资（上海）有限公司(外资)</t>
  </si>
  <si>
    <t>恒泰弘泽-华远盈都商业资产支持专项计划</t>
  </si>
  <si>
    <t>北京世纪华侨城旅游主题社区商业中心</t>
    <phoneticPr fontId="134" type="noConversion"/>
  </si>
  <si>
    <t>北京世纪华侨城旅游主题社区商业中心</t>
  </si>
  <si>
    <t>北京世纪华侨城实业有限公司</t>
  </si>
  <si>
    <t>比如世界购物中心</t>
    <phoneticPr fontId="134" type="noConversion"/>
  </si>
  <si>
    <t>比如世界购物中心</t>
  </si>
  <si>
    <t>翰德集团有限公司(内资)</t>
  </si>
  <si>
    <t>中国民生银行股份有限公司</t>
  </si>
  <si>
    <t>U-SHOW悦秀城</t>
    <phoneticPr fontId="134" type="noConversion"/>
  </si>
  <si>
    <t>U-SHOW悦秀城</t>
  </si>
  <si>
    <t>颢腾投资管理有限公司(外资),新加坡政府投资有限公司(外资),AEW GLOBAL GROUP(外资)</t>
  </si>
  <si>
    <t>深圳鹏润集团有限公司</t>
  </si>
  <si>
    <t>京杭广场写字楼</t>
    <phoneticPr fontId="134" type="noConversion"/>
  </si>
  <si>
    <t>京杭广场写字楼</t>
  </si>
  <si>
    <t>北京城市副中心投资建设集团有限公司(内资),上海爱琴海商业集团股份有限公司(内资)</t>
  </si>
  <si>
    <t>绿城中国控股有限公司</t>
  </si>
  <si>
    <t>姚家园路住宅区某物业发展项目</t>
    <phoneticPr fontId="134" type="noConversion"/>
  </si>
  <si>
    <t>姚家园路住宅区某物业发展项目</t>
  </si>
  <si>
    <t>华润置地(北京)股份有限公司(内资)</t>
  </si>
  <si>
    <t>华润(集团)有限公司</t>
  </si>
  <si>
    <t>百安居项目49%股权</t>
    <phoneticPr fontId="134" type="noConversion"/>
  </si>
  <si>
    <t>百安居项目49%股权</t>
  </si>
  <si>
    <t>专业卖场</t>
  </si>
  <si>
    <t>保利发展控股集团股份有限公司(合资)</t>
  </si>
  <si>
    <t>东四</t>
  </si>
  <si>
    <t>翰德集团有限公司(合资)</t>
  </si>
  <si>
    <t>北京市第二中级人民法院</t>
  </si>
  <si>
    <t>公园1872底商</t>
    <phoneticPr fontId="134" type="noConversion"/>
  </si>
  <si>
    <t>公园1872底商</t>
  </si>
  <si>
    <t>东八里庄</t>
  </si>
  <si>
    <t>招商局蛇口工业区控股股份有限公司</t>
  </si>
  <si>
    <t>中关村时代广场（中关村购物中心）</t>
    <phoneticPr fontId="134" type="noConversion"/>
  </si>
  <si>
    <t>中关村时代广场（中关村购物中心）</t>
  </si>
  <si>
    <t>中关村</t>
  </si>
  <si>
    <t>光大安石(北京)资产管理有限公司(内资)</t>
  </si>
  <si>
    <t>北京光耀东方投资管理有限公司</t>
  </si>
  <si>
    <t>爱琴海购物中心</t>
    <phoneticPr fontId="134" type="noConversion"/>
  </si>
  <si>
    <t>爱琴海购物中心</t>
  </si>
  <si>
    <t>三元桥</t>
  </si>
  <si>
    <t>天津高和平信投资合伙企业(有限合伙)(内资)</t>
  </si>
  <si>
    <t>北京双全房地产开发有限公司</t>
  </si>
  <si>
    <t>八达岭奥特莱斯</t>
    <phoneticPr fontId="134" type="noConversion"/>
  </si>
  <si>
    <t>八达岭奥特莱斯</t>
  </si>
  <si>
    <t>北京华联大信商业管理有限公司(内资)</t>
  </si>
  <si>
    <t>南通凯宝农副产品有限公司</t>
  </si>
  <si>
    <t>中粮万科FUNMIX半岛广场</t>
    <phoneticPr fontId="134" type="noConversion"/>
  </si>
  <si>
    <t>中粮万科FUNMIX半岛广场</t>
  </si>
  <si>
    <t>房山</t>
  </si>
  <si>
    <t>长阳</t>
  </si>
  <si>
    <t>万科企业股份有限公司(内资)</t>
  </si>
  <si>
    <t>中粮集团有限公司</t>
  </si>
  <si>
    <t>食宝街</t>
    <phoneticPr fontId="134" type="noConversion"/>
  </si>
  <si>
    <t>食宝街</t>
  </si>
  <si>
    <t>美食集合</t>
  </si>
  <si>
    <t>北京诺富特三元酒店（宜必思北京三元桥酒店）</t>
    <phoneticPr fontId="134" type="noConversion"/>
  </si>
  <si>
    <t>北京诺富特三元酒店（宜必思北京三元桥酒店）</t>
  </si>
  <si>
    <t>北京首旅酒店(集团)股份有限公司(合资),云从科技集团股份有限公司(内资)</t>
  </si>
  <si>
    <t>腾飞科技股份有限公司</t>
  </si>
  <si>
    <t>奥亚酒店</t>
    <phoneticPr fontId="134" type="noConversion"/>
  </si>
  <si>
    <t>奥亚酒店</t>
  </si>
  <si>
    <t>北苑</t>
  </si>
  <si>
    <t>湖南金盘子实业集团农商营行连锁有限公司长沙锦绣家园店(内资)</t>
  </si>
  <si>
    <t>北京市兆维电子集团有限公司</t>
  </si>
  <si>
    <t>西北旺新村购物中心</t>
    <phoneticPr fontId="134" type="noConversion"/>
  </si>
  <si>
    <t>西北旺新村购物中心</t>
  </si>
  <si>
    <t>北京澜鑫置业有限公司(内资)</t>
  </si>
  <si>
    <t>冠城大通股份有限公司,北京德成置地房地产开发有限公司</t>
  </si>
  <si>
    <t>赛特大厦</t>
    <phoneticPr fontId="134" type="noConversion"/>
  </si>
  <si>
    <t>赛特大厦</t>
  </si>
  <si>
    <t>建国门</t>
  </si>
  <si>
    <t>碧桂园地产集团有限公司(内资)</t>
  </si>
  <si>
    <t>北京赛特商贸有限公司</t>
  </si>
  <si>
    <t>欧陆广场</t>
    <phoneticPr fontId="134" type="noConversion"/>
  </si>
  <si>
    <t>欧陆广场</t>
  </si>
  <si>
    <t>天竺</t>
  </si>
  <si>
    <t>天津高和股权投资基金管理有限公司(内资)</t>
  </si>
  <si>
    <t>栢城投資有限公司</t>
  </si>
  <si>
    <t>安贞华联项目</t>
    <phoneticPr fontId="134" type="noConversion"/>
  </si>
  <si>
    <t>华联商厦（安贞店）</t>
  </si>
  <si>
    <t>安贞</t>
  </si>
  <si>
    <t>远洋资本有限公司(内资),北京华联长山兴投资管理有限公司(内资)</t>
  </si>
  <si>
    <t>北京翠宫饭店100%股权</t>
    <phoneticPr fontId="134" type="noConversion"/>
  </si>
  <si>
    <t>北京翠宫饭店</t>
  </si>
  <si>
    <t>北京京东尚科信息技术有限公司(外资)</t>
  </si>
  <si>
    <t>北京翠宫饭店有限公司</t>
  </si>
  <si>
    <t>远洋山水</t>
    <phoneticPr fontId="134" type="noConversion"/>
  </si>
  <si>
    <t>远洋山水</t>
  </si>
  <si>
    <t>远洋集团控股有限公司(内资)</t>
  </si>
  <si>
    <t>京通罗斯福广场</t>
    <phoneticPr fontId="134" type="noConversion"/>
  </si>
  <si>
    <t>京通罗斯福广场</t>
  </si>
  <si>
    <t>九棵树</t>
  </si>
  <si>
    <t>领展房地产咨询(上海)有限公司(外资)</t>
  </si>
  <si>
    <t>新加坡德坤资产管理有限公司</t>
  </si>
  <si>
    <t>南湖南路15号院甲3号楼及5号楼部分房产</t>
    <phoneticPr fontId="134" type="noConversion"/>
  </si>
  <si>
    <t>金隅丽港城</t>
  </si>
  <si>
    <t>凯德商用广场</t>
    <phoneticPr fontId="134" type="noConversion"/>
  </si>
  <si>
    <t>凯德商用广场</t>
  </si>
  <si>
    <t>沙坪坝</t>
  </si>
  <si>
    <t>广州市万普投资有限责任公司(内资),万科企业股份有限公司(内资)</t>
  </si>
  <si>
    <t>凯德商用产业有限公司</t>
  </si>
  <si>
    <t>京天泰组合交易</t>
    <phoneticPr fontId="134" type="noConversion"/>
  </si>
  <si>
    <t>通泰大厦,龙泽苑西区25号楼</t>
  </si>
  <si>
    <t>北京,北京</t>
  </si>
  <si>
    <t>综合体</t>
  </si>
  <si>
    <t>国寿投资控股有限公司 (内资)</t>
  </si>
  <si>
    <t>京天泰公司</t>
  </si>
  <si>
    <t>新华文化大厦</t>
    <phoneticPr fontId="134" type="noConversion"/>
  </si>
  <si>
    <t>新华文化大厦</t>
  </si>
  <si>
    <t>交道口</t>
  </si>
  <si>
    <t>河南省景瑞控股有限责任公司(内资)</t>
  </si>
  <si>
    <t>深圳市润海兴业投资有限公司,鑫隆投资有限公司</t>
  </si>
  <si>
    <t>火神庙国际商业中心</t>
    <phoneticPr fontId="134" type="noConversion"/>
  </si>
  <si>
    <t>火神庙国际商业中心</t>
  </si>
  <si>
    <t>黄村南</t>
  </si>
  <si>
    <t>北京金色时枫房地产开发有限公司</t>
  </si>
  <si>
    <t>北京金融街国际酒店</t>
    <phoneticPr fontId="134" type="noConversion"/>
  </si>
  <si>
    <t>北京金融街国际酒店</t>
  </si>
  <si>
    <t>工银国际控股有限公司(外资)</t>
  </si>
  <si>
    <t>首创置业股份有限公司</t>
  </si>
  <si>
    <t>北京世茂大厦</t>
    <phoneticPr fontId="134" type="noConversion"/>
  </si>
  <si>
    <t>北京世茂大厦</t>
  </si>
  <si>
    <t>CBD</t>
  </si>
  <si>
    <t>上海世茂投资管理有限公司(外资)</t>
  </si>
  <si>
    <t>华联购物中心</t>
    <phoneticPr fontId="134" type="noConversion"/>
  </si>
  <si>
    <t>华联购物中心</t>
  </si>
  <si>
    <t>上海锦和投资集团有限公司(内资)</t>
  </si>
  <si>
    <t>北京华联集团投资控股有限公司</t>
  </si>
  <si>
    <t>北京京客隆超市</t>
    <phoneticPr fontId="134" type="noConversion"/>
  </si>
  <si>
    <t>北京京客隆超市</t>
  </si>
  <si>
    <t>超市</t>
  </si>
  <si>
    <t>北京京客隆商业集团股份有限公司(内资)</t>
  </si>
  <si>
    <t>北京首联律师事务所</t>
  </si>
  <si>
    <t>安贞凯德广场</t>
    <phoneticPr fontId="134" type="noConversion"/>
  </si>
  <si>
    <t>安贞凯德广场</t>
  </si>
  <si>
    <t>远洋地产控股有限公司(外资)</t>
  </si>
  <si>
    <t>北京华联商厦股份有限公司</t>
  </si>
  <si>
    <t>上东今旅酒店</t>
    <phoneticPr fontId="134" type="noConversion"/>
  </si>
  <si>
    <t>上东今旅酒店</t>
  </si>
  <si>
    <t>四川云远景甜餐饮管理有限公司(内资)</t>
  </si>
  <si>
    <t>阳光城集团股份有限公司,新加坡政府投资有限公司</t>
  </si>
  <si>
    <t>新一城购物中心</t>
    <phoneticPr fontId="134" type="noConversion"/>
  </si>
  <si>
    <t>新一城购物中心</t>
  </si>
  <si>
    <t>平安信托有限责任公司(内资)</t>
  </si>
  <si>
    <t>河南中泽置业有限公司,郑州中海金程投资咨询有限公司</t>
  </si>
  <si>
    <t>北京淘汇新天购物中心</t>
    <phoneticPr fontId="134" type="noConversion"/>
  </si>
  <si>
    <t>北京淘汇新天购物中心</t>
  </si>
  <si>
    <t>灯市口</t>
  </si>
  <si>
    <t>汇贯南丰投资管理有限公司</t>
  </si>
  <si>
    <t>北京SKP</t>
    <phoneticPr fontId="134" type="noConversion"/>
  </si>
  <si>
    <t>北京SKP</t>
  </si>
  <si>
    <t>北京国华置业有限公司(合资),北京华联集团(内资)</t>
  </si>
  <si>
    <t>富力万达嘉华酒店</t>
    <phoneticPr fontId="134" type="noConversion"/>
  </si>
  <si>
    <t>比较法-商业</t>
  </si>
  <si>
    <t>朝阳区三元桥甲5号曙光西里甲5号院17号楼</t>
    <phoneticPr fontId="3" type="noConversion"/>
  </si>
  <si>
    <t>三元桥，</t>
    <phoneticPr fontId="30" type="noConversion"/>
  </si>
  <si>
    <t>北三环外。临近北三环。距地铁站直线195米</t>
    <phoneticPr fontId="30" type="noConversion"/>
  </si>
  <si>
    <t>香河园公园，太阳宫公园</t>
    <phoneticPr fontId="30" type="noConversion"/>
  </si>
  <si>
    <t>东城区建国门内大街28号民生金融中心</t>
    <phoneticPr fontId="3" type="noConversion"/>
  </si>
  <si>
    <t>东单</t>
    <phoneticPr fontId="30" type="noConversion"/>
  </si>
  <si>
    <t>东二环内。距地铁站直线97米</t>
    <phoneticPr fontId="30" type="noConversion"/>
  </si>
  <si>
    <t>石景山区石景山路甲18号院</t>
    <phoneticPr fontId="3" type="noConversion"/>
  </si>
  <si>
    <t>西五环内。距地铁站直线700米</t>
    <phoneticPr fontId="30" type="noConversion"/>
  </si>
  <si>
    <t>八宝山</t>
    <phoneticPr fontId="30" type="noConversion"/>
  </si>
  <si>
    <r>
      <rPr>
        <sz val="10"/>
        <color indexed="8"/>
        <rFont val="宋体"/>
        <family val="3"/>
        <charset val="134"/>
      </rPr>
      <t>需求：</t>
    </r>
    <r>
      <rPr>
        <sz val="10"/>
        <color indexed="8"/>
        <rFont val="Arial"/>
        <family val="2"/>
      </rPr>
      <t>2</t>
    </r>
    <r>
      <rPr>
        <sz val="10"/>
        <color indexed="8"/>
        <rFont val="宋体"/>
        <family val="3"/>
        <charset val="134"/>
      </rPr>
      <t>亿以上</t>
    </r>
    <phoneticPr fontId="8" type="noConversion"/>
  </si>
  <si>
    <t>与级别开发程度不一致</t>
  </si>
  <si>
    <t>通路</t>
  </si>
  <si>
    <t>通电</t>
  </si>
  <si>
    <t>通讯</t>
  </si>
  <si>
    <t>通上水</t>
  </si>
  <si>
    <t>通下水</t>
  </si>
  <si>
    <t>燃气</t>
  </si>
  <si>
    <t>平整</t>
  </si>
  <si>
    <r>
      <rPr>
        <sz val="10"/>
        <color theme="9" tint="-0.249977111117893"/>
        <rFont val="宋体"/>
        <family val="3"/>
        <charset val="134"/>
      </rPr>
      <t>东城区智德北巷</t>
    </r>
    <r>
      <rPr>
        <sz val="10"/>
        <color theme="9" tint="-0.249977111117893"/>
        <rFont val="Arial"/>
        <family val="2"/>
      </rPr>
      <t>5</t>
    </r>
    <r>
      <rPr>
        <sz val="10"/>
        <color theme="9" tint="-0.249977111117893"/>
        <rFont val="宋体"/>
        <family val="3"/>
        <charset val="134"/>
      </rPr>
      <t>号</t>
    </r>
    <phoneticPr fontId="6" type="noConversion"/>
  </si>
  <si>
    <r>
      <t>2</t>
    </r>
    <r>
      <rPr>
        <sz val="11"/>
        <color theme="1"/>
        <rFont val="宋体"/>
        <family val="3"/>
        <charset val="134"/>
        <scheme val="minor"/>
      </rPr>
      <t>032.8-2033.8</t>
    </r>
    <phoneticPr fontId="134" type="noConversion"/>
  </si>
  <si>
    <t>否</t>
  </si>
  <si>
    <t>消费人群</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</si>
</sst>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77" fontId="139" fillId="3" borderId="3" xfId="0" applyNumberFormat="1" applyFont="1" applyFill="1" applyBorder="1" applyAlignment="1" applyProtection="1">
      <alignment vertical="center"/>
      <protection locked="0"/>
    </xf>
    <xf numFmtId="185" fontId="47" fillId="0" borderId="1" xfId="0" applyNumberFormat="1" applyFont="1" applyBorder="1" applyAlignment="1" applyProtection="1">
      <alignment vertical="center" wrapText="1"/>
      <protection locked="0"/>
    </xf>
    <xf numFmtId="185" fontId="44" fillId="0" borderId="1" xfId="0" applyNumberFormat="1" applyFont="1" applyBorder="1" applyAlignment="1" applyProtection="1">
      <alignment vertical="center" wrapText="1"/>
      <protection locked="0"/>
    </xf>
    <xf numFmtId="176" fontId="77" fillId="0" borderId="1" xfId="0" applyNumberFormat="1" applyFont="1" applyBorder="1" applyAlignment="1" applyProtection="1">
      <alignment vertical="center" wrapText="1"/>
      <protection locked="0"/>
    </xf>
    <xf numFmtId="0" fontId="44" fillId="12" borderId="1" xfId="0" applyFont="1" applyFill="1" applyBorder="1" applyAlignment="1" applyProtection="1">
      <alignment vertical="center"/>
      <protection locked="0"/>
    </xf>
    <xf numFmtId="0" fontId="77" fillId="12" borderId="1" xfId="0" applyFont="1" applyFill="1" applyBorder="1" applyAlignment="1" applyProtection="1">
      <alignment horizontal="center" vertical="center"/>
      <protection locked="0"/>
    </xf>
    <xf numFmtId="0" fontId="77" fillId="12" borderId="1" xfId="0" applyFont="1" applyFill="1" applyBorder="1" applyAlignment="1" applyProtection="1">
      <alignment vertical="center"/>
      <protection locked="0"/>
    </xf>
    <xf numFmtId="0" fontId="47" fillId="12" borderId="1" xfId="0" applyFont="1" applyFill="1" applyBorder="1" applyAlignment="1" applyProtection="1">
      <alignment vertical="center"/>
      <protection locked="0"/>
    </xf>
    <xf numFmtId="0" fontId="128" fillId="12" borderId="1" xfId="0" applyFont="1" applyFill="1" applyBorder="1" applyAlignment="1" applyProtection="1">
      <alignment vertical="center"/>
      <protection locked="0"/>
    </xf>
    <xf numFmtId="0" fontId="47" fillId="12" borderId="1" xfId="0" applyFont="1" applyFill="1" applyBorder="1" applyAlignment="1" applyProtection="1">
      <alignment horizontal="center" vertical="center"/>
      <protection locked="0"/>
    </xf>
    <xf numFmtId="176" fontId="0" fillId="0" borderId="0" xfId="0" applyNumberFormat="1">
      <alignment vertical="center"/>
    </xf>
    <xf numFmtId="176" fontId="47" fillId="12" borderId="1" xfId="0" applyNumberFormat="1" applyFont="1" applyFill="1" applyBorder="1" applyAlignment="1" applyProtection="1">
      <alignment horizontal="center" vertical="center"/>
      <protection locked="0"/>
    </xf>
    <xf numFmtId="0" fontId="95" fillId="8" borderId="0" xfId="0" applyFont="1" applyFill="1">
      <alignment vertical="center"/>
    </xf>
    <xf numFmtId="0" fontId="0" fillId="8" borderId="0" xfId="0" applyFill="1">
      <alignment vertical="center"/>
    </xf>
    <xf numFmtId="57" fontId="0" fillId="0" borderId="0" xfId="0" applyNumberFormat="1">
      <alignment vertical="center"/>
    </xf>
    <xf numFmtId="0" fontId="95" fillId="0" borderId="1" xfId="0" applyFont="1" applyBorder="1">
      <alignment vertical="center"/>
    </xf>
    <xf numFmtId="0" fontId="0" fillId="0" borderId="1" xfId="0" applyBorder="1">
      <alignment vertical="center"/>
    </xf>
    <xf numFmtId="9" fontId="0" fillId="0" borderId="1" xfId="0" applyNumberFormat="1" applyBorder="1">
      <alignment vertical="center"/>
    </xf>
    <xf numFmtId="0" fontId="0" fillId="5" borderId="1" xfId="0" applyFill="1" applyBorder="1">
      <alignment vertical="center"/>
    </xf>
    <xf numFmtId="0" fontId="95" fillId="0" borderId="1" xfId="0" applyFont="1" applyFill="1" applyBorder="1">
      <alignment vertical="center"/>
    </xf>
    <xf numFmtId="0" fontId="0" fillId="0" borderId="1" xfId="0" applyFill="1" applyBorder="1">
      <alignment vertical="center"/>
    </xf>
    <xf numFmtId="0" fontId="95" fillId="5" borderId="1" xfId="0" applyFont="1" applyFill="1" applyBorder="1">
      <alignment vertical="center"/>
    </xf>
    <xf numFmtId="176" fontId="0" fillId="5" borderId="1" xfId="0" applyNumberFormat="1" applyFill="1" applyBorder="1">
      <alignment vertical="center"/>
    </xf>
    <xf numFmtId="57" fontId="95" fillId="0" borderId="1" xfId="0" applyNumberFormat="1" applyFont="1" applyBorder="1">
      <alignment vertical="center"/>
    </xf>
    <xf numFmtId="176" fontId="44" fillId="16" borderId="24"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81" fontId="44" fillId="16" borderId="5" xfId="0" applyNumberFormat="1" applyFont="1" applyFill="1" applyBorder="1" applyAlignment="1" applyProtection="1">
      <alignment vertical="center"/>
      <protection locked="0"/>
    </xf>
    <xf numFmtId="0" fontId="47" fillId="16" borderId="0" xfId="0" applyFont="1" applyFill="1" applyAlignment="1" applyProtection="1">
      <alignment vertical="center"/>
      <protection locked="0"/>
    </xf>
    <xf numFmtId="0" fontId="47" fillId="5" borderId="1" xfId="0"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0" fillId="5" borderId="1" xfId="0" applyFill="1" applyBorder="1" applyAlignment="1">
      <alignment vertical="center" wrapText="1"/>
    </xf>
    <xf numFmtId="14" fontId="0" fillId="5" borderId="1" xfId="0" applyNumberFormat="1" applyFill="1" applyBorder="1" applyAlignment="1">
      <alignment vertical="center" wrapText="1"/>
    </xf>
    <xf numFmtId="0" fontId="0" fillId="5" borderId="1" xfId="0" applyNumberFormat="1" applyFill="1" applyBorder="1" applyAlignment="1">
      <alignment horizontal="center" vertical="center" wrapText="1"/>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5" borderId="1" xfId="0" applyFill="1" applyBorder="1" applyAlignment="1">
      <alignment horizontal="center" vertical="center" wrapText="1"/>
    </xf>
    <xf numFmtId="0" fontId="95" fillId="5" borderId="1" xfId="0" applyFont="1" applyFill="1" applyBorder="1" applyAlignment="1">
      <alignment vertical="center" wrapText="1"/>
    </xf>
    <xf numFmtId="0" fontId="100"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8" borderId="1" xfId="1"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protection locked="0"/>
    </xf>
    <xf numFmtId="0" fontId="51" fillId="8"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8" borderId="23" xfId="0" applyNumberFormat="1" applyFont="1" applyFill="1" applyBorder="1" applyAlignment="1" applyProtection="1">
      <alignment horizontal="center" vertical="center" wrapText="1"/>
      <protection locked="0"/>
    </xf>
    <xf numFmtId="49" fontId="51" fillId="8" borderId="23" xfId="0" applyNumberFormat="1" applyFont="1" applyFill="1" applyBorder="1" applyAlignment="1" applyProtection="1">
      <alignment horizontal="center" vertical="center" wrapText="1"/>
      <protection locked="0"/>
    </xf>
    <xf numFmtId="9" fontId="44" fillId="8" borderId="37" xfId="0" applyNumberFormat="1" applyFont="1" applyFill="1" applyBorder="1" applyAlignment="1" applyProtection="1">
      <alignment horizontal="center" vertical="center" wrapText="1"/>
      <protection locked="0"/>
    </xf>
    <xf numFmtId="49" fontId="44" fillId="8" borderId="30" xfId="0" applyNumberFormat="1" applyFont="1" applyFill="1" applyBorder="1" applyAlignment="1" applyProtection="1">
      <alignment horizontal="center" vertical="center" wrapText="1"/>
      <protection locked="0"/>
    </xf>
    <xf numFmtId="0" fontId="51" fillId="8" borderId="6" xfId="0" applyFont="1" applyFill="1" applyBorder="1" applyAlignment="1" applyProtection="1">
      <alignment horizontal="center" vertical="center" wrapText="1"/>
      <protection locked="0"/>
    </xf>
    <xf numFmtId="49" fontId="51" fillId="8" borderId="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617220</xdr:colOff>
      <xdr:row>42</xdr:row>
      <xdr:rowOff>121920</xdr:rowOff>
    </xdr:from>
    <xdr:to>
      <xdr:col>17</xdr:col>
      <xdr:colOff>46146</xdr:colOff>
      <xdr:row>66</xdr:row>
      <xdr:rowOff>145162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7132320" y="7802880"/>
          <a:ext cx="4915326" cy="4412362"/>
        </a:xfrm>
        <a:prstGeom prst="rect">
          <a:avLst/>
        </a:prstGeom>
      </xdr:spPr>
    </xdr:pic>
    <xdr:clientData/>
  </xdr:twoCellAnchor>
  <xdr:twoCellAnchor editAs="oneCell">
    <xdr:from>
      <xdr:col>0</xdr:col>
      <xdr:colOff>281940</xdr:colOff>
      <xdr:row>55</xdr:row>
      <xdr:rowOff>137160</xdr:rowOff>
    </xdr:from>
    <xdr:to>
      <xdr:col>9</xdr:col>
      <xdr:colOff>130039</xdr:colOff>
      <xdr:row>89</xdr:row>
      <xdr:rowOff>15768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1940" y="5989320"/>
          <a:ext cx="5753599" cy="6096528"/>
        </a:xfrm>
        <a:prstGeom prst="rect">
          <a:avLst/>
        </a:prstGeom>
      </xdr:spPr>
    </xdr:pic>
    <xdr:clientData/>
  </xdr:twoCellAnchor>
  <xdr:twoCellAnchor editAs="oneCell">
    <xdr:from>
      <xdr:col>0</xdr:col>
      <xdr:colOff>0</xdr:colOff>
      <xdr:row>0</xdr:row>
      <xdr:rowOff>0</xdr:rowOff>
    </xdr:from>
    <xdr:to>
      <xdr:col>6</xdr:col>
      <xdr:colOff>602372</xdr:colOff>
      <xdr:row>8</xdr:row>
      <xdr:rowOff>61092</xdr:rowOff>
    </xdr:to>
    <xdr:pic>
      <xdr:nvPicPr>
        <xdr:cNvPr id="3" name="图片 2"/>
        <xdr:cNvPicPr>
          <a:picLocks noChangeAspect="1"/>
        </xdr:cNvPicPr>
      </xdr:nvPicPr>
      <xdr:blipFill>
        <a:blip xmlns:r="http://schemas.openxmlformats.org/officeDocument/2006/relationships" r:embed="rId3"/>
        <a:stretch>
          <a:fillRect/>
        </a:stretch>
      </xdr:blipFill>
      <xdr:spPr>
        <a:xfrm>
          <a:off x="0" y="0"/>
          <a:ext cx="4526672" cy="1524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北京市东城区智德北巷5号房地产抵押价值预评估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受贵公司委托，我公司对北京市东城区智德北巷5号房地产抵押价值进行了预评估。</v>
      </c>
    </row>
    <row r="7" spans="1:2" s="1201" customFormat="1">
      <c r="A7" s="1199" t="s">
        <v>566</v>
      </c>
      <c r="B7" s="1200" t="str">
        <f>'预评函-1'!A7</f>
        <v>估价对象为北京市东城区智德北巷5号房地产，为北京首华建设经营有限公司所有。根据《国有土地使用证》[]，估价对象（分摊）出让国有建设用地使用权面积为2328.75平方米，建筑面积为4796.01平方米。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2024年8月8日（评估专业人员实地查勘之日）</v>
      </c>
    </row>
    <row r="13" spans="1:2" s="1201" customFormat="1">
      <c r="A13" s="1199" t="s">
        <v>529</v>
      </c>
      <c r="B13" s="1200" t="str">
        <f>'预评函-1'!A18</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21342</v>
      </c>
    </row>
    <row r="21" spans="1:2" s="1201" customFormat="1">
      <c r="A21" s="1199" t="s">
        <v>537</v>
      </c>
      <c r="B21" s="1200">
        <f ca="1">'预评函-2'!D7</f>
        <v>44500</v>
      </c>
    </row>
    <row r="22" spans="1:2" s="1201" customFormat="1">
      <c r="A22" s="1199" t="s">
        <v>538</v>
      </c>
      <c r="B22" s="1200" t="str">
        <f ca="1">'预评函-2'!D6</f>
        <v>贰亿壹仟叁佰肆拾贰万元整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21342</v>
      </c>
    </row>
    <row r="31" spans="1:2" s="1201" customFormat="1">
      <c r="A31" s="1199" t="s">
        <v>576</v>
      </c>
      <c r="B31" s="1200">
        <f ca="1">'预评函-2'!D15</f>
        <v>44500</v>
      </c>
    </row>
    <row r="32" spans="1:2" s="1201" customFormat="1">
      <c r="A32" s="1199" t="s">
        <v>543</v>
      </c>
      <c r="B32" s="1200" t="str">
        <f ca="1">'预评函-2'!D14</f>
        <v>贰亿壹仟叁佰肆拾贰万元整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北京市东城区智德北巷5号房地产</v>
      </c>
    </row>
    <row r="42" spans="1:2" s="1201" customFormat="1">
      <c r="A42" s="1199" t="s">
        <v>590</v>
      </c>
      <c r="B42" s="1200" t="str">
        <f>'预评函-3'!B2</f>
        <v>建筑面积</v>
      </c>
    </row>
    <row r="43" spans="1:2" s="1201" customFormat="1">
      <c r="A43" s="1199" t="s">
        <v>591</v>
      </c>
      <c r="B43" s="1200">
        <f>'预评函-3'!B4</f>
        <v>4796.0100000000011</v>
      </c>
    </row>
    <row r="44" spans="1:2" s="1201" customFormat="1">
      <c r="A44" s="1199" t="s">
        <v>575</v>
      </c>
      <c r="B44" s="1200" t="str">
        <f>'预评函-3'!C2</f>
        <v>(分摊)土地面积</v>
      </c>
    </row>
    <row r="45" spans="1:2" s="1201" customFormat="1">
      <c r="A45" s="1199" t="s">
        <v>547</v>
      </c>
      <c r="B45" s="1200">
        <f>'预评函-3'!C4</f>
        <v>2328.75</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2581</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2582</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42"/>
      <c r="B54" s="1552" t="s">
        <v>385</v>
      </c>
      <c r="C54" s="1549" t="s">
        <v>583</v>
      </c>
    </row>
    <row r="55" spans="1:4">
      <c r="A55" s="3542"/>
      <c r="B55" s="1552" t="s">
        <v>386</v>
      </c>
      <c r="C55" s="1549" t="s">
        <v>584</v>
      </c>
    </row>
    <row r="56" spans="1:4">
      <c r="A56" s="3542"/>
      <c r="B56" s="1552" t="s">
        <v>387</v>
      </c>
      <c r="C56" s="1549" t="s">
        <v>588</v>
      </c>
    </row>
    <row r="57" spans="1:4">
      <c r="A57" s="354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43" t="s">
        <v>2584</v>
      </c>
      <c r="J2" s="3543"/>
      <c r="K2" s="3543"/>
      <c r="L2" s="3543"/>
      <c r="M2" s="3543"/>
      <c r="N2" s="3543"/>
      <c r="O2" s="3543"/>
      <c r="P2" s="3543"/>
      <c r="Q2" s="3543"/>
      <c r="R2" s="3543"/>
    </row>
    <row r="3" spans="1:18">
      <c r="A3" s="3016" t="s">
        <v>2505</v>
      </c>
      <c r="B3" s="3017">
        <f>项目基本情况!D3</f>
        <v>45512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2.36</v>
      </c>
      <c r="D5" s="3021">
        <f>IF(ISERROR(ROUND(POWER(1+E5,A5-C5)*(POWER(1+E5,C5)-1)/(POWER(1+E5,A5)-1),3)),0,ROUND(POWER(1+E5,A5-C5)*(POWER(1+E5,C5)-1)/(POWER(1+E5,A5)-1),4))</f>
        <v>0.11169999999999999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12.37</v>
      </c>
      <c r="D6" s="3021">
        <f>IF(ISERROR(ROUND(POWER(1+E6,A6-C6)*(POWER(1+E6,C6)-1)/(POWER(1+E6,A6)-1),3)),0,ROUND(POWER(1+E6,A6-C6)*(POWER(1+E6,C6)-1)/(POWER(1+E6,A6)-1),4))</f>
        <v>0.44729999999999998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32.380000000000003</v>
      </c>
      <c r="D7" s="3021">
        <f>IF(ISERROR(ROUND(POWER(1+E7,A7-C7)*(POWER(1+E7,C7)-1)/(POWER(1+E7,A7)-1),3)),0,ROUND(POWER(1+E7,A7-C7)*(POWER(1+E7,C7)-1)/(POWER(1+E7,A7)-1),4))</f>
        <v>0.76849999999999996</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52" t="str">
        <f>IF(B10="北京市","北京市",C10)&amp;F10&amp;IF(结果表!G1="在建","出让国有建设用地使用权及在建建筑物",IF(结果表!G1="土地","出让国有建设用地使用权",))&amp;B9&amp;"预评估"</f>
        <v>北京市东城区智德北巷5号房地产抵押价值预评估</v>
      </c>
      <c r="C1" s="3553"/>
      <c r="D1" s="3553"/>
      <c r="E1" s="3553"/>
      <c r="F1" s="3553"/>
      <c r="G1" s="3553"/>
      <c r="H1" s="3553"/>
      <c r="I1" s="3554"/>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北京市东城区智德北巷5号房地产抵押价值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北京市东城区智德北巷5号房地产</v>
      </c>
      <c r="T2" s="1743"/>
      <c r="U2" s="1743"/>
      <c r="V2" s="1743"/>
      <c r="W2" s="1743"/>
      <c r="X2" s="1743"/>
      <c r="Y2" s="1743"/>
      <c r="Z2" s="1743"/>
      <c r="AA2" s="1743"/>
      <c r="AB2" s="1743"/>
    </row>
    <row r="3" spans="1:30">
      <c r="A3" s="301" t="s">
        <v>2170</v>
      </c>
      <c r="B3" s="2371">
        <v>45512</v>
      </c>
      <c r="C3" s="2372" t="s">
        <v>2171</v>
      </c>
      <c r="D3" s="2371">
        <f>B3</f>
        <v>45512</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9" t="s">
        <v>2172</v>
      </c>
      <c r="B4" s="2373" t="s">
        <v>3383</v>
      </c>
      <c r="C4" s="2374">
        <f ca="1">SUMIF(注册房地产估价师,B4,估价师及机构信息!B3:B24)</f>
        <v>1120070131</v>
      </c>
      <c r="D4" s="2373" t="s">
        <v>3384</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3385</v>
      </c>
      <c r="C8" s="2388"/>
      <c r="D8" s="3555" t="s">
        <v>2177</v>
      </c>
      <c r="E8" s="2389" t="s">
        <v>3386</v>
      </c>
      <c r="F8" s="2390"/>
      <c r="G8" s="2660"/>
      <c r="H8" s="2660"/>
      <c r="I8" s="2660"/>
      <c r="J8" s="2436"/>
      <c r="K8" s="2611"/>
      <c r="L8" s="2610"/>
      <c r="M8" s="2610"/>
      <c r="N8" s="2436"/>
      <c r="O8" s="2447"/>
      <c r="P8" s="2436"/>
      <c r="Q8" s="2436"/>
      <c r="R8" s="2436"/>
    </row>
    <row r="9" spans="1:30" ht="13.5" thickBot="1">
      <c r="A9" s="2391" t="s">
        <v>2178</v>
      </c>
      <c r="B9" s="2392" t="s">
        <v>3386</v>
      </c>
      <c r="C9" s="2393"/>
      <c r="D9" s="3556"/>
      <c r="E9" s="2392"/>
      <c r="F9" s="2394"/>
      <c r="G9" s="2662"/>
      <c r="H9" s="2662"/>
      <c r="I9" s="2662"/>
      <c r="J9" s="2436"/>
      <c r="K9" s="2613"/>
      <c r="L9" s="2610"/>
      <c r="M9" s="2610"/>
      <c r="N9" s="2436"/>
      <c r="O9" s="2447"/>
      <c r="P9" s="2436"/>
      <c r="Q9" s="2436"/>
      <c r="R9" s="2436"/>
    </row>
    <row r="10" spans="1:30" ht="13.5" thickTop="1">
      <c r="A10" s="2395" t="s">
        <v>2179</v>
      </c>
      <c r="B10" s="2396" t="s">
        <v>3387</v>
      </c>
      <c r="C10" s="2397"/>
      <c r="D10" s="2380"/>
      <c r="E10" s="2398" t="s">
        <v>2180</v>
      </c>
      <c r="F10" s="2663" t="s">
        <v>3895</v>
      </c>
      <c r="G10" s="2664"/>
      <c r="H10" s="2665"/>
      <c r="I10" s="2666"/>
      <c r="J10" s="2436"/>
      <c r="K10" s="2613"/>
      <c r="L10" s="2610"/>
      <c r="M10" s="2610"/>
      <c r="N10" s="2436"/>
      <c r="O10" s="2447"/>
      <c r="P10" s="2436"/>
      <c r="Q10" s="2436"/>
      <c r="R10" s="2436"/>
    </row>
    <row r="11" spans="1:30" ht="24">
      <c r="A11" s="2399" t="s">
        <v>2181</v>
      </c>
      <c r="B11" s="2400" t="s">
        <v>3388</v>
      </c>
      <c r="C11" s="3445" t="s">
        <v>3389</v>
      </c>
      <c r="D11" s="2401"/>
      <c r="E11" s="2368"/>
      <c r="F11" s="2368"/>
      <c r="G11" s="2368"/>
      <c r="H11" s="2368"/>
      <c r="I11" s="2368"/>
      <c r="J11" s="3057"/>
      <c r="K11" s="3056"/>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3"/>
    </row>
    <row r="13" spans="1:30">
      <c r="A13" s="3419" t="s">
        <v>3336</v>
      </c>
      <c r="B13" s="2404" t="s">
        <v>2190</v>
      </c>
      <c r="C13" s="855"/>
      <c r="D13" s="855">
        <v>54569</v>
      </c>
      <c r="E13" s="855"/>
      <c r="F13" s="855"/>
      <c r="G13" s="855"/>
      <c r="H13" s="855"/>
      <c r="I13" s="855">
        <v>48791</v>
      </c>
      <c r="J13" s="3058"/>
      <c r="K13" s="2610"/>
      <c r="L13" s="2610"/>
      <c r="M13" s="2436"/>
      <c r="N13" s="2447"/>
      <c r="O13" s="2436"/>
      <c r="P13" s="2436"/>
      <c r="Q13" s="2436"/>
      <c r="AD13" s="1743"/>
    </row>
    <row r="14" spans="1:30">
      <c r="A14" s="1080"/>
      <c r="B14" s="2404" t="s">
        <v>2191</v>
      </c>
      <c r="C14" s="2405"/>
      <c r="D14" s="2405">
        <v>40</v>
      </c>
      <c r="E14" s="2405"/>
      <c r="F14" s="2405"/>
      <c r="G14" s="2405"/>
      <c r="H14" s="2405"/>
      <c r="I14" s="2405"/>
      <c r="J14" s="3059"/>
      <c r="K14" s="2610"/>
      <c r="L14" s="2610"/>
      <c r="M14" s="2436"/>
      <c r="N14" s="2447"/>
      <c r="O14" s="2436"/>
      <c r="P14" s="2436"/>
      <c r="Q14" s="2436"/>
      <c r="AD14" s="1743"/>
    </row>
    <row r="15" spans="1:30">
      <c r="A15" s="319"/>
      <c r="B15" s="2406" t="s">
        <v>2192</v>
      </c>
      <c r="C15" s="2407" t="str">
        <f>IF(A13="出让",IF(C13="","",ROUNDDOWN(MIN((C13-$D$3)/365,C14),2)),C14)</f>
        <v/>
      </c>
      <c r="D15" s="2407">
        <f>IF(A13="出让",IF(D13="","",ROUNDDOWN(MIN((D13-$D$3)/365,D14),2)),D14)</f>
        <v>24.81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8.98</v>
      </c>
      <c r="J15" s="3060"/>
      <c r="K15" s="2448"/>
      <c r="L15" s="2448"/>
      <c r="M15" s="2506"/>
      <c r="N15" s="2448"/>
      <c r="O15" s="2506"/>
      <c r="P15" s="2436"/>
      <c r="Q15" s="2436"/>
      <c r="AD15" s="1743"/>
    </row>
    <row r="16" spans="1:30">
      <c r="A16" s="2398" t="s">
        <v>2193</v>
      </c>
      <c r="B16" s="3562" t="s">
        <v>3390</v>
      </c>
      <c r="C16" s="3563"/>
      <c r="D16" s="3564"/>
      <c r="E16" s="2410" t="s">
        <v>2194</v>
      </c>
      <c r="F16" s="3565">
        <f>D15</f>
        <v>24.81</v>
      </c>
      <c r="G16" s="3566"/>
      <c r="H16" s="3566"/>
      <c r="I16" s="3567"/>
      <c r="J16" s="2436"/>
      <c r="K16" s="2614"/>
      <c r="L16" s="2448"/>
      <c r="M16" s="2448"/>
      <c r="N16" s="2506"/>
      <c r="O16" s="2448"/>
      <c r="P16" s="2506"/>
      <c r="Q16" s="2436"/>
      <c r="R16" s="2436"/>
    </row>
    <row r="17" spans="1:28">
      <c r="A17" s="312" t="s">
        <v>2195</v>
      </c>
      <c r="B17" s="301" t="s">
        <v>2196</v>
      </c>
      <c r="C17" s="8">
        <f>'数据-汇总表'!E3</f>
        <v>4796.0100000000011</v>
      </c>
      <c r="D17" s="2320" t="s">
        <v>2197</v>
      </c>
      <c r="E17" s="3568" t="s">
        <v>2198</v>
      </c>
      <c r="F17" s="3569"/>
      <c r="G17" s="3569"/>
      <c r="H17" s="3569"/>
      <c r="I17" s="3570"/>
      <c r="J17" s="2436"/>
      <c r="K17" s="2615"/>
      <c r="L17" s="2448"/>
      <c r="M17" s="2448"/>
      <c r="N17" s="2506"/>
      <c r="O17" s="2448"/>
      <c r="P17" s="2506"/>
      <c r="Q17" s="2436"/>
      <c r="R17" s="2436"/>
      <c r="S17" s="2436"/>
      <c r="T17" s="2436"/>
      <c r="U17" s="2436"/>
      <c r="V17" s="2436"/>
    </row>
    <row r="18" spans="1:28" ht="24.75" thickBot="1">
      <c r="A18" s="2411" t="s">
        <v>2199</v>
      </c>
      <c r="B18" s="1089" t="s">
        <v>2200</v>
      </c>
      <c r="C18" s="2412">
        <f>'数据-汇总表'!D3</f>
        <v>2328.75</v>
      </c>
      <c r="D18" s="1091" t="s">
        <v>2201</v>
      </c>
      <c r="E18" s="3571" t="s">
        <v>2202</v>
      </c>
      <c r="F18" s="3572"/>
      <c r="G18" s="3572"/>
      <c r="H18" s="3572"/>
      <c r="I18" s="3573"/>
      <c r="J18" s="2436"/>
      <c r="K18" s="2615"/>
      <c r="L18" s="2448"/>
      <c r="M18" s="2448"/>
      <c r="N18" s="2506"/>
      <c r="O18" s="2448"/>
      <c r="P18" s="2506"/>
      <c r="Q18" s="2436"/>
      <c r="R18" s="2436"/>
      <c r="S18" s="2436"/>
      <c r="T18" s="2436"/>
      <c r="U18" s="2436"/>
      <c r="V18" s="2436"/>
    </row>
    <row r="19" spans="1:28" ht="37.5" thickTop="1" thickBot="1">
      <c r="A19" s="326" t="s">
        <v>1055</v>
      </c>
      <c r="B19" s="306" t="s">
        <v>2203</v>
      </c>
      <c r="C19" s="1561"/>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58" t="s">
        <v>2206</v>
      </c>
      <c r="C20" s="3559"/>
      <c r="D20" s="3560" t="s">
        <v>2207</v>
      </c>
      <c r="E20" s="3561"/>
      <c r="F20" s="2644" t="s">
        <v>1056</v>
      </c>
      <c r="G20" s="2661"/>
      <c r="H20" s="2661"/>
      <c r="I20" s="2661"/>
      <c r="J20" s="2436"/>
      <c r="K20" s="355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2209</v>
      </c>
      <c r="C21" s="2631" t="s">
        <v>1057</v>
      </c>
      <c r="D21" s="1566" t="s">
        <v>2210</v>
      </c>
      <c r="E21" s="2632" t="s">
        <v>1057</v>
      </c>
      <c r="F21" s="2645"/>
      <c r="G21" s="2661"/>
      <c r="H21" s="2661"/>
      <c r="I21" s="2661"/>
      <c r="J21" s="2436"/>
      <c r="K21" s="355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2211</v>
      </c>
      <c r="C22" s="2631" t="s">
        <v>1058</v>
      </c>
      <c r="D22" s="2660"/>
      <c r="E22" s="2660"/>
      <c r="F22" s="2660"/>
      <c r="G22" s="2661"/>
      <c r="H22" s="2661"/>
      <c r="I22" s="2661"/>
      <c r="J22" s="2436"/>
      <c r="K22" s="355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5" t="s">
        <v>2214</v>
      </c>
      <c r="B27" s="319" t="s">
        <v>2215</v>
      </c>
      <c r="C27" s="2413" t="s">
        <v>3391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5"/>
      <c r="B28" s="301"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5"/>
      <c r="B29" s="301"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6"/>
      <c r="B30" s="301" t="s">
        <v>2218</v>
      </c>
      <c r="C30" s="3547"/>
      <c r="D30" s="3548"/>
      <c r="E30" s="2661"/>
      <c r="F30" s="2661"/>
      <c r="G30" s="2661"/>
      <c r="H30" s="2661"/>
      <c r="I30" s="2661"/>
      <c r="J30" s="2436"/>
      <c r="K30" s="2613"/>
      <c r="L30" s="2610"/>
      <c r="M30" s="2610"/>
      <c r="N30" s="2436"/>
      <c r="O30" s="2447"/>
      <c r="P30" s="2436"/>
      <c r="Q30" s="2436"/>
      <c r="R30" s="2436"/>
      <c r="S30" s="2436"/>
      <c r="T30" s="2436"/>
      <c r="U30" s="2436"/>
      <c r="V30" s="2436"/>
    </row>
    <row r="31" spans="1:28">
      <c r="A31" s="3549" t="s">
        <v>2219</v>
      </c>
      <c r="B31" s="2419" t="s">
        <v>3392</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50"/>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50"/>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2220</v>
      </c>
      <c r="B34" s="2024"/>
      <c r="C34" s="2024"/>
      <c r="D34" s="2024"/>
      <c r="E34" s="2024"/>
      <c r="F34" s="2024"/>
      <c r="G34" s="2024"/>
      <c r="H34" s="2024"/>
      <c r="I34" s="2661"/>
      <c r="J34" s="2436"/>
      <c r="K34" s="2424">
        <f>COUNTIF(B34:H34,"——")</f>
        <v>0</v>
      </c>
      <c r="L34" s="322" t="s">
        <v>2221</v>
      </c>
      <c r="M34" s="322" t="s">
        <v>2222</v>
      </c>
      <c r="N34" s="322" t="s">
        <v>2223</v>
      </c>
      <c r="O34" s="322" t="s">
        <v>2224</v>
      </c>
      <c r="P34" s="322" t="s">
        <v>2225</v>
      </c>
      <c r="Q34" s="322" t="s">
        <v>2226</v>
      </c>
      <c r="R34" s="322" t="s">
        <v>2227</v>
      </c>
      <c r="S34" s="3544" t="s">
        <v>2228</v>
      </c>
      <c r="T34" s="2425" t="str">
        <f>NUMBERSTRING(7-K34,1)&amp;"通"</f>
        <v>七通</v>
      </c>
      <c r="U34" s="2436"/>
      <c r="V34" s="2436"/>
    </row>
    <row r="35" spans="1:30">
      <c r="A35" s="2426"/>
      <c r="B35" s="3551" t="s">
        <v>2229</v>
      </c>
      <c r="C35" s="3551"/>
      <c r="D35" s="3551"/>
      <c r="E35" s="3551"/>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44"/>
      <c r="T35" s="328" t="str">
        <f>IF(T34="一通",L35,IF(T34="二通",M35,IF(T34="三通",N35,IF(T34="四通",O35,IF(T34="五通",P35,IF(T34="六通",Q35,R35))))))</f>
        <v>、、、、、、</v>
      </c>
      <c r="U35" s="2436"/>
      <c r="V35" s="2436"/>
    </row>
    <row r="36" spans="1:30">
      <c r="A36" s="2427"/>
      <c r="B36" s="663" t="s">
        <v>2185</v>
      </c>
      <c r="C36" s="663" t="s">
        <v>2186</v>
      </c>
      <c r="D36" s="663" t="s">
        <v>2184</v>
      </c>
      <c r="E36" s="663"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t="s">
        <v>144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t="s">
        <v>3405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2328.75</v>
      </c>
      <c r="B3" s="11">
        <f>IF(C3="否",G5-AT5,G5)</f>
        <v>4796.0100000000011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4796.0100000000011</v>
      </c>
      <c r="H5" s="13">
        <f t="shared" ref="H5:AT5" si="0">SUM(H13:H656)</f>
        <v>4796.0100000000011</v>
      </c>
      <c r="I5" s="13">
        <f t="shared" si="0"/>
        <v>4167.1099999999997</v>
      </c>
      <c r="J5" s="13">
        <f t="shared" si="0"/>
        <v>0</v>
      </c>
      <c r="K5" s="13">
        <f t="shared" si="0"/>
        <v>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4796.0100000000011</v>
      </c>
      <c r="BA5" s="15">
        <f t="shared" si="1"/>
        <v>4796.0100000000011</v>
      </c>
      <c r="BB5" s="15">
        <f t="shared" si="1"/>
        <v>4167.1099999999997</v>
      </c>
      <c r="BC5" s="15">
        <f t="shared" si="1"/>
        <v>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2328.75</v>
      </c>
      <c r="F6" s="13" t="s">
        <v>0</v>
      </c>
      <c r="G6" s="13" t="s">
        <v>1</v>
      </c>
      <c r="H6" s="17">
        <f>SUMIF(I$12:AB$12,"总值",I6:AB6)</f>
        <v>2328.75</v>
      </c>
      <c r="I6" s="13">
        <f t="shared" ref="I6:AB6" si="2">ROUND($A$3*I5/$B$3,2)</f>
        <v>2023.38</v>
      </c>
      <c r="J6" s="13">
        <f t="shared" si="2"/>
        <v>0</v>
      </c>
      <c r="K6" s="13">
        <f t="shared" si="2"/>
        <v>305.37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2328.75</v>
      </c>
      <c r="AZ6" s="13" t="s">
        <v>2</v>
      </c>
      <c r="BA6" s="13">
        <f>ROUND($AY$6*BA5/$AZ$5,2)</f>
        <v>2328.75</v>
      </c>
      <c r="BB6" s="13">
        <f>ROUND($AY$6*BB5/$AZ$5,2)</f>
        <v>2023.38</v>
      </c>
      <c r="BC6" s="13">
        <f t="shared" ref="BC6:BH6" si="4">ROUND($AY$6*BC5/$AZ$5,2)</f>
        <v>305.37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3394</v>
      </c>
      <c r="J9" s="808"/>
      <c r="K9" s="1601" t="s">
        <v>3409</v>
      </c>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568" t="s">
        <v>3404</v>
      </c>
      <c r="D13" s="1623" t="s">
        <v>3393</v>
      </c>
      <c r="E13" s="13">
        <f>IF($C$3="是",ROUND($A$3*G13/$B$3,2),ROUND($A$3*(G13-AT13)/$B$3,2))</f>
        <v>305.37</v>
      </c>
      <c r="F13" s="29"/>
      <c r="G13" s="30">
        <f>H13+AC13+AT13</f>
        <v>628.9</v>
      </c>
      <c r="H13" s="17">
        <f>SUMIF(I$12:AB$12,"总值",I13:AB13)</f>
        <v>628.9</v>
      </c>
      <c r="I13" s="1624"/>
      <c r="J13" s="1624"/>
      <c r="K13" s="1624">
        <v>628.9</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地下1层</v>
      </c>
      <c r="AY13" s="1347">
        <f>ROUND($AY$6*AZ13/$AZ$5,2)</f>
        <v>305.37</v>
      </c>
      <c r="AZ13" s="13">
        <f>BA13+BL13</f>
        <v>628.9</v>
      </c>
      <c r="BA13" s="13">
        <f>SUM(BB13:BK13)</f>
        <v>628.9</v>
      </c>
      <c r="BB13" s="13">
        <f>IF($D13="是",I13-J13,0)</f>
        <v>0</v>
      </c>
      <c r="BC13" s="13">
        <f>IF($D13="是",K13-L13,0)</f>
        <v>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v>1</v>
      </c>
      <c r="D14" s="1623" t="s">
        <v>3393</v>
      </c>
      <c r="E14" s="13">
        <f>IF($C$3="是",ROUND($A$3*G14/$B$3,2),ROUND($A$3*(G14-AT14)/$B$3,2))</f>
        <v>1526.84</v>
      </c>
      <c r="F14" s="29"/>
      <c r="G14" s="30">
        <f>H14+AC14+AT14</f>
        <v>3144.5</v>
      </c>
      <c r="H14" s="17">
        <f>SUMIF(I$12:AB$12,"总值",I14:AB14)</f>
        <v>3144.5</v>
      </c>
      <c r="I14" s="1624">
        <v>3144.5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v>
      </c>
      <c r="AY14" s="1347">
        <f>ROUND($AY$6*AZ14/$AZ$5,2)</f>
        <v>1526.84</v>
      </c>
      <c r="AZ14" s="13">
        <f>BA14+BL14</f>
        <v>3144.5</v>
      </c>
      <c r="BA14" s="13">
        <f>SUM(BB14:BK14)</f>
        <v>3144.5</v>
      </c>
      <c r="BB14" s="13">
        <f>IF($D14="是",I14-J14,0)</f>
        <v>3144.5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v>2</v>
      </c>
      <c r="D15" s="1623" t="s">
        <v>3393</v>
      </c>
      <c r="E15" s="13">
        <f>IF($C$3="是",ROUND($A$3*G15/$B$3,2),ROUND($A$3*(G15-AT15)/$B$3,2))</f>
        <v>17.670000000000002</v>
      </c>
      <c r="F15" s="29"/>
      <c r="G15" s="30">
        <f>H15+AC15+AT15</f>
        <v>36.4</v>
      </c>
      <c r="H15" s="17">
        <f>SUMIF(I$12:AB$12,"总值",I15:AB15)</f>
        <v>36.4</v>
      </c>
      <c r="I15" s="1624">
        <v>36.4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v>
      </c>
      <c r="AY15" s="1347">
        <f>ROUND($AY$6*AZ15/$AZ$5,2)</f>
        <v>17.670000000000002</v>
      </c>
      <c r="AZ15" s="13">
        <f>BA15+BL15</f>
        <v>36.4</v>
      </c>
      <c r="BA15" s="13">
        <f>SUM(BB15:BK15)</f>
        <v>36.4</v>
      </c>
      <c r="BB15" s="13">
        <f>IF($D15="是",I15-J15,0)</f>
        <v>36.4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v>3</v>
      </c>
      <c r="D16" s="1623" t="s">
        <v>3393</v>
      </c>
      <c r="E16" s="13">
        <f>IF($C$3="是",ROUND($A$3*G16/$B$3,2),ROUND($A$3*(G16-AT16)/$B$3,2))</f>
        <v>6.05</v>
      </c>
      <c r="F16" s="29"/>
      <c r="G16" s="30">
        <f>H16+AC16+AT16</f>
        <v>12.46</v>
      </c>
      <c r="H16" s="17">
        <f>SUMIF(I$12:AB$12,"总值",I16:AB16)</f>
        <v>12.46</v>
      </c>
      <c r="I16" s="1624">
        <v>12.46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v>
      </c>
      <c r="AY16" s="1347">
        <f>ROUND($AY$6*AZ16/$AZ$5,2)</f>
        <v>6.05</v>
      </c>
      <c r="AZ16" s="13">
        <f>BA16+BL16</f>
        <v>12.46</v>
      </c>
      <c r="BA16" s="13">
        <f>SUM(BB16:BK16)</f>
        <v>12.46</v>
      </c>
      <c r="BB16" s="13">
        <f>IF($D16="是",I16-J16,0)</f>
        <v>12.46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v>4</v>
      </c>
      <c r="D17" s="1623" t="s">
        <v>3393</v>
      </c>
      <c r="E17" s="13">
        <f>IF($C$3="是",ROUND($A$3*G17/$B$3,2),ROUND($A$3*(G17-AT17)/$B$3,2))</f>
        <v>26.61</v>
      </c>
      <c r="F17" s="29"/>
      <c r="G17" s="30">
        <f>H17+AC17+AT17</f>
        <v>54.8</v>
      </c>
      <c r="H17" s="17">
        <f>SUMIF(I$12:AB$12,"总值",I17:AB17)</f>
        <v>54.8</v>
      </c>
      <c r="I17" s="1624">
        <v>54.8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4</v>
      </c>
      <c r="AY17" s="1347">
        <f>ROUND($AY$6*AZ17/$AZ$5,2)</f>
        <v>26.61</v>
      </c>
      <c r="AZ17" s="13">
        <f>BA17+BL17</f>
        <v>54.8</v>
      </c>
      <c r="BA17" s="13">
        <f>SUM(BB17:BK17)</f>
        <v>54.8</v>
      </c>
      <c r="BB17" s="13">
        <f>IF($D17="是",I17-J17,0)</f>
        <v>54.8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v>
      </c>
      <c r="D18" s="1628" t="s">
        <v>3393</v>
      </c>
      <c r="E18" s="32">
        <f t="shared" ref="E18:E112" si="7">IF($C$3="是",ROUND($A$3*G18/$B$3,2),ROUND($A$3*(G18-AT18)/$B$3,2))</f>
        <v>269.27</v>
      </c>
      <c r="F18" s="33"/>
      <c r="G18" s="34">
        <f t="shared" ref="G18:G109" si="8">H18+AC18+AT18</f>
        <v>554.54999999999995</v>
      </c>
      <c r="H18" s="35">
        <f t="shared" ref="H18:H109" si="9">SUMIF(I$12:AB$12,"总值",I18:AB18)</f>
        <v>554.54999999999995</v>
      </c>
      <c r="I18" s="36">
        <v>554.54999999999995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5</v>
      </c>
      <c r="AY18" s="39">
        <f t="shared" ref="AY18:AY109" si="14">ROUND($AY$6*AZ18/$AZ$5,2)</f>
        <v>269.27</v>
      </c>
      <c r="AZ18" s="32">
        <f t="shared" ref="AZ18:AZ109" si="15">BA18+BL18</f>
        <v>554.54999999999995</v>
      </c>
      <c r="BA18" s="32">
        <f t="shared" ref="BA18:BA109" si="16">SUM(BB18:BK18)</f>
        <v>554.54999999999995</v>
      </c>
      <c r="BB18" s="32">
        <f t="shared" ref="BB18:BB109" si="17">IF($D18="是",I18-J18,0)</f>
        <v>554.54999999999995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v>
      </c>
      <c r="D19" s="1628" t="s">
        <v>3393</v>
      </c>
      <c r="E19" s="32">
        <f t="shared" si="7"/>
        <v>71.91</v>
      </c>
      <c r="F19" s="33"/>
      <c r="G19" s="34">
        <f t="shared" si="8"/>
        <v>148.1</v>
      </c>
      <c r="H19" s="35">
        <f t="shared" si="9"/>
        <v>148.1</v>
      </c>
      <c r="I19" s="36">
        <v>148.1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6</v>
      </c>
      <c r="AY19" s="39">
        <f t="shared" si="14"/>
        <v>71.91</v>
      </c>
      <c r="AZ19" s="32">
        <f t="shared" si="15"/>
        <v>148.1</v>
      </c>
      <c r="BA19" s="32">
        <f t="shared" si="16"/>
        <v>148.1</v>
      </c>
      <c r="BB19" s="32">
        <f t="shared" si="17"/>
        <v>148.1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v>
      </c>
      <c r="D20" s="1628" t="s">
        <v>3393</v>
      </c>
      <c r="E20" s="32">
        <f t="shared" si="7"/>
        <v>38.119999999999997</v>
      </c>
      <c r="F20" s="33"/>
      <c r="G20" s="34">
        <f t="shared" si="8"/>
        <v>78.5</v>
      </c>
      <c r="H20" s="35">
        <f t="shared" si="9"/>
        <v>78.5</v>
      </c>
      <c r="I20" s="36">
        <v>78.5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7</v>
      </c>
      <c r="AY20" s="39">
        <f t="shared" si="14"/>
        <v>38.119999999999997</v>
      </c>
      <c r="AZ20" s="32">
        <f t="shared" si="15"/>
        <v>78.5</v>
      </c>
      <c r="BA20" s="32">
        <f t="shared" si="16"/>
        <v>78.5</v>
      </c>
      <c r="BB20" s="32">
        <f t="shared" si="17"/>
        <v>78.5</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v>
      </c>
      <c r="D21" s="1628" t="s">
        <v>3393</v>
      </c>
      <c r="E21" s="32">
        <f t="shared" si="7"/>
        <v>66.91</v>
      </c>
      <c r="F21" s="33"/>
      <c r="G21" s="34">
        <f t="shared" si="8"/>
        <v>137.80000000000001</v>
      </c>
      <c r="H21" s="35">
        <f t="shared" si="9"/>
        <v>137.80000000000001</v>
      </c>
      <c r="I21" s="36">
        <v>137.80000000000001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8</v>
      </c>
      <c r="AY21" s="39">
        <f t="shared" si="14"/>
        <v>66.91</v>
      </c>
      <c r="AZ21" s="32">
        <f t="shared" si="15"/>
        <v>137.80000000000001</v>
      </c>
      <c r="BA21" s="32">
        <f t="shared" si="16"/>
        <v>137.80000000000001</v>
      </c>
      <c r="BB21" s="32">
        <f t="shared" si="17"/>
        <v>137.80000000000001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3" t="s">
        <v>1131</v>
      </c>
      <c r="B2" s="3583"/>
      <c r="C2" s="3583"/>
      <c r="D2" s="795" t="s">
        <v>1107</v>
      </c>
      <c r="E2" s="1637" t="s">
        <v>1108</v>
      </c>
      <c r="F2" s="2656"/>
      <c r="G2" s="2647"/>
      <c r="H2" s="2648"/>
      <c r="I2" s="2323" t="s">
        <v>1132</v>
      </c>
      <c r="J2" s="2656"/>
      <c r="K2" s="2656"/>
      <c r="L2" s="2656"/>
      <c r="M2" s="2656"/>
      <c r="N2" s="2658"/>
      <c r="O2" s="2656"/>
      <c r="P2" s="2656"/>
    </row>
    <row r="3" spans="1:16" ht="15.75" thickBot="1">
      <c r="A3" s="3584" t="s">
        <v>1105</v>
      </c>
      <c r="B3" s="3584"/>
      <c r="C3" s="3584"/>
      <c r="D3" s="43">
        <f>'数据-基础表'!AY6</f>
        <v>2328.75</v>
      </c>
      <c r="E3" s="43">
        <f>'数据-基础表'!AZ5</f>
        <v>4796.0100000000011</v>
      </c>
      <c r="F3" s="2656"/>
      <c r="G3" s="1143"/>
      <c r="H3" s="1025" t="s">
        <v>1106</v>
      </c>
      <c r="I3" s="854">
        <f>ROUND('数据-基础表'!B3/'数据-基础表'!A3,2)</f>
        <v>2.06</v>
      </c>
      <c r="J3" s="2656"/>
      <c r="K3" s="2656"/>
      <c r="L3" s="2656"/>
      <c r="M3" s="2656"/>
      <c r="N3" s="2658"/>
      <c r="O3" s="2656"/>
      <c r="P3" s="2656"/>
    </row>
    <row r="4" spans="1:16" ht="15">
      <c r="A4" s="3585"/>
      <c r="B4" s="3586"/>
      <c r="C4" s="3587"/>
      <c r="D4" s="1639" t="s">
        <v>1107</v>
      </c>
      <c r="E4" s="1640" t="s">
        <v>1108</v>
      </c>
      <c r="F4" s="2656"/>
      <c r="G4" s="2649" t="s">
        <v>1133</v>
      </c>
      <c r="H4" s="1025" t="s">
        <v>1113</v>
      </c>
      <c r="I4" s="854">
        <f>ROUND(SUMIF('数据-基础表'!I9:AS9,"地上",'数据-基础表'!I5:AS5)/'数据-基础表'!A3,2)</f>
        <v>1.79</v>
      </c>
      <c r="J4" s="2656"/>
      <c r="K4" s="2656"/>
      <c r="L4" s="2656"/>
      <c r="M4" s="2656"/>
      <c r="N4" s="2658"/>
      <c r="O4" s="2656"/>
      <c r="P4" s="2656"/>
    </row>
    <row r="5" spans="1:16">
      <c r="A5" s="44" t="s">
        <v>1109</v>
      </c>
      <c r="B5" s="3588" t="s">
        <v>1110</v>
      </c>
      <c r="C5" s="3588"/>
      <c r="D5" s="45">
        <f>ROUND($D$3*E5/$E$3,2)</f>
        <v>0</v>
      </c>
      <c r="E5" s="46">
        <f>SUMIF('数据-基础表'!$11:$11,"住宅",'数据-基础表'!$5:$5)</f>
        <v>0</v>
      </c>
      <c r="F5" s="2656"/>
      <c r="G5" s="1143"/>
      <c r="H5" s="1025" t="s">
        <v>1106</v>
      </c>
      <c r="I5" s="854">
        <f>ROUND(E31/D31,2)</f>
        <v>2.06</v>
      </c>
      <c r="J5" s="2656"/>
      <c r="K5" s="2656"/>
      <c r="L5" s="2656"/>
      <c r="M5" s="2656"/>
      <c r="N5" s="2656"/>
      <c r="O5" s="2656"/>
      <c r="P5" s="2656"/>
    </row>
    <row r="6" spans="1:16" ht="15" thickBot="1">
      <c r="A6" s="1642"/>
      <c r="B6" s="3588" t="s">
        <v>1111</v>
      </c>
      <c r="C6" s="3588"/>
      <c r="D6" s="45">
        <f>ROUND($D$3*E6/$E$3,2)</f>
        <v>2328.75</v>
      </c>
      <c r="E6" s="46">
        <f>E3-E5</f>
        <v>4796.0100000000011</v>
      </c>
      <c r="F6" s="2656"/>
      <c r="G6" s="2650" t="s">
        <v>1112</v>
      </c>
      <c r="H6" s="1144" t="s">
        <v>1113</v>
      </c>
      <c r="I6" s="2651">
        <f>ROUND(F31/D31,2)</f>
        <v>1.79</v>
      </c>
      <c r="J6" s="2656"/>
      <c r="K6" s="2656"/>
      <c r="L6" s="2656"/>
      <c r="M6" s="2656"/>
      <c r="N6" s="2656"/>
      <c r="O6" s="2656"/>
      <c r="P6" s="2656"/>
    </row>
    <row r="7" spans="1:16" ht="15.75" thickBot="1">
      <c r="A7" s="3580"/>
      <c r="B7" s="3581"/>
      <c r="C7" s="3582"/>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2023.38</v>
      </c>
      <c r="E8" s="48">
        <f>SUMIF('数据-基础表'!BB10:BK10,"地上",'数据-基础表'!BB5:BK5)</f>
        <v>4167.1099999999997</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305.37</v>
      </c>
      <c r="E10" s="48">
        <f>SUMPRODUCT(('数据-基础表'!BB10:BK10="地下")*('数据-基础表'!BB11:BK11="商业")*('数据-基础表'!BB5:BK5))</f>
        <v>628.9</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2328.75</v>
      </c>
      <c r="E16" s="50">
        <f>SUM(E8:E15)</f>
        <v>4796.0099999999993</v>
      </c>
      <c r="F16" s="2656"/>
      <c r="G16" s="2657"/>
      <c r="H16" s="1646" t="s">
        <v>1135</v>
      </c>
      <c r="I16" s="1647"/>
      <c r="J16" s="1137"/>
      <c r="K16" s="3577" t="s">
        <v>1135</v>
      </c>
      <c r="L16" s="3578"/>
      <c r="M16" s="3578"/>
      <c r="N16" s="3578"/>
      <c r="O16" s="3578"/>
      <c r="P16" s="3579"/>
    </row>
    <row r="17" spans="1:19" ht="15">
      <c r="A17" s="1648" t="s">
        <v>1136</v>
      </c>
      <c r="B17" s="1649" t="s">
        <v>1137</v>
      </c>
      <c r="C17" s="1650" t="s">
        <v>1138</v>
      </c>
      <c r="D17" s="1651" t="s">
        <v>1126</v>
      </c>
      <c r="E17" s="1652" t="s">
        <v>1127</v>
      </c>
      <c r="F17" s="1653"/>
      <c r="G17" s="1654"/>
      <c r="H17" s="1655" t="s">
        <v>1139</v>
      </c>
      <c r="I17" s="1656" t="s">
        <v>1124</v>
      </c>
      <c r="J17" s="1137"/>
      <c r="K17" s="3574" t="s">
        <v>1140</v>
      </c>
      <c r="L17" s="3575"/>
      <c r="M17" s="3576"/>
      <c r="N17" s="3574" t="s">
        <v>1141</v>
      </c>
      <c r="O17" s="3575"/>
      <c r="P17" s="3576"/>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3" t="s">
        <v>3395</v>
      </c>
      <c r="D19" s="45">
        <f>ROUND($D$3*E19/$E$3,2)</f>
        <v>2328.75</v>
      </c>
      <c r="E19" s="53">
        <f t="shared" ref="E19:E26" si="1">SUM(F19:G19)</f>
        <v>4796.0099999999993</v>
      </c>
      <c r="F19" s="2791">
        <f>'数据-基础表'!I14+'数据-基础表'!I15+'数据-基础表'!I16+'数据-基础表'!I17+'数据-基础表'!I18+'数据-基础表'!I19+'数据-基础表'!I20+'数据-基础表'!I21</f>
        <v>4167.1099999999997</v>
      </c>
      <c r="G19" s="2792">
        <f>'数据-基础表'!K13</f>
        <v>628.9</v>
      </c>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2328.75</v>
      </c>
      <c r="S19" s="1026">
        <f t="shared" si="5"/>
        <v>4796.0099999999993</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2328.75</v>
      </c>
      <c r="E27" s="1139">
        <f>IF(SUM(E19:E26)='数据-基础表'!BA5,SUM(E19:E26),IF(F27="地上面积有误","面积有误","地下面积有误"))</f>
        <v>4796.0099999999993</v>
      </c>
      <c r="F27" s="1138">
        <f>IF(SUM(F19:F26)=E8,SUM(F19:F26),"地上面积有误")</f>
        <v>4167.1099999999997</v>
      </c>
      <c r="G27" s="1140">
        <f>SUM(G19:G26)</f>
        <v>628.9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2328.75</v>
      </c>
      <c r="S27" s="1025">
        <f>IF(SUM(S19:S26)=$E$3,SUM(S19:S26),SUM(S19:S26)&amp;"误差"&amp;ROUND(SUM(S19:S26)-E3,2))</f>
        <v>4796.0099999999993</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4" t="s">
        <v>1158</v>
      </c>
      <c r="D31" s="675">
        <f>D27+D30</f>
        <v>2328.75</v>
      </c>
      <c r="E31" s="675">
        <f>E27+E30</f>
        <v>4796.0099999999993</v>
      </c>
      <c r="F31" s="676">
        <f>F27+F30</f>
        <v>4167.1099999999997</v>
      </c>
      <c r="G31" s="677">
        <f>G27+G30</f>
        <v>628.9</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10.37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45512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54569</v>
      </c>
      <c r="F6" s="64">
        <f>SUMIF(项目基本情况!C$12:I$12,C6,项目基本情况!C$15:I$15)</f>
        <v>24.81</v>
      </c>
      <c r="G6" s="65">
        <f>IF(ISERROR(ROUND(POWER(1+H6,D6-F6)*(POWER(1+H6,F6)-1)/(POWER(1+H6,D6)-1),3)),0,ROUND(POWER(1+H6,D6-F6)*(POWER(1+H6,F6)-1)/(POWER(1+H6,D6)-1),3))</f>
        <v>0.81799999999999995</v>
      </c>
      <c r="H6" s="731">
        <v>0.05</v>
      </c>
      <c r="I6" s="731">
        <v>5.5E-2</v>
      </c>
      <c r="J6" s="66">
        <v>7.0000000000000007E-2</v>
      </c>
      <c r="K6" s="1029">
        <f>SUMIF('数据-汇总表'!C$19:C$33,A6,'数据-汇总表'!E$19:E$33)</f>
        <v>4796.0099999999993</v>
      </c>
      <c r="L6" s="3845">
        <v>4000</v>
      </c>
      <c r="M6" s="67">
        <f t="shared" ref="M6:M14" si="0">ROUND(K6*L6/10000,0)</f>
        <v>1918</v>
      </c>
      <c r="N6" s="3473">
        <f>O20</f>
        <v>0.9</v>
      </c>
      <c r="O6" s="67" t="str">
        <f>IF($N$5="成新度","——",ROUND(M6*N6,0))</f>
        <v>——</v>
      </c>
      <c r="P6" s="68" t="str">
        <f>IF($N$5="成新度","——",M6-O6)</f>
        <v>——</v>
      </c>
      <c r="Q6" s="733">
        <v>0.15</v>
      </c>
      <c r="R6" s="69">
        <f ca="1">SUMIF('数据-汇总表'!C$19:C$33,A6,'数据-汇总表'!R$19:R$27)</f>
        <v>2328.75</v>
      </c>
      <c r="S6" s="51">
        <f>IF('数据-汇总表'!$I$17="按面积比例",SUMIF('数据-汇总表'!C$19:C$33,A6,'数据-汇总表'!K$19:K$33),SUMIF('数据-汇总表'!C$19:C$33,A6,'数据-汇总表'!N$19:N$33))</f>
        <v>0</v>
      </c>
      <c r="T6" s="1170">
        <f>ROUND($L$14*S6/10000,0)</f>
        <v>0</v>
      </c>
      <c r="U6" s="3424">
        <f>信息表!M6</f>
        <v>7.09</v>
      </c>
      <c r="V6" s="70">
        <v>0</v>
      </c>
      <c r="W6" s="70">
        <v>0</v>
      </c>
      <c r="X6" s="1039"/>
      <c r="Y6" s="71">
        <f>N6</f>
        <v>0.9</v>
      </c>
      <c r="Z6" s="72">
        <f>ROUND(U6*(1+'数据-取费表'!AA6)^'数据-取费表'!AF6,2)</f>
        <v>8.85</v>
      </c>
      <c r="AA6" s="3474">
        <v>2.5000000000000001E-2</v>
      </c>
      <c r="AB6" s="3474">
        <v>0.05</v>
      </c>
      <c r="AC6" s="1039"/>
      <c r="AD6" s="3475">
        <v>0.75</v>
      </c>
      <c r="AE6" s="1040">
        <f t="shared" ref="AE6:AE13" ca="1" si="1">IF(AN6="",0,SUMIF(INDIRECT("'"&amp;AN6&amp;"'"&amp;"!E:E"),$AE$5,INDIRECT("'"&amp;AN6&amp;"'"&amp;"!F:F")))</f>
        <v>24.81</v>
      </c>
      <c r="AF6" s="3846">
        <v>9</v>
      </c>
      <c r="AG6" s="137">
        <f ca="1">IF(AF6="",0,AE6-AF6)</f>
        <v>15.809999999999999</v>
      </c>
      <c r="AH6" s="74"/>
      <c r="AI6" s="76">
        <v>365</v>
      </c>
      <c r="AJ6" s="77"/>
      <c r="AK6" s="78">
        <v>5.0000000000000001E-3</v>
      </c>
      <c r="AL6" s="79">
        <v>1E-3</v>
      </c>
      <c r="AM6" s="80">
        <v>5.0000000000000001E-3</v>
      </c>
      <c r="AN6" s="1713" t="s">
        <v>3401</v>
      </c>
      <c r="AO6" s="52">
        <f t="shared" ref="AO6:AO13" ca="1" si="2">SUMIF(INDIRECT("'"&amp;AN6&amp;"'"&amp;"!A:A"),"总价",INDIRECT("'"&amp;AN6&amp;"'"&amp;"!B:B"))</f>
        <v>16201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3">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4">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5">IF($N$5="成新度","——",ROUND(M7*N7,0))</f>
        <v>——</v>
      </c>
      <c r="P7" s="68" t="str">
        <f t="shared" ref="P7:P14" si="6">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7">ROUND($L$14*S7/10000,0)</f>
        <v>0</v>
      </c>
      <c r="U7" s="3424"/>
      <c r="V7" s="70"/>
      <c r="W7" s="70"/>
      <c r="X7" s="1039"/>
      <c r="Y7" s="71"/>
      <c r="Z7" s="72"/>
      <c r="AA7" s="66"/>
      <c r="AB7" s="66"/>
      <c r="AC7" s="1039"/>
      <c r="AD7" s="73"/>
      <c r="AE7" s="1040">
        <f t="shared" ca="1" si="1"/>
        <v>0</v>
      </c>
      <c r="AF7" s="1346"/>
      <c r="AG7" s="137">
        <f t="shared" ref="AG7:AG13" si="8">IF(AF7="",0,AE7-AF7)</f>
        <v>0</v>
      </c>
      <c r="AH7" s="74"/>
      <c r="AI7" s="76"/>
      <c r="AJ7" s="77"/>
      <c r="AK7" s="78"/>
      <c r="AL7" s="79"/>
      <c r="AM7" s="80"/>
      <c r="AN7" s="1713"/>
      <c r="AO7" s="52" t="e">
        <f t="shared" ca="1" si="2"/>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3"/>
        <v/>
      </c>
      <c r="C8" s="1712"/>
      <c r="D8" s="857">
        <f>SUMIF(项目基本情况!C$12:I$12,C8,项目基本情况!C$14:I$14)</f>
        <v>0</v>
      </c>
      <c r="E8" s="856" t="str">
        <f>IF(B8="","",SUMIF(项目基本情况!C$12:I$12,C8,项目基本情况!C$13:I$13))</f>
        <v/>
      </c>
      <c r="F8" s="64">
        <f>SUMIF(项目基本情况!C$12:I$12,C8,项目基本情况!C$15:I$15)</f>
        <v>0</v>
      </c>
      <c r="G8" s="65">
        <f t="shared" si="4"/>
        <v>0</v>
      </c>
      <c r="H8" s="731"/>
      <c r="I8" s="731"/>
      <c r="J8" s="66"/>
      <c r="K8" s="1029">
        <f>SUMIF('数据-汇总表'!C$19:C$33,A8,'数据-汇总表'!E$19:E$33)</f>
        <v>0</v>
      </c>
      <c r="L8" s="732"/>
      <c r="M8" s="67">
        <f>ROUND(K8*L8/10000,0)</f>
        <v>0</v>
      </c>
      <c r="N8" s="730"/>
      <c r="O8" s="67" t="str">
        <f t="shared" si="5"/>
        <v>——</v>
      </c>
      <c r="P8" s="68" t="str">
        <f t="shared" si="6"/>
        <v>——</v>
      </c>
      <c r="Q8" s="733"/>
      <c r="R8" s="69">
        <f ca="1">SUMIF('数据-汇总表'!C$19:C$33,A8,'数据-汇总表'!R$19:R$27)</f>
        <v>0</v>
      </c>
      <c r="S8" s="51">
        <f>IF('数据-汇总表'!$I$17="按面积比例",SUMIF('数据-汇总表'!C$19:C$33,A8,'数据-汇总表'!K$19:K$33),SUMIF('数据-汇总表'!C$19:C$33,A8,'数据-汇总表'!N$19:N$33))</f>
        <v>0</v>
      </c>
      <c r="T8" s="1170">
        <f t="shared" si="7"/>
        <v>0</v>
      </c>
      <c r="U8" s="3425"/>
      <c r="V8" s="734"/>
      <c r="W8" s="734"/>
      <c r="X8" s="1039"/>
      <c r="Y8" s="71"/>
      <c r="Z8" s="72"/>
      <c r="AA8" s="66"/>
      <c r="AB8" s="66"/>
      <c r="AC8" s="1039"/>
      <c r="AD8" s="73"/>
      <c r="AE8" s="1040">
        <f t="shared" ca="1" si="1"/>
        <v>0</v>
      </c>
      <c r="AF8" s="1346"/>
      <c r="AG8" s="137">
        <f t="shared" si="8"/>
        <v>0</v>
      </c>
      <c r="AH8" s="735"/>
      <c r="AI8" s="76"/>
      <c r="AJ8" s="77"/>
      <c r="AK8" s="736"/>
      <c r="AL8" s="737"/>
      <c r="AM8" s="738"/>
      <c r="AN8" s="1713"/>
      <c r="AO8" s="52" t="e">
        <f t="shared" ca="1" si="2"/>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3"/>
        <v/>
      </c>
      <c r="C9" s="1712"/>
      <c r="D9" s="857">
        <f>SUMIF(项目基本情况!C$12:I$12,C9,项目基本情况!C$14:I$14)</f>
        <v>0</v>
      </c>
      <c r="E9" s="856" t="str">
        <f>IF(B9="","",SUMIF(项目基本情况!C$12:I$12,C9,项目基本情况!C$13:I$13))</f>
        <v/>
      </c>
      <c r="F9" s="64">
        <f>SUMIF(项目基本情况!C$12:I$12,C9,项目基本情况!C$15:I$15)</f>
        <v>0</v>
      </c>
      <c r="G9" s="65">
        <f t="shared" si="4"/>
        <v>0</v>
      </c>
      <c r="H9" s="66"/>
      <c r="I9" s="66"/>
      <c r="J9" s="66"/>
      <c r="K9" s="1029">
        <f>SUMIF('数据-汇总表'!C$19:C$33,A9,'数据-汇总表'!E$19:E$33)</f>
        <v>0</v>
      </c>
      <c r="L9" s="732"/>
      <c r="M9" s="67">
        <f t="shared" si="0"/>
        <v>0</v>
      </c>
      <c r="N9" s="730"/>
      <c r="O9" s="67" t="str">
        <f t="shared" si="5"/>
        <v>——</v>
      </c>
      <c r="P9" s="68" t="str">
        <f t="shared" si="6"/>
        <v>——</v>
      </c>
      <c r="Q9" s="81"/>
      <c r="R9" s="69">
        <f ca="1">SUMIF('数据-汇总表'!C$19:C$33,A9,'数据-汇总表'!R$19:R$27)</f>
        <v>0</v>
      </c>
      <c r="S9" s="51">
        <f>IF('数据-汇总表'!$I$17="按面积比例",SUMIF('数据-汇总表'!C$19:C$33,A9,'数据-汇总表'!K$19:K$33),SUMIF('数据-汇总表'!C$19:C$33,A9,'数据-汇总表'!N$19:N$33))</f>
        <v>0</v>
      </c>
      <c r="T9" s="1170">
        <f t="shared" si="7"/>
        <v>0</v>
      </c>
      <c r="U9" s="3424"/>
      <c r="V9" s="70"/>
      <c r="W9" s="70"/>
      <c r="X9" s="1039"/>
      <c r="Y9" s="71"/>
      <c r="Z9" s="72"/>
      <c r="AA9" s="66"/>
      <c r="AB9" s="66"/>
      <c r="AC9" s="1039"/>
      <c r="AD9" s="73"/>
      <c r="AE9" s="1040">
        <f t="shared" ca="1" si="1"/>
        <v>0</v>
      </c>
      <c r="AF9" s="1346"/>
      <c r="AG9" s="137">
        <f t="shared" si="8"/>
        <v>0</v>
      </c>
      <c r="AH9" s="74"/>
      <c r="AI9" s="76"/>
      <c r="AJ9" s="77"/>
      <c r="AK9" s="78"/>
      <c r="AL9" s="79"/>
      <c r="AM9" s="80"/>
      <c r="AN9" s="1713"/>
      <c r="AO9" s="52" t="e">
        <f t="shared" ca="1" si="2"/>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3"/>
        <v/>
      </c>
      <c r="C10" s="1712"/>
      <c r="D10" s="857">
        <f>SUMIF(项目基本情况!C$12:I$12,C10,项目基本情况!C$14:I$14)</f>
        <v>0</v>
      </c>
      <c r="E10" s="856" t="str">
        <f>IF(B10="","",SUMIF(项目基本情况!C$12:I$12,C10,项目基本情况!C$13:I$13))</f>
        <v/>
      </c>
      <c r="F10" s="64">
        <f>SUMIF(项目基本情况!C$12:I$12,C10,项目基本情况!C$15:I$15)</f>
        <v>0</v>
      </c>
      <c r="G10" s="65">
        <f t="shared" si="4"/>
        <v>0</v>
      </c>
      <c r="H10" s="66"/>
      <c r="I10" s="66"/>
      <c r="J10" s="66"/>
      <c r="K10" s="1029">
        <f>SUMIF('数据-汇总表'!C$19:C$33,A10,'数据-汇总表'!E$19:E$33)</f>
        <v>0</v>
      </c>
      <c r="L10" s="732"/>
      <c r="M10" s="67">
        <f t="shared" si="0"/>
        <v>0</v>
      </c>
      <c r="N10" s="730"/>
      <c r="O10" s="67" t="str">
        <f t="shared" si="5"/>
        <v>——</v>
      </c>
      <c r="P10" s="68" t="str">
        <f t="shared" si="6"/>
        <v>——</v>
      </c>
      <c r="Q10" s="81"/>
      <c r="R10" s="69">
        <f ca="1">SUMIF('数据-汇总表'!C$19:C$33,A10,'数据-汇总表'!R$19:R$27)</f>
        <v>0</v>
      </c>
      <c r="S10" s="51">
        <f>IF('数据-汇总表'!$I$17="按面积比例",SUMIF('数据-汇总表'!C$19:C$33,A10,'数据-汇总表'!K$19:K$33),SUMIF('数据-汇总表'!C$19:C$33,A10,'数据-汇总表'!N$19:N$33))</f>
        <v>0</v>
      </c>
      <c r="T10" s="1170">
        <f t="shared" si="7"/>
        <v>0</v>
      </c>
      <c r="U10" s="3424"/>
      <c r="V10" s="70"/>
      <c r="W10" s="70"/>
      <c r="X10" s="1039"/>
      <c r="Y10" s="71"/>
      <c r="Z10" s="72"/>
      <c r="AA10" s="66"/>
      <c r="AB10" s="66"/>
      <c r="AC10" s="1039"/>
      <c r="AD10" s="73"/>
      <c r="AE10" s="1040">
        <f t="shared" ca="1" si="1"/>
        <v>0</v>
      </c>
      <c r="AF10" s="1346"/>
      <c r="AG10" s="137">
        <f t="shared" si="8"/>
        <v>0</v>
      </c>
      <c r="AH10" s="74"/>
      <c r="AI10" s="76"/>
      <c r="AJ10" s="77"/>
      <c r="AK10" s="78"/>
      <c r="AL10" s="79"/>
      <c r="AM10" s="80"/>
      <c r="AN10" s="1713"/>
      <c r="AO10" s="52" t="e">
        <f t="shared" ca="1" si="2"/>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3"/>
        <v/>
      </c>
      <c r="C11" s="1712"/>
      <c r="D11" s="857">
        <f>SUMIF(项目基本情况!C$12:I$12,C11,项目基本情况!C$14:I$14)</f>
        <v>0</v>
      </c>
      <c r="E11" s="856" t="str">
        <f>IF(B11="","",SUMIF(项目基本情况!C$12:I$12,C11,项目基本情况!C$13:I$13))</f>
        <v/>
      </c>
      <c r="F11" s="64">
        <f>SUMIF(项目基本情况!C$12:I$12,C11,项目基本情况!C$15:I$15)</f>
        <v>0</v>
      </c>
      <c r="G11" s="65">
        <f t="shared" si="4"/>
        <v>0</v>
      </c>
      <c r="H11" s="66"/>
      <c r="I11" s="66"/>
      <c r="J11" s="66"/>
      <c r="K11" s="1029">
        <f>SUMIF('数据-汇总表'!C$19:C$33,A11,'数据-汇总表'!E$19:E$33)</f>
        <v>0</v>
      </c>
      <c r="L11" s="82"/>
      <c r="M11" s="67">
        <f t="shared" si="0"/>
        <v>0</v>
      </c>
      <c r="N11" s="730"/>
      <c r="O11" s="67" t="str">
        <f t="shared" si="5"/>
        <v>——</v>
      </c>
      <c r="P11" s="68" t="str">
        <f t="shared" si="6"/>
        <v>——</v>
      </c>
      <c r="Q11" s="81"/>
      <c r="R11" s="69">
        <f ca="1">SUMIF('数据-汇总表'!C$19:C$33,A11,'数据-汇总表'!R$19:R$27)</f>
        <v>0</v>
      </c>
      <c r="S11" s="51">
        <f>IF('数据-汇总表'!$I$17="按面积比例",SUMIF('数据-汇总表'!C$19:C$33,A11,'数据-汇总表'!K$19:K$33),SUMIF('数据-汇总表'!C$19:C$33,A11,'数据-汇总表'!N$19:N$33))</f>
        <v>0</v>
      </c>
      <c r="T11" s="1170">
        <f t="shared" si="7"/>
        <v>0</v>
      </c>
      <c r="U11" s="3424"/>
      <c r="V11" s="66"/>
      <c r="W11" s="66"/>
      <c r="X11" s="1039"/>
      <c r="Y11" s="71"/>
      <c r="Z11" s="84"/>
      <c r="AA11" s="66"/>
      <c r="AB11" s="66"/>
      <c r="AC11" s="1039"/>
      <c r="AD11" s="73"/>
      <c r="AE11" s="1040">
        <f t="shared" ca="1" si="1"/>
        <v>0</v>
      </c>
      <c r="AF11" s="1346"/>
      <c r="AG11" s="137">
        <f t="shared" si="8"/>
        <v>0</v>
      </c>
      <c r="AH11" s="74"/>
      <c r="AI11" s="76"/>
      <c r="AJ11" s="77"/>
      <c r="AK11" s="85"/>
      <c r="AL11" s="86"/>
      <c r="AM11" s="87"/>
      <c r="AN11" s="1713"/>
      <c r="AO11" s="52" t="e">
        <f t="shared" ca="1" si="2"/>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3"/>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70">
        <f t="shared" si="7"/>
        <v>0</v>
      </c>
      <c r="U12" s="3424"/>
      <c r="V12" s="66"/>
      <c r="W12" s="66"/>
      <c r="X12" s="1039"/>
      <c r="Y12" s="71"/>
      <c r="Z12" s="84"/>
      <c r="AA12" s="66"/>
      <c r="AB12" s="66"/>
      <c r="AC12" s="1039"/>
      <c r="AD12" s="73"/>
      <c r="AE12" s="1040">
        <f t="shared" ca="1" si="1"/>
        <v>0</v>
      </c>
      <c r="AF12" s="1346"/>
      <c r="AG12" s="137">
        <f t="shared" si="8"/>
        <v>0</v>
      </c>
      <c r="AH12" s="74"/>
      <c r="AI12" s="76"/>
      <c r="AJ12" s="77"/>
      <c r="AK12" s="85"/>
      <c r="AL12" s="86"/>
      <c r="AM12" s="87"/>
      <c r="AN12" s="1713"/>
      <c r="AO12" s="52" t="e">
        <f t="shared" ca="1" si="2"/>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3"/>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70">
        <f t="shared" si="7"/>
        <v>0</v>
      </c>
      <c r="U13" s="3426"/>
      <c r="V13" s="70"/>
      <c r="W13" s="70"/>
      <c r="X13" s="1039"/>
      <c r="Y13" s="71"/>
      <c r="Z13" s="72"/>
      <c r="AA13" s="66"/>
      <c r="AB13" s="66"/>
      <c r="AC13" s="1039"/>
      <c r="AD13" s="73"/>
      <c r="AE13" s="1040">
        <f t="shared" ca="1" si="1"/>
        <v>0</v>
      </c>
      <c r="AF13" s="1346"/>
      <c r="AG13" s="137">
        <f t="shared" si="8"/>
        <v>0</v>
      </c>
      <c r="AH13" s="74"/>
      <c r="AI13" s="76"/>
      <c r="AJ13" s="77"/>
      <c r="AK13" s="78"/>
      <c r="AL13" s="79"/>
      <c r="AM13" s="80"/>
      <c r="AN13" s="1713"/>
      <c r="AO13" s="52" t="e">
        <f t="shared" ca="1" si="2"/>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5"/>
        <v>——</v>
      </c>
      <c r="P14" s="68" t="str">
        <f t="shared" si="6"/>
        <v>——</v>
      </c>
      <c r="Q14" s="1032"/>
      <c r="R14" s="69"/>
      <c r="S14" s="51"/>
      <c r="T14" s="1170"/>
      <c r="U14" s="669"/>
      <c r="V14" s="1034"/>
      <c r="W14" s="1034"/>
      <c r="X14" s="1035"/>
      <c r="Y14" s="1036"/>
      <c r="Z14" s="1037"/>
      <c r="AA14" s="1038"/>
      <c r="AB14" s="1038"/>
      <c r="AC14" s="1039"/>
      <c r="AD14" s="1035"/>
      <c r="AE14" s="1040"/>
      <c r="AF14" s="52"/>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0.81799999999999995</v>
      </c>
      <c r="H16" s="90">
        <f>ROUND(SUMPRODUCT(H6:H13,K6:K13)/SUMPRODUCT((H6:H13&gt;0)*(K6:K13)),3)</f>
        <v>0.05</v>
      </c>
      <c r="I16" s="91"/>
      <c r="J16" s="91"/>
      <c r="K16" s="92">
        <f>SUM(K6:K15)</f>
        <v>4796.0099999999993</v>
      </c>
      <c r="L16" s="93">
        <f>ROUND(M16*10000/SUM(K6:K14),0)</f>
        <v>3999</v>
      </c>
      <c r="M16" s="93">
        <f>SUM(M6:M14)</f>
        <v>1918</v>
      </c>
      <c r="N16" s="94">
        <f>ROUND(SUMPRODUCT(M6:M14,N6:N14)/M16,3)</f>
        <v>0.9</v>
      </c>
      <c r="O16" s="93">
        <f>SUM(O6:O14)</f>
        <v>0</v>
      </c>
      <c r="P16" s="93">
        <f>SUM(P6:P14)</f>
        <v>0</v>
      </c>
      <c r="Q16" s="95">
        <f>ROUND(SUMPRODUCT(Q6:Q13,K6:K13)/SUMPRODUCT((Q6:Q13&gt;0)*(K6:K13)),2)</f>
        <v>0.15</v>
      </c>
      <c r="R16" s="1033">
        <f ca="1">SUM(R6:R13)</f>
        <v>2328.75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3446" t="s">
        <v>3397</v>
      </c>
      <c r="O18" s="2668">
        <v>70</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2305</v>
      </c>
      <c r="D19" s="2673"/>
      <c r="E19" s="2670"/>
      <c r="F19" s="2670"/>
      <c r="G19" s="2670"/>
      <c r="H19" s="2670"/>
      <c r="I19" s="2670"/>
      <c r="J19" s="2670"/>
      <c r="K19" s="2669"/>
      <c r="L19" s="2669"/>
      <c r="M19" s="2668"/>
      <c r="N19" s="3446" t="s">
        <v>3416</v>
      </c>
      <c r="O19" s="2668">
        <f>ROUND(1-(1-2%)*(2024-1970)/50,2)</f>
        <v>-0.06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3472">
        <v>1.5</v>
      </c>
      <c r="C20" s="2796" t="s">
        <v>2303</v>
      </c>
      <c r="D20" s="2673"/>
      <c r="E20" s="2670"/>
      <c r="F20" s="2670"/>
      <c r="G20" s="2670"/>
      <c r="H20" s="2670"/>
      <c r="I20" s="2670"/>
      <c r="J20" s="2670"/>
      <c r="K20" s="2669"/>
      <c r="L20" s="2669"/>
      <c r="M20" s="2668"/>
      <c r="N20" s="3446" t="s">
        <v>3417</v>
      </c>
      <c r="O20" s="3476">
        <v>0.9</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3472">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2670"/>
      <c r="J24" s="1679"/>
      <c r="K24" s="24"/>
      <c r="L24" s="24"/>
      <c r="M24" s="1679"/>
      <c r="N24" s="1679"/>
      <c r="O24" s="1679"/>
      <c r="P24" s="1679"/>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1679"/>
      <c r="K25" s="24"/>
      <c r="L25" s="24"/>
      <c r="M25" s="1679"/>
      <c r="N25" s="1679"/>
      <c r="O25" s="1679"/>
      <c r="P25" s="1679"/>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1679"/>
      <c r="K26" s="24"/>
      <c r="L26" s="24"/>
      <c r="M26" s="1679"/>
      <c r="N26" s="1679"/>
      <c r="O26" s="1679"/>
      <c r="P26" s="1679"/>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160</v>
      </c>
      <c r="C27" s="2797" t="s">
        <v>2307</v>
      </c>
      <c r="D27" s="2676"/>
      <c r="E27" s="2658"/>
      <c r="F27" s="2658"/>
      <c r="G27" s="2670"/>
      <c r="H27" s="2670"/>
      <c r="I27" s="2670"/>
      <c r="J27" s="793"/>
      <c r="K27" s="793"/>
      <c r="L27" s="793"/>
      <c r="M27" s="793"/>
      <c r="N27" s="793"/>
      <c r="O27" s="793"/>
      <c r="P27" s="793"/>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09">
        <v>200</v>
      </c>
      <c r="C28" s="2677"/>
      <c r="D28" s="2676"/>
      <c r="E28" s="2658"/>
      <c r="F28" s="2658"/>
      <c r="G28" s="2670"/>
      <c r="H28" s="2670"/>
      <c r="I28" s="2670"/>
      <c r="J28" s="793"/>
      <c r="K28" s="793"/>
      <c r="L28" s="793"/>
      <c r="M28" s="793"/>
      <c r="N28" s="793"/>
      <c r="O28" s="793"/>
      <c r="P28" s="793"/>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1">
        <f ca="1">成本法!C10</f>
        <v>96</v>
      </c>
      <c r="C29" s="2798" t="s">
        <v>2294</v>
      </c>
      <c r="D29" s="2676"/>
      <c r="E29" s="2658"/>
      <c r="F29" s="2658"/>
      <c r="G29" s="2670"/>
      <c r="H29" s="2670"/>
      <c r="I29" s="2670"/>
      <c r="J29" s="793"/>
      <c r="K29" s="793"/>
      <c r="L29" s="793"/>
      <c r="M29" s="793"/>
      <c r="N29" s="793"/>
      <c r="O29" s="793"/>
      <c r="P29" s="793"/>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793"/>
      <c r="K30" s="793"/>
      <c r="L30" s="793"/>
      <c r="M30" s="793"/>
      <c r="N30" s="793"/>
      <c r="O30" s="793"/>
      <c r="P30" s="793"/>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0">
        <f>B30-B32</f>
        <v>200</v>
      </c>
      <c r="C31" s="2675"/>
      <c r="D31" s="2676"/>
      <c r="E31" s="2658"/>
      <c r="F31" s="2658"/>
      <c r="G31" s="2670"/>
      <c r="H31" s="2670"/>
      <c r="I31" s="2670"/>
      <c r="J31" s="793"/>
      <c r="K31" s="793"/>
      <c r="L31" s="793"/>
      <c r="M31" s="793"/>
      <c r="N31" s="793"/>
      <c r="O31" s="793"/>
      <c r="P31" s="793"/>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793"/>
      <c r="K32" s="793"/>
      <c r="L32" s="793"/>
      <c r="M32" s="793"/>
      <c r="N32" s="793"/>
      <c r="O32" s="793"/>
      <c r="P32" s="793"/>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2295</v>
      </c>
      <c r="D33" s="2673"/>
      <c r="E33" s="2670"/>
      <c r="F33" s="2670"/>
      <c r="G33" s="2670"/>
      <c r="H33" s="2670"/>
      <c r="I33" s="2670"/>
      <c r="J33" s="793"/>
      <c r="K33" s="793"/>
      <c r="L33" s="793"/>
      <c r="M33" s="793"/>
      <c r="N33" s="793"/>
      <c r="O33" s="793"/>
      <c r="P33" s="793"/>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2">
        <v>0</v>
      </c>
      <c r="C34" s="2799" t="s">
        <v>2296</v>
      </c>
      <c r="D34" s="2681" t="s">
        <v>2304</v>
      </c>
      <c r="E34" s="2679"/>
      <c r="F34" s="2670"/>
      <c r="G34" s="2670"/>
      <c r="H34" s="2670"/>
      <c r="I34" s="2670"/>
      <c r="J34" s="793"/>
      <c r="K34" s="793"/>
      <c r="L34" s="793"/>
      <c r="M34" s="793"/>
      <c r="N34" s="793"/>
      <c r="O34" s="793"/>
      <c r="P34" s="793"/>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09">
        <v>200</v>
      </c>
      <c r="C35" s="2799"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799"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0.02</v>
      </c>
      <c r="C37" s="2799"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0.02</v>
      </c>
      <c r="C38" s="2799"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1" t="s">
        <v>2314</v>
      </c>
      <c r="B40" s="1077">
        <v>3.3500000000000002E-2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7.0000000000000007E-2</v>
      </c>
      <c r="C44" s="2799"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8"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8"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1"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8"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8"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144</v>
      </c>
      <c r="C53" s="2658" t="s">
        <v>1246</v>
      </c>
      <c r="D53" s="2800"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f>C54</f>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89" t="s">
        <v>2286</v>
      </c>
      <c r="B1" s="3590"/>
      <c r="C1" s="3590"/>
      <c r="D1" s="3590"/>
      <c r="E1" s="3590"/>
      <c r="F1" s="3590"/>
      <c r="G1" s="359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6.75">
      <c r="A4" s="2439"/>
      <c r="B4" s="322" t="s">
        <v>2254</v>
      </c>
      <c r="C4" s="2465" t="s">
        <v>2255</v>
      </c>
      <c r="D4" s="2462"/>
      <c r="E4" s="2466"/>
      <c r="F4" s="1371" t="s">
        <v>2256</v>
      </c>
      <c r="G4" s="2467" t="s">
        <v>2257</v>
      </c>
      <c r="H4" s="798"/>
      <c r="I4" s="798"/>
      <c r="J4" s="798"/>
      <c r="K4" s="798"/>
      <c r="L4" s="798"/>
      <c r="M4" s="798"/>
      <c r="N4" s="798"/>
      <c r="O4" s="798"/>
      <c r="P4" s="798"/>
      <c r="Q4" s="798"/>
      <c r="R4" s="798"/>
    </row>
    <row r="5" spans="1:29" ht="36.75">
      <c r="A5" s="2439"/>
      <c r="B5" s="322" t="s">
        <v>2258</v>
      </c>
      <c r="C5" s="2465" t="s">
        <v>2259</v>
      </c>
      <c r="D5" s="2462"/>
      <c r="E5" s="2466"/>
      <c r="F5" s="322" t="s">
        <v>2260</v>
      </c>
      <c r="G5" s="2467" t="s">
        <v>2261</v>
      </c>
      <c r="H5" s="798"/>
      <c r="I5" s="798"/>
      <c r="J5" s="798"/>
      <c r="K5" s="798"/>
      <c r="L5" s="798"/>
      <c r="M5" s="798"/>
      <c r="N5" s="798"/>
      <c r="O5" s="798"/>
      <c r="P5" s="798"/>
      <c r="Q5" s="798"/>
      <c r="R5" s="798"/>
    </row>
    <row r="6" spans="1:29" ht="36">
      <c r="A6" s="2439"/>
      <c r="B6" s="322" t="s">
        <v>2262</v>
      </c>
      <c r="C6" s="2467" t="s">
        <v>2257</v>
      </c>
      <c r="D6" s="2462"/>
      <c r="E6" s="2466"/>
      <c r="F6" s="322" t="s">
        <v>2263</v>
      </c>
      <c r="G6" s="2467" t="s">
        <v>2264</v>
      </c>
      <c r="H6" s="798"/>
      <c r="I6" s="798"/>
      <c r="J6" s="798"/>
      <c r="K6" s="798"/>
      <c r="L6" s="798"/>
      <c r="M6" s="798"/>
      <c r="N6" s="798"/>
      <c r="O6" s="798"/>
      <c r="P6" s="798"/>
      <c r="Q6" s="798"/>
      <c r="R6" s="798"/>
    </row>
    <row r="7" spans="1:29" ht="24.75" thickBot="1">
      <c r="A7" s="2439"/>
      <c r="B7" s="322" t="s">
        <v>2260</v>
      </c>
      <c r="C7" s="2467" t="s">
        <v>2261</v>
      </c>
      <c r="D7" s="2468"/>
      <c r="E7" s="2469"/>
      <c r="F7" s="2470" t="s">
        <v>2265</v>
      </c>
      <c r="G7" s="2471" t="s">
        <v>2266</v>
      </c>
      <c r="H7" s="798"/>
      <c r="I7" s="798"/>
      <c r="J7" s="798"/>
      <c r="K7" s="798"/>
      <c r="L7" s="798"/>
      <c r="M7" s="798"/>
      <c r="N7" s="798"/>
      <c r="O7" s="798"/>
      <c r="P7" s="798"/>
      <c r="Q7" s="798"/>
      <c r="R7" s="798"/>
    </row>
    <row r="8" spans="1:29">
      <c r="A8" s="2439"/>
      <c r="B8" s="322" t="s">
        <v>2263</v>
      </c>
      <c r="C8" s="2467" t="s">
        <v>2264</v>
      </c>
      <c r="D8" s="2468"/>
      <c r="E8" s="2468"/>
      <c r="F8" s="2472"/>
      <c r="G8" s="2472"/>
      <c r="H8" s="798"/>
      <c r="I8" s="798"/>
      <c r="J8" s="798"/>
      <c r="K8" s="798"/>
      <c r="L8" s="798"/>
      <c r="M8" s="798"/>
      <c r="N8" s="798"/>
      <c r="O8" s="798"/>
      <c r="P8" s="798"/>
      <c r="Q8" s="798"/>
      <c r="R8" s="798"/>
    </row>
    <row r="9" spans="1:29" ht="24">
      <c r="A9" s="2439"/>
      <c r="B9" s="322" t="s">
        <v>2267</v>
      </c>
      <c r="C9" s="2465" t="s">
        <v>2268</v>
      </c>
      <c r="D9" s="2462"/>
      <c r="E9" s="2468"/>
      <c r="F9" s="2472"/>
      <c r="G9" s="2472"/>
      <c r="H9" s="798"/>
      <c r="I9" s="798"/>
      <c r="J9" s="798"/>
      <c r="K9" s="798"/>
      <c r="L9" s="798"/>
      <c r="M9" s="798"/>
      <c r="N9" s="798"/>
      <c r="O9" s="798"/>
      <c r="P9" s="798"/>
      <c r="Q9" s="798"/>
      <c r="R9" s="798"/>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2"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2" t="s">
        <v>2263</v>
      </c>
      <c r="G20" s="2500" t="str">
        <f>G6</f>
        <v>估价对象所在区域基础设施水平</v>
      </c>
    </row>
    <row r="21" spans="1:18" ht="25.5">
      <c r="A21" s="2443"/>
      <c r="B21" s="322" t="s">
        <v>2260</v>
      </c>
      <c r="C21" s="2500" t="str">
        <f>C7</f>
        <v>估价对象所在区域公共配套设施齐备情况</v>
      </c>
      <c r="D21" s="2462"/>
      <c r="E21" s="2444"/>
      <c r="F21" s="2499" t="s">
        <v>2278</v>
      </c>
      <c r="G21" s="2502"/>
    </row>
    <row r="22" spans="1:18" ht="13.5" customHeight="1">
      <c r="A22" s="2443"/>
      <c r="B22" s="322" t="s">
        <v>2263</v>
      </c>
      <c r="C22" s="2500" t="str">
        <f>C8</f>
        <v>估价对象所在区域基础设施水平</v>
      </c>
      <c r="D22" s="2462"/>
      <c r="E22" s="2444"/>
      <c r="F22" s="2499" t="s">
        <v>2269</v>
      </c>
      <c r="G22" s="2501"/>
    </row>
    <row r="23" spans="1:18" s="798" customFormat="1" ht="15"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8" customFormat="1" ht="15"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4796.0099999999993</v>
      </c>
      <c r="C1" s="2683"/>
      <c r="D1" s="2683"/>
      <c r="E1" s="2683"/>
      <c r="F1" s="2683"/>
      <c r="G1" s="2684"/>
      <c r="H1" s="2685"/>
      <c r="I1" s="2685"/>
      <c r="J1" s="2685"/>
      <c r="K1" s="2685"/>
    </row>
    <row r="2" spans="1:11" ht="16.5">
      <c r="A2" s="2509" t="s">
        <v>653</v>
      </c>
      <c r="B2" s="2509">
        <f>SUM(C14:C23)</f>
        <v>2328.75</v>
      </c>
      <c r="C2" s="2683"/>
      <c r="D2" s="2683"/>
      <c r="E2" s="2683"/>
      <c r="F2" s="2683"/>
      <c r="G2" s="2684"/>
      <c r="H2" s="2685"/>
      <c r="I2" s="2685"/>
      <c r="J2" s="2685"/>
      <c r="K2" s="2685"/>
    </row>
    <row r="3" spans="1:11" ht="16.5">
      <c r="A3" s="2509" t="s">
        <v>662</v>
      </c>
      <c r="B3" s="2511">
        <f>项目基本情况!D3</f>
        <v>45512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21342</v>
      </c>
      <c r="C5" s="2509">
        <f ca="1">IF(B5=D14,结果表!H102,ROUND(B5*10000/$B$1,0))</f>
        <v>44500</v>
      </c>
      <c r="D5" s="2509">
        <f ca="1">ROUND(B5*10000/$B$2,0)</f>
        <v>91646</v>
      </c>
      <c r="E5" s="2683"/>
      <c r="F5" s="2684"/>
      <c r="G5" s="2684"/>
      <c r="H5" s="2685"/>
      <c r="I5" s="2685"/>
      <c r="J5" s="2685"/>
      <c r="K5" s="2685"/>
    </row>
    <row r="6" spans="1:11" ht="16.5">
      <c r="A6" s="2509" t="s">
        <v>656</v>
      </c>
      <c r="B6" s="2509">
        <f>SUM(G14:G23)</f>
        <v>0</v>
      </c>
      <c r="C6" s="2509">
        <f ca="1">IF(B6=G14,结果表!H108,ROUND(B6*10000/$B$1,0))</f>
        <v>44500</v>
      </c>
      <c r="D6" s="2509">
        <f>ROUND(B6*10000/$B$2,0)</f>
        <v>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7"/>
      <c r="F10" s="3441" t="s">
        <v>3361</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'数据-汇总表'!E19</f>
        <v>4796.0099999999993</v>
      </c>
      <c r="C14" s="2515">
        <f>'数据-汇总表'!D19</f>
        <v>2328.75</v>
      </c>
      <c r="D14" s="2515">
        <f ca="1">结果表!H101</f>
        <v>21342</v>
      </c>
      <c r="E14" s="2515">
        <f ca="1">ROUND(D14*10000/B14,0)</f>
        <v>44499</v>
      </c>
      <c r="F14" s="2515">
        <f ca="1">ROUND(D14*10000/C14,0)</f>
        <v>91646</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7" sqref="J2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t="s">
        <v>673</v>
      </c>
      <c r="D1" s="1745"/>
      <c r="E1" s="1745"/>
      <c r="F1" s="1747" t="s">
        <v>1263</v>
      </c>
      <c r="G1" s="1559" t="s">
        <v>3392</v>
      </c>
      <c r="H1" s="1748" t="str">
        <f>IF(G1="现房","——","估价对象范围")</f>
        <v>——</v>
      </c>
      <c r="I1" s="1749"/>
    </row>
    <row r="2" spans="1:12" ht="21.75" customHeight="1" thickBot="1">
      <c r="A2" s="3625" t="str">
        <f>项目基本情况!S2</f>
        <v>北京市东城区智德北巷5号房地产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2" t="s">
        <v>1265</v>
      </c>
      <c r="B4" s="1753" t="s">
        <v>1266</v>
      </c>
      <c r="C4" s="1754" t="s">
        <v>3875</v>
      </c>
      <c r="D4" s="1754" t="s">
        <v>3401</v>
      </c>
      <c r="E4" s="3631" t="s">
        <v>1267</v>
      </c>
      <c r="F4" s="3632"/>
      <c r="G4" s="3632"/>
      <c r="H4" s="3632"/>
      <c r="I4" s="3633"/>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1268</v>
      </c>
      <c r="B5" s="3592">
        <v>25</v>
      </c>
      <c r="C5" s="3608"/>
      <c r="D5" s="3628"/>
      <c r="E5" s="130" t="s">
        <v>1269</v>
      </c>
      <c r="F5" s="1755"/>
      <c r="G5" s="1755"/>
      <c r="H5" s="1755"/>
      <c r="I5" s="1371"/>
    </row>
    <row r="6" spans="1:12" ht="12.75">
      <c r="A6" s="3605"/>
      <c r="B6" s="3592"/>
      <c r="C6" s="3609"/>
      <c r="D6" s="3628"/>
      <c r="E6" s="130" t="s">
        <v>1270</v>
      </c>
      <c r="F6" s="1755"/>
      <c r="G6" s="1755"/>
      <c r="H6" s="1755"/>
      <c r="I6" s="1371"/>
    </row>
    <row r="7" spans="1:12" ht="12.75">
      <c r="A7" s="3605"/>
      <c r="B7" s="3592"/>
      <c r="C7" s="3610"/>
      <c r="D7" s="3628"/>
      <c r="E7" s="130" t="s">
        <v>1271</v>
      </c>
      <c r="F7" s="1755"/>
      <c r="G7" s="1755"/>
      <c r="H7" s="1755"/>
      <c r="I7" s="1371"/>
    </row>
    <row r="8" spans="1:12" ht="12.75">
      <c r="A8" s="3605" t="s">
        <v>1272</v>
      </c>
      <c r="B8" s="3592">
        <v>15</v>
      </c>
      <c r="C8" s="3608"/>
      <c r="D8" s="3628"/>
      <c r="E8" s="130" t="s">
        <v>1273</v>
      </c>
      <c r="F8" s="1755"/>
      <c r="G8" s="1755"/>
      <c r="H8" s="1755"/>
      <c r="I8" s="1371"/>
    </row>
    <row r="9" spans="1:12" ht="12.75">
      <c r="A9" s="3605"/>
      <c r="B9" s="3592"/>
      <c r="C9" s="3610"/>
      <c r="D9" s="3628"/>
      <c r="E9" s="130" t="s">
        <v>1274</v>
      </c>
      <c r="F9" s="1755"/>
      <c r="G9" s="1755"/>
      <c r="H9" s="1755"/>
      <c r="I9" s="1371"/>
    </row>
    <row r="10" spans="1:12" ht="12.75">
      <c r="A10" s="3605" t="s">
        <v>1275</v>
      </c>
      <c r="B10" s="3592">
        <v>15</v>
      </c>
      <c r="C10" s="3608"/>
      <c r="D10" s="3628"/>
      <c r="E10" s="130" t="s">
        <v>1276</v>
      </c>
      <c r="F10" s="1755"/>
      <c r="G10" s="1755"/>
      <c r="H10" s="1755"/>
      <c r="I10" s="1371"/>
    </row>
    <row r="11" spans="1:12" ht="12.75">
      <c r="A11" s="3605"/>
      <c r="B11" s="3592"/>
      <c r="C11" s="3610"/>
      <c r="D11" s="3628"/>
      <c r="E11" s="130" t="s">
        <v>1277</v>
      </c>
      <c r="F11" s="1755"/>
      <c r="G11" s="1755"/>
      <c r="H11" s="1755"/>
      <c r="I11" s="1371"/>
    </row>
    <row r="12" spans="1:12" ht="12.75">
      <c r="A12" s="3605" t="s">
        <v>1278</v>
      </c>
      <c r="B12" s="3592">
        <v>15</v>
      </c>
      <c r="C12" s="3608"/>
      <c r="D12" s="3628"/>
      <c r="E12" s="130" t="s">
        <v>1279</v>
      </c>
      <c r="F12" s="1755"/>
      <c r="G12" s="1755"/>
      <c r="H12" s="1755"/>
      <c r="I12" s="1371"/>
    </row>
    <row r="13" spans="1:12" ht="12.75">
      <c r="A13" s="3605"/>
      <c r="B13" s="3592"/>
      <c r="C13" s="3610"/>
      <c r="D13" s="3628"/>
      <c r="E13" s="130" t="s">
        <v>1280</v>
      </c>
      <c r="F13" s="1755"/>
      <c r="G13" s="1755"/>
      <c r="H13" s="1755"/>
      <c r="I13" s="1371"/>
    </row>
    <row r="14" spans="1:12" ht="12.75">
      <c r="A14" s="3605" t="s">
        <v>1281</v>
      </c>
      <c r="B14" s="3592">
        <v>30</v>
      </c>
      <c r="C14" s="3608">
        <v>7</v>
      </c>
      <c r="D14" s="3628">
        <v>3</v>
      </c>
      <c r="E14" s="130" t="s">
        <v>1282</v>
      </c>
      <c r="F14" s="1755"/>
      <c r="G14" s="1755"/>
      <c r="H14" s="1755"/>
      <c r="I14" s="1371"/>
    </row>
    <row r="15" spans="1:12" ht="12.75">
      <c r="A15" s="3605"/>
      <c r="B15" s="3592"/>
      <c r="C15" s="3609"/>
      <c r="D15" s="3628"/>
      <c r="E15" s="130" t="s">
        <v>1283</v>
      </c>
      <c r="F15" s="1755"/>
      <c r="G15" s="1755"/>
      <c r="H15" s="1755"/>
      <c r="I15" s="1371"/>
    </row>
    <row r="16" spans="1:12" ht="12.75">
      <c r="A16" s="3605"/>
      <c r="B16" s="3592"/>
      <c r="C16" s="3610"/>
      <c r="D16" s="3628"/>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15" t="s">
        <v>2131</v>
      </c>
      <c r="F18" s="3616"/>
      <c r="G18" s="3616"/>
      <c r="H18" s="3616"/>
      <c r="I18" s="3616"/>
      <c r="K18" s="301" t="s">
        <v>1289</v>
      </c>
      <c r="L18" s="301">
        <f>IF(C1="",'数据-汇总表'!E3,SUMIF(项目类型,C1,'数据-汇总表'!E17:E26)+SUMIF(项目类型,C1,'数据-汇总表'!I17:I26))</f>
        <v>4796.0099999999993</v>
      </c>
      <c r="M18" s="301">
        <f>IF(C1="",'数据-汇总表'!E3,SUMIF(项目类型,C1,'数据-汇总表'!E17:E26))</f>
        <v>4796.0099999999993</v>
      </c>
    </row>
    <row r="19" spans="1:36" ht="15">
      <c r="A19" s="1759" t="s">
        <v>1290</v>
      </c>
      <c r="B19" s="1760" t="s">
        <v>1291</v>
      </c>
      <c r="C19" s="133">
        <f ca="1">SUMIF(INDIRECT("'"&amp;C4&amp;"'"&amp;"!A:A"),结果表!B19,INDIRECT("'"&amp;C4&amp;"'"&amp;"!B:B"))</f>
        <v>23546</v>
      </c>
      <c r="D19" s="134">
        <f ca="1">SUMIF(INDIRECT("'"&amp;D4&amp;"'"&amp;"!A:A"),结果表!B19,INDIRECT("'"&amp;D4&amp;"'"&amp;"!B:B"))</f>
        <v>16201</v>
      </c>
      <c r="E19" s="1759" t="s">
        <v>1292</v>
      </c>
      <c r="F19" s="1760" t="s">
        <v>1291</v>
      </c>
      <c r="G19" s="135">
        <f ca="1">ROUND(C19*$C$18+D19*$D$18,0)</f>
        <v>21343</v>
      </c>
      <c r="H19" s="1761" t="s">
        <v>1293</v>
      </c>
      <c r="I19" s="128"/>
      <c r="K19" s="301" t="s">
        <v>1294</v>
      </c>
      <c r="L19" s="301">
        <f>IF(C1="",'数据-汇总表'!D3,SUMIF(项目类型,C1,'数据-汇总表'!D17:D26)+SUMIF(项目类型,C1,'数据-汇总表'!H17:H27))</f>
        <v>2328.75</v>
      </c>
      <c r="M19" s="301">
        <f>IF(C1="",'数据-汇总表'!D3,SUMIF(项目类型,C1,'数据-汇总表'!D17:D26))</f>
        <v>2328.75</v>
      </c>
    </row>
    <row r="20" spans="1:36" ht="15">
      <c r="A20" s="1762"/>
      <c r="B20" s="1025" t="s">
        <v>1295</v>
      </c>
      <c r="C20" s="136">
        <f ca="1">SUMIF(INDIRECT("'"&amp;C4&amp;"'"&amp;"!A:A"),结果表!B20,INDIRECT("'"&amp;C4&amp;"'"&amp;"!B:B"))</f>
        <v>49094</v>
      </c>
      <c r="D20" s="137">
        <f ca="1">SUMIF(INDIRECT("'"&amp;D4&amp;"'"&amp;"!A:A"),结果表!B20,INDIRECT("'"&amp;D4&amp;"'"&amp;"!B:B"))</f>
        <v>33780</v>
      </c>
      <c r="E20" s="1762"/>
      <c r="F20" s="1025" t="s">
        <v>1295</v>
      </c>
      <c r="G20" s="138">
        <f ca="1">ROUND(C20*$C$18+D20*$D$18,0)</f>
        <v>44500</v>
      </c>
      <c r="H20" s="807" t="s">
        <v>1296</v>
      </c>
      <c r="I20" s="128"/>
    </row>
    <row r="21" spans="1:36" ht="15" customHeight="1" thickBot="1">
      <c r="A21" s="827"/>
      <c r="B21" s="1763" t="s">
        <v>1297</v>
      </c>
      <c r="C21" s="718">
        <f ca="1">ROUND(C19*10000/L19,0)</f>
        <v>101110</v>
      </c>
      <c r="D21" s="719">
        <f ca="1">ROUND(D19*10000/L19,0)</f>
        <v>69570</v>
      </c>
      <c r="E21" s="827"/>
      <c r="F21" s="1763" t="s">
        <v>1297</v>
      </c>
      <c r="G21" s="139">
        <f ca="1">ROUND(G19*10000/L19,0)</f>
        <v>91650</v>
      </c>
      <c r="H21" s="1764" t="s">
        <v>1296</v>
      </c>
      <c r="I21" s="128"/>
    </row>
    <row r="22" spans="1:36" ht="15" thickBot="1">
      <c r="A22" s="1686" t="s">
        <v>1298</v>
      </c>
      <c r="B22" s="1765"/>
      <c r="C22" s="1766"/>
      <c r="D22" s="720">
        <f ca="1">IF(C19&lt;D19,D19/C19-1,C19/D19-1)</f>
        <v>0.45336707610641325</v>
      </c>
      <c r="E22" s="128"/>
      <c r="F22" s="128"/>
      <c r="G22" s="128"/>
      <c r="H22" s="128"/>
      <c r="I22" s="128"/>
      <c r="L22" s="724" t="s">
        <v>3886</v>
      </c>
    </row>
    <row r="23" spans="1:36" ht="13.5" thickBot="1">
      <c r="A23" s="1745"/>
      <c r="B23" s="1745"/>
      <c r="C23" s="1745"/>
      <c r="D23" s="1745"/>
      <c r="E23" s="128"/>
      <c r="F23" s="128"/>
      <c r="G23" s="128"/>
      <c r="H23" s="128"/>
      <c r="I23" s="128"/>
    </row>
    <row r="24" spans="1:36" ht="14.25">
      <c r="A24" s="3599" t="s">
        <v>1299</v>
      </c>
      <c r="B24" s="1760" t="s">
        <v>1291</v>
      </c>
      <c r="C24" s="135">
        <f>IF(B30=0,0,D30)</f>
        <v>0</v>
      </c>
      <c r="D24" s="1767"/>
      <c r="E24" s="128"/>
      <c r="F24" s="128"/>
      <c r="G24" s="128"/>
      <c r="H24" s="128"/>
      <c r="I24" s="128"/>
    </row>
    <row r="25" spans="1:36" ht="14.25">
      <c r="A25" s="3600"/>
      <c r="B25" s="1025"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44500</v>
      </c>
      <c r="D32" s="1773" t="s">
        <v>3438</v>
      </c>
      <c r="E32" s="128"/>
      <c r="F32" s="128"/>
      <c r="G32" s="128"/>
      <c r="H32" s="128"/>
      <c r="I32" s="128"/>
    </row>
    <row r="33" spans="1:15" ht="15">
      <c r="A33" s="785" t="s">
        <v>1306</v>
      </c>
      <c r="B33" s="1774"/>
      <c r="C33" s="1775" t="s">
        <v>3412</v>
      </c>
      <c r="D33" s="1776"/>
      <c r="E33" s="1777" t="s">
        <v>1307</v>
      </c>
      <c r="F33" s="1778" t="str">
        <f>IF(D32="楼面单价","取值（单价）","取值（总价）")</f>
        <v>取值（单价）</v>
      </c>
      <c r="G33" s="128"/>
      <c r="H33" s="128"/>
      <c r="I33" s="128"/>
    </row>
    <row r="34" spans="1:15" ht="15">
      <c r="A34" s="1779"/>
      <c r="B34" s="1780" t="s">
        <v>1308</v>
      </c>
      <c r="C34" s="147">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19" t="s">
        <v>1312</v>
      </c>
      <c r="B36" s="1785" t="s">
        <v>1313</v>
      </c>
      <c r="C36" s="144"/>
      <c r="D36" s="1786"/>
      <c r="E36" s="1787"/>
      <c r="F36" s="1788"/>
      <c r="G36" s="128"/>
      <c r="H36" s="128"/>
      <c r="I36" s="128"/>
    </row>
    <row r="37" spans="1:15" ht="15.75" thickBot="1">
      <c r="A37" s="3620"/>
      <c r="B37" s="1672" t="s">
        <v>1314</v>
      </c>
      <c r="C37" s="146"/>
      <c r="D37" s="1137"/>
      <c r="E37" s="1137"/>
      <c r="F37" s="1788"/>
      <c r="G37" s="128"/>
      <c r="H37" s="128"/>
      <c r="I37" s="128"/>
    </row>
    <row r="38" spans="1:15" ht="15.75" thickBot="1">
      <c r="A38" s="3621"/>
      <c r="B38" s="1789" t="s">
        <v>1315</v>
      </c>
      <c r="C38" s="673"/>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96" t="s">
        <v>1326</v>
      </c>
      <c r="B45" s="3597"/>
      <c r="C45" s="3598"/>
      <c r="D45" s="154">
        <f ca="1">ROUND(H101*F45,0)</f>
        <v>21342</v>
      </c>
      <c r="E45" s="155" t="s">
        <v>1327</v>
      </c>
      <c r="F45" s="156">
        <v>1</v>
      </c>
      <c r="G45" s="157" t="s">
        <v>1328</v>
      </c>
      <c r="H45" s="128"/>
      <c r="I45" s="128"/>
      <c r="J45" s="3674" t="s">
        <v>1329</v>
      </c>
      <c r="K45" s="3674"/>
      <c r="L45" s="3674"/>
      <c r="M45" s="3674"/>
      <c r="N45" s="3674"/>
      <c r="O45" s="3674"/>
    </row>
    <row r="46" spans="1:15" ht="14.25" customHeight="1">
      <c r="A46" s="3593" t="s">
        <v>1330</v>
      </c>
      <c r="B46" s="3594"/>
      <c r="C46" s="3594"/>
      <c r="D46" s="3594"/>
      <c r="E46" s="3594"/>
      <c r="F46" s="3594"/>
      <c r="G46" s="3595"/>
      <c r="H46" s="1804"/>
      <c r="I46" s="158"/>
      <c r="J46" s="2520">
        <v>1</v>
      </c>
      <c r="K46" s="3655" t="s">
        <v>1331</v>
      </c>
      <c r="L46" s="3655"/>
      <c r="M46" s="3675"/>
      <c r="N46" s="3675"/>
      <c r="O46" s="3675"/>
    </row>
    <row r="47" spans="1:15" ht="12" customHeight="1">
      <c r="A47" s="159" t="s">
        <v>1332</v>
      </c>
      <c r="B47" s="160"/>
      <c r="C47" s="161"/>
      <c r="D47" s="1086" t="s">
        <v>1333</v>
      </c>
      <c r="E47" s="301" t="s">
        <v>1334</v>
      </c>
      <c r="F47" s="162" t="s">
        <v>1335</v>
      </c>
      <c r="G47" s="2543" t="s">
        <v>1336</v>
      </c>
      <c r="H47" s="2544"/>
      <c r="I47" s="158"/>
      <c r="J47" s="2520">
        <v>2</v>
      </c>
      <c r="K47" s="3655" t="s">
        <v>1337</v>
      </c>
      <c r="L47" s="3655"/>
      <c r="M47" s="3676">
        <f>'数据-取费表'!B2</f>
        <v>45512</v>
      </c>
      <c r="N47" s="3676"/>
      <c r="O47" s="3676"/>
    </row>
    <row r="48" spans="1:15" ht="25.5">
      <c r="A48" s="3624" t="s">
        <v>1338</v>
      </c>
      <c r="B48" s="3607"/>
      <c r="C48" s="3607"/>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655" t="s">
        <v>1340</v>
      </c>
      <c r="L48" s="3655"/>
      <c r="M48" s="3677">
        <f ca="1">H101</f>
        <v>21342</v>
      </c>
      <c r="N48" s="3677"/>
      <c r="O48" s="3677"/>
    </row>
    <row r="49" spans="1:35" ht="25.5" customHeight="1">
      <c r="A49" s="2331" t="s">
        <v>1341</v>
      </c>
      <c r="B49" s="3591" t="s">
        <v>1342</v>
      </c>
      <c r="C49" s="3591"/>
      <c r="D49" s="1588">
        <v>0</v>
      </c>
      <c r="E49" s="323" t="s">
        <v>1343</v>
      </c>
      <c r="F49" s="2421" t="s">
        <v>28</v>
      </c>
      <c r="G49" s="3661"/>
      <c r="H49" s="2308" t="s">
        <v>2134</v>
      </c>
      <c r="I49" s="2309"/>
      <c r="J49" s="2520">
        <v>4</v>
      </c>
      <c r="K49" s="3655" t="str">
        <f>IF(项目基本情况!E8="房地产抵押价值","房地产抵押价值","抵押担保权已注销时的房地产抵押价值")</f>
        <v>房地产抵押价值</v>
      </c>
      <c r="L49" s="3655"/>
      <c r="M49" s="3677">
        <f ca="1">IF(项目基本情况!E8="房地产抵押价值",H107,H109)</f>
        <v>21342</v>
      </c>
      <c r="N49" s="3677"/>
      <c r="O49" s="3677"/>
    </row>
    <row r="50" spans="1:35" ht="25.5" customHeight="1">
      <c r="A50" s="2548"/>
      <c r="B50" s="3591" t="s">
        <v>1344</v>
      </c>
      <c r="C50" s="3591"/>
      <c r="D50" s="2549"/>
      <c r="E50" s="331"/>
      <c r="F50" s="2421"/>
      <c r="G50" s="3662"/>
      <c r="H50" s="2310" t="s">
        <v>2135</v>
      </c>
      <c r="I50" s="2309"/>
      <c r="J50" s="3674" t="s">
        <v>1345</v>
      </c>
      <c r="K50" s="3674"/>
      <c r="L50" s="3674"/>
      <c r="M50" s="3674"/>
      <c r="N50" s="3674"/>
      <c r="O50" s="3674"/>
    </row>
    <row r="51" spans="1:35" ht="20.45" customHeight="1">
      <c r="A51" s="2550"/>
      <c r="B51" s="3591" t="s">
        <v>1346</v>
      </c>
      <c r="C51" s="3591"/>
      <c r="D51" s="1086"/>
      <c r="E51" s="326"/>
      <c r="F51" s="2421"/>
      <c r="G51" s="3663"/>
      <c r="H51" s="2310" t="s">
        <v>2136</v>
      </c>
      <c r="I51" s="2309"/>
      <c r="J51" s="2521" t="s">
        <v>1347</v>
      </c>
      <c r="K51" s="3655" t="s">
        <v>1348</v>
      </c>
      <c r="L51" s="3655"/>
      <c r="M51" s="2521" t="s">
        <v>1349</v>
      </c>
      <c r="N51" s="2521" t="s">
        <v>1350</v>
      </c>
      <c r="O51" s="2521" t="s">
        <v>1351</v>
      </c>
    </row>
    <row r="52" spans="1:35" ht="24" customHeight="1">
      <c r="A52" s="2333" t="s">
        <v>1352</v>
      </c>
      <c r="B52" s="3591" t="s">
        <v>1353</v>
      </c>
      <c r="C52" s="3591"/>
      <c r="D52" s="1086">
        <f ca="1">ROUND(D45*'数据-取费表'!B41/(1+'数据-取费表'!C42),0)</f>
        <v>1138</v>
      </c>
      <c r="E52" s="2332" t="s">
        <v>1354</v>
      </c>
      <c r="F52" s="2551">
        <f>'数据-取费表'!B41</f>
        <v>5.6000000000000001E-2</v>
      </c>
      <c r="G52" s="2552"/>
      <c r="H52" s="2541"/>
      <c r="I52" s="1805"/>
      <c r="J52" s="2520">
        <v>1</v>
      </c>
      <c r="K52" s="3656" t="s">
        <v>1355</v>
      </c>
      <c r="L52" s="3656"/>
      <c r="M52" s="2522" t="b">
        <f>D48</f>
        <v>0</v>
      </c>
      <c r="N52" s="2520" t="str">
        <f>E48</f>
        <v>销售额×税（费）率</v>
      </c>
      <c r="O52" s="2523">
        <f>F48</f>
        <v>5.6000000000000001E-2</v>
      </c>
    </row>
    <row r="53" spans="1:35" ht="12" customHeight="1">
      <c r="A53" s="2333" t="s">
        <v>1356</v>
      </c>
      <c r="B53" s="3617" t="s">
        <v>2291</v>
      </c>
      <c r="C53" s="3618"/>
      <c r="D53" s="1086">
        <f ca="1">ROUND(D45*'数据-取费表'!B41/(1+'数据-取费表'!C42),0)</f>
        <v>1138</v>
      </c>
      <c r="E53" s="2332" t="s">
        <v>1354</v>
      </c>
      <c r="F53" s="2551">
        <f>'数据-取费表'!B41</f>
        <v>5.6000000000000001E-2</v>
      </c>
      <c r="G53" s="2552"/>
      <c r="H53" s="2541"/>
      <c r="I53" s="1805"/>
      <c r="J53" s="2520">
        <v>2</v>
      </c>
      <c r="K53" s="3656" t="s">
        <v>1357</v>
      </c>
      <c r="L53" s="3656"/>
      <c r="M53" s="2522">
        <f t="shared" ref="M53:O54" ca="1" si="0">D55</f>
        <v>11</v>
      </c>
      <c r="N53" s="2520" t="str">
        <f t="shared" si="0"/>
        <v>销售额×税（费）率</v>
      </c>
      <c r="O53" s="2523" t="str">
        <f t="shared" si="0"/>
        <v>免征</v>
      </c>
    </row>
    <row r="54" spans="1:35" ht="12" customHeight="1">
      <c r="A54" s="2333" t="s">
        <v>1358</v>
      </c>
      <c r="B54" s="3617" t="s">
        <v>2292</v>
      </c>
      <c r="C54" s="3618"/>
      <c r="D54" s="1086">
        <f ca="1">C68</f>
        <v>1138</v>
      </c>
      <c r="E54" s="326" t="s">
        <v>1359</v>
      </c>
      <c r="F54" s="2551">
        <f>'数据-取费表'!B41</f>
        <v>5.6000000000000001E-2</v>
      </c>
      <c r="G54" s="2552"/>
      <c r="H54" s="2553"/>
      <c r="I54" s="1805"/>
      <c r="J54" s="2520">
        <v>3</v>
      </c>
      <c r="K54" s="3656" t="s">
        <v>1360</v>
      </c>
      <c r="L54" s="3656"/>
      <c r="M54" s="2522">
        <f t="shared" ca="1" si="0"/>
        <v>12080</v>
      </c>
      <c r="N54" s="2520" t="str">
        <f t="shared" si="0"/>
        <v>增值额×税（费）率</v>
      </c>
      <c r="O54" s="2524" t="str">
        <f t="shared" si="0"/>
        <v>免征</v>
      </c>
    </row>
    <row r="55" spans="1:35" ht="24" customHeight="1">
      <c r="A55" s="3606" t="s">
        <v>1361</v>
      </c>
      <c r="B55" s="3607"/>
      <c r="C55" s="3607"/>
      <c r="D55" s="2322">
        <f ca="1">IF(H55="个人住宅",0,ROUND(D45*I55,0))</f>
        <v>11</v>
      </c>
      <c r="E55" s="2332" t="s">
        <v>1362</v>
      </c>
      <c r="F55" s="2551" t="str">
        <f>IF(H55="正常",I55,"免征")</f>
        <v>免征</v>
      </c>
      <c r="G55" s="2552"/>
      <c r="H55" s="2547"/>
      <c r="I55" s="164">
        <f>'数据-取费表'!B49</f>
        <v>5.0000000000000001E-4</v>
      </c>
      <c r="J55" s="2520">
        <f>IF(H59="非个人房产","",4)</f>
        <v>4</v>
      </c>
      <c r="K55" s="3656" t="str">
        <f>IF(H59="非个人房产","——","个人所得税")</f>
        <v>个人所得税</v>
      </c>
      <c r="L55" s="3656"/>
      <c r="M55" s="2525">
        <f ca="1">D59</f>
        <v>203</v>
      </c>
      <c r="N55" s="2038" t="str">
        <f>E59</f>
        <v>差额计税</v>
      </c>
      <c r="O55" s="2526">
        <f>F59</f>
        <v>0.01</v>
      </c>
    </row>
    <row r="56" spans="1:35" ht="24.75">
      <c r="A56" s="3606" t="s">
        <v>1363</v>
      </c>
      <c r="B56" s="3607"/>
      <c r="C56" s="3607"/>
      <c r="D56" s="2322">
        <f ca="1">IF(H56="个人住宅",D57,D58)</f>
        <v>12080</v>
      </c>
      <c r="E56" s="2332" t="s">
        <v>1364</v>
      </c>
      <c r="F56" s="2551" t="str">
        <f>IF(H56="正常",F58,"免征")</f>
        <v>免征</v>
      </c>
      <c r="G56" s="2554" t="s">
        <v>1365</v>
      </c>
      <c r="H56" s="2555"/>
      <c r="I56" s="1806"/>
      <c r="J56" s="2520" t="str">
        <f>IF(项目基本情况!K6="上海银行",IF(J55="",4,J55+1),"")</f>
        <v/>
      </c>
      <c r="K56" s="3679" t="str">
        <f>IF(项目基本情况!K6="上海银行","其他处置费用","")</f>
        <v/>
      </c>
      <c r="L56" s="3680"/>
      <c r="M56" s="2522" t="str">
        <f>IF(项目基本情况!K6="上海银行",M69,"")</f>
        <v/>
      </c>
      <c r="N56" s="3679" t="str">
        <f>IF(项目基本情况!K6="上海银行","包含处置中涉及的律师、诉讼、拍卖、评估等费用","")</f>
        <v/>
      </c>
      <c r="O56" s="3682"/>
    </row>
    <row r="57" spans="1:35" ht="12.75">
      <c r="A57" s="2333" t="s">
        <v>1341</v>
      </c>
      <c r="B57" s="3617" t="s">
        <v>1366</v>
      </c>
      <c r="C57" s="3618"/>
      <c r="D57" s="1588">
        <v>0</v>
      </c>
      <c r="E57" s="323" t="s">
        <v>1343</v>
      </c>
      <c r="F57" s="301"/>
      <c r="G57" s="2552"/>
      <c r="H57" s="2556"/>
      <c r="I57" s="1806"/>
      <c r="J57" s="3656">
        <f>IF(AND(J55="",J56=""),4,IF(项目基本情况!K6="上海银行",结果表!J56+1,结果表!J55+1))</f>
        <v>5</v>
      </c>
      <c r="K57" s="3656" t="s">
        <v>1367</v>
      </c>
      <c r="L57" s="2527" t="s">
        <v>1368</v>
      </c>
      <c r="M57" s="2528"/>
      <c r="N57" s="2529">
        <f ca="1">SUMIF(M52:M56,"&lt;9e307")</f>
        <v>12294</v>
      </c>
      <c r="O57" s="2530"/>
      <c r="P57" s="2687">
        <f ca="1">N57/M49</f>
        <v>0.57604723081248244</v>
      </c>
    </row>
    <row r="58" spans="1:35" ht="24.75">
      <c r="A58" s="2333" t="s">
        <v>1352</v>
      </c>
      <c r="B58" s="3617" t="s">
        <v>1369</v>
      </c>
      <c r="C58" s="3591"/>
      <c r="D58" s="2322">
        <f ca="1">IF(H58="转让取得",C81,C97)</f>
        <v>12080</v>
      </c>
      <c r="E58" s="2332" t="s">
        <v>1364</v>
      </c>
      <c r="F58" s="301" t="s">
        <v>28</v>
      </c>
      <c r="G58" s="2552"/>
      <c r="H58" s="2555"/>
      <c r="I58" s="1806"/>
      <c r="J58" s="3656"/>
      <c r="K58" s="3656"/>
      <c r="L58" s="2527" t="s">
        <v>1370</v>
      </c>
      <c r="M58" s="2531"/>
      <c r="N58" s="2532" t="str">
        <f ca="1">NUMBERSTRING(INT(N57*10000),2)&amp;"元整"</f>
        <v>壹亿贰仟贰佰玖拾肆万元整</v>
      </c>
      <c r="O58" s="2533"/>
    </row>
    <row r="59" spans="1:35" ht="24.75" thickBot="1">
      <c r="A59" s="3659" t="s">
        <v>1371</v>
      </c>
      <c r="B59" s="3660"/>
      <c r="C59" s="3660"/>
      <c r="D59" s="2557">
        <f ca="1">IF(H59="非个人房产","——",IF(H59="个人住宅（满五唯一有凭证）",0,IF(H59="个人其他（无凭证）",ROUND(D45*F59,0),ROUND(C67*F59,0))))</f>
        <v>203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657">
        <f>J57+1</f>
        <v>6</v>
      </c>
      <c r="K59" s="3656" t="s">
        <v>1372</v>
      </c>
      <c r="L59" s="2520" t="s">
        <v>1368</v>
      </c>
      <c r="M59" s="2534"/>
      <c r="N59" s="2535">
        <f ca="1">M49-N57</f>
        <v>9048</v>
      </c>
      <c r="O59" s="2536"/>
    </row>
    <row r="60" spans="1:35" ht="12" customHeight="1">
      <c r="A60" s="1807"/>
      <c r="B60" s="1745"/>
      <c r="C60" s="1745"/>
      <c r="D60" s="1745"/>
      <c r="E60" s="1576"/>
      <c r="F60" s="1806"/>
      <c r="G60" s="1806"/>
      <c r="H60" s="1808"/>
      <c r="I60" s="128"/>
      <c r="J60" s="3658"/>
      <c r="K60" s="3656"/>
      <c r="L60" s="2527" t="s">
        <v>1370</v>
      </c>
      <c r="M60" s="2531"/>
      <c r="N60" s="2532" t="str">
        <f ca="1">NUMBERSTRING(INT(N59*10000),2)&amp;"元整"</f>
        <v>玖仟零肆拾捌万元整</v>
      </c>
      <c r="O60" s="2533"/>
    </row>
    <row r="61" spans="1:35" ht="13.5" thickBot="1">
      <c r="A61" s="3604" t="s">
        <v>1373</v>
      </c>
      <c r="B61" s="3604"/>
      <c r="C61" s="3604"/>
      <c r="D61" s="3604"/>
      <c r="E61" s="3604"/>
      <c r="F61" s="1806"/>
      <c r="G61" s="1806"/>
      <c r="H61" s="1808"/>
      <c r="I61" s="128"/>
      <c r="J61" s="2520">
        <f>J59+1</f>
        <v>7</v>
      </c>
      <c r="K61" s="3656" t="s">
        <v>1374</v>
      </c>
      <c r="L61" s="3656"/>
      <c r="M61" s="2537"/>
      <c r="N61" s="2538">
        <f ca="1">ROUND(N59*10000/'数据-汇总表'!E3,0)</f>
        <v>18866</v>
      </c>
      <c r="O61" s="2539"/>
    </row>
    <row r="62" spans="1:35" ht="12.75">
      <c r="A62" s="3622" t="s">
        <v>1375</v>
      </c>
      <c r="B62" s="3623"/>
      <c r="C62" s="2019"/>
      <c r="D62" s="2019" t="s">
        <v>1376</v>
      </c>
      <c r="E62" s="165" t="s">
        <v>1377</v>
      </c>
      <c r="F62" s="1806"/>
      <c r="G62" s="1806"/>
      <c r="H62" s="1808"/>
      <c r="I62" s="128"/>
    </row>
    <row r="63" spans="1:35" ht="12.75">
      <c r="A63" s="172" t="s">
        <v>330</v>
      </c>
      <c r="B63" s="166" t="s">
        <v>1378</v>
      </c>
      <c r="C63" s="2561">
        <f ca="1">ROUND((C64+C65)/(1+'数据-取费表'!C42),0)</f>
        <v>20326</v>
      </c>
      <c r="D63" s="166"/>
      <c r="E63" s="167"/>
      <c r="F63" s="1806"/>
      <c r="G63" s="1806"/>
      <c r="H63" s="1808"/>
      <c r="I63" s="128"/>
      <c r="J63" s="3681" t="s">
        <v>1379</v>
      </c>
      <c r="K63" s="1330" t="s">
        <v>1380</v>
      </c>
      <c r="L63" s="1330">
        <f ca="1">IF(M49&gt;10000,M49*0.5%,IF(AND(M49&gt;1000,M49&lt;=10000),M49*1%,IF(AND(M49&gt;100,M49&lt;=1000),M49*3%,IF(AND(M49&gt;10,M49&lt;=100),M49*5%,M49*8%))))</f>
        <v>106.71000000000001</v>
      </c>
      <c r="M63" s="301">
        <f ca="1">ROUND(L63,1)</f>
        <v>106.7</v>
      </c>
      <c r="N63" s="2540"/>
      <c r="Z63" s="1750"/>
      <c r="AI63" s="1751"/>
    </row>
    <row r="64" spans="1:35" ht="14.25" customHeight="1">
      <c r="A64" s="168" t="s">
        <v>325</v>
      </c>
      <c r="B64" s="169" t="s">
        <v>1381</v>
      </c>
      <c r="C64" s="2562">
        <f ca="1">D45</f>
        <v>21342</v>
      </c>
      <c r="D64" s="169" t="s">
        <v>26</v>
      </c>
      <c r="E64" s="171"/>
      <c r="F64" s="1806"/>
      <c r="G64" s="1806"/>
      <c r="H64" s="1808"/>
      <c r="I64" s="128"/>
      <c r="J64" s="3681"/>
      <c r="K64" s="1330" t="s">
        <v>1382</v>
      </c>
      <c r="L64" s="1330">
        <f ca="1">IF(M49&gt;2000,M49*0.5%,IF(AND(M49&gt;1000,M49&lt;=2000),M49*0.6%,IF(AND(M49&gt;500,M49&lt;=1000),M49*0.7%,IF(AND(M49&gt;200,M49&lt;=500),M49*0.8%,IF(AND(M49&gt;100,M49&lt;=200),M49*0.9%,IF(AND(M49&gt;50,M49&lt;=100),M49*1%,IF(AND(M49&gt;20,M49&lt;=50),M49*1.5%,IF(AND(M49&gt;10,M49&lt;=20),M49*2%,IF(AND(M49&gt;1,M49&lt;=10),M49*2.5%)))))))))</f>
        <v>106.71000000000001</v>
      </c>
      <c r="M64" s="301">
        <f t="shared" ref="M64:M65" ca="1" si="1">ROUND(L64,1)</f>
        <v>106.7</v>
      </c>
      <c r="N64" s="2541" t="s">
        <v>1383</v>
      </c>
      <c r="Z64" s="1750"/>
      <c r="AI64" s="1751"/>
    </row>
    <row r="65" spans="1:35" ht="14.25" customHeight="1">
      <c r="A65" s="168" t="s">
        <v>326</v>
      </c>
      <c r="B65" s="169" t="s">
        <v>1384</v>
      </c>
      <c r="C65" s="2563"/>
      <c r="D65" s="169"/>
      <c r="E65" s="171"/>
      <c r="F65" s="1806"/>
      <c r="G65" s="1806"/>
      <c r="H65" s="1808"/>
      <c r="I65" s="128"/>
      <c r="J65" s="3681"/>
      <c r="K65" s="1330" t="s">
        <v>1385</v>
      </c>
      <c r="L65" s="1330">
        <f ca="1">IF(M49&gt;1000,M49*0.1%,IF(AND(M49&gt;500,M49&lt;=1000),M49*0.5%,IF(AND(M49&gt;50,M49&lt;=500),M49*1%,IF(AND(M49&gt;1,M49&lt;=50),M49*1.5%))))</f>
        <v>21.341999999999999</v>
      </c>
      <c r="M65" s="301">
        <f t="shared" ca="1" si="1"/>
        <v>21.3</v>
      </c>
      <c r="N65" s="2541" t="s">
        <v>1383</v>
      </c>
      <c r="Z65" s="1750"/>
      <c r="AI65" s="1751"/>
    </row>
    <row r="66" spans="1:35" ht="14.25" customHeight="1">
      <c r="A66" s="172" t="s">
        <v>327</v>
      </c>
      <c r="B66" s="173" t="s">
        <v>1386</v>
      </c>
      <c r="C66" s="2564"/>
      <c r="D66" s="173" t="s">
        <v>26</v>
      </c>
      <c r="E66" s="1336" t="s">
        <v>671</v>
      </c>
      <c r="F66" s="1806"/>
      <c r="G66" s="1806"/>
      <c r="H66" s="1808"/>
      <c r="I66" s="128"/>
      <c r="J66" s="3681"/>
      <c r="K66" s="1330" t="s">
        <v>1387</v>
      </c>
      <c r="L66" s="1330">
        <f ca="1">M49*0.5%</f>
        <v>106.71000000000001</v>
      </c>
      <c r="M66" s="301">
        <f ca="1">IF(L66&gt;0.5,0.5,ROUND(L66,0))</f>
        <v>0.5</v>
      </c>
      <c r="N66" s="2541" t="s">
        <v>1388</v>
      </c>
      <c r="Z66" s="1750"/>
      <c r="AI66" s="1751"/>
    </row>
    <row r="67" spans="1:35" ht="14.25" customHeight="1">
      <c r="A67" s="172" t="s">
        <v>328</v>
      </c>
      <c r="B67" s="173" t="s">
        <v>1389</v>
      </c>
      <c r="C67" s="2565">
        <f ca="1">C63-C66</f>
        <v>20326</v>
      </c>
      <c r="D67" s="169" t="s">
        <v>26</v>
      </c>
      <c r="E67" s="171"/>
      <c r="F67" s="1806"/>
      <c r="G67" s="1806"/>
      <c r="H67" s="1808"/>
      <c r="I67" s="128"/>
      <c r="J67" s="3681"/>
      <c r="K67" s="1330" t="s">
        <v>1390</v>
      </c>
      <c r="L67" s="1330">
        <f ca="1">IF(M49&gt;=10000,(8.25+(M49-10000)*0.01%),IF(AND(M49&gt;=8000,M49&lt;10000),(7.85+(M49-8000)*0.02%),IF(AND(M49&gt;=5000,M49&lt;8000),(6.65+(M49-5000)*0.04%),IF(AND(M49&gt;=2000,M49&lt;5000),(4.25+(PM49-2000)*0.08%),IF(AND(M49&gt;=1000,M49&lt;2000),(2.75+(M49-1000)*0.15%),IF(AND(M49&gt;=100,M49&lt;1000),(0.5+(M49-100)*0.25%),IF(AND(M49&gt;0,M49&lt;100),M49*0.5%)))))))</f>
        <v>9.3841999999999999</v>
      </c>
      <c r="M67" s="301">
        <f ca="1">ROUND(L67*0.9,1)</f>
        <v>8.4</v>
      </c>
      <c r="N67" s="2540"/>
      <c r="Z67" s="1750"/>
      <c r="AI67" s="1751"/>
    </row>
    <row r="68" spans="1:35" ht="14.25" customHeight="1" thickBot="1">
      <c r="A68" s="175" t="s">
        <v>329</v>
      </c>
      <c r="B68" s="176" t="s">
        <v>1391</v>
      </c>
      <c r="C68" s="2566">
        <f ca="1">IF(C67&lt;=0,0,ROUND(C67*D68,0))</f>
        <v>1138</v>
      </c>
      <c r="D68" s="2567">
        <f>'数据-取费表'!B41</f>
        <v>5.6000000000000001E-2</v>
      </c>
      <c r="E68" s="177"/>
      <c r="F68" s="1806"/>
      <c r="G68" s="1806"/>
      <c r="H68" s="1808"/>
      <c r="I68" s="128"/>
      <c r="J68" s="3681"/>
      <c r="K68" s="1330" t="s">
        <v>1392</v>
      </c>
      <c r="L68" s="1330">
        <f ca="1">IF(M49&gt;10000,M49*0.5%,IF(AND(M49&gt;5000,M49&lt;=10000),M49*1%,IF(AND(M49&gt;1000,M49&lt;=5000),M49*2%,IF(AND(M49&gt;200,M49&lt;=1000),M49*3%,M49*5%))))</f>
        <v>106.71000000000001</v>
      </c>
      <c r="M68" s="301">
        <f ca="1">ROUND(L68,1)</f>
        <v>106.7</v>
      </c>
      <c r="N68" s="2540"/>
      <c r="Z68" s="1750"/>
      <c r="AI68" s="1751"/>
    </row>
    <row r="69" spans="1:35" s="1770" customFormat="1" ht="16.5" customHeight="1">
      <c r="A69" s="1809"/>
      <c r="B69" s="1810"/>
      <c r="C69" s="1811"/>
      <c r="D69" s="1812"/>
      <c r="E69" s="1813"/>
      <c r="F69" s="1576"/>
      <c r="G69" s="1576"/>
      <c r="H69" s="1575"/>
      <c r="I69" s="1745"/>
      <c r="J69" s="3681"/>
      <c r="K69" s="1330" t="s">
        <v>1393</v>
      </c>
      <c r="L69" s="1330"/>
      <c r="M69" s="301">
        <f ca="1">ROUND(SUM(M63:M68),0)</f>
        <v>350</v>
      </c>
      <c r="N69" s="2542">
        <f ca="1">M69/M49</f>
        <v>1.6399587667510075E-2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3" t="s">
        <v>1394</v>
      </c>
      <c r="B70" s="3644"/>
      <c r="C70" s="3644"/>
      <c r="D70" s="3644"/>
      <c r="E70" s="3644"/>
      <c r="F70" s="3644"/>
      <c r="G70" s="3644"/>
      <c r="H70" s="3644"/>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2" t="s">
        <v>1375</v>
      </c>
      <c r="B71" s="3623"/>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20326</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122</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17" t="s">
        <v>1402</v>
      </c>
      <c r="F76" s="3591"/>
      <c r="G76" s="3591"/>
      <c r="H76" s="364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122</v>
      </c>
      <c r="D78" s="2574">
        <f>'数据-取费表'!B43</f>
        <v>6.000000000000001E-3</v>
      </c>
      <c r="E78" s="3601" t="s">
        <v>1406</v>
      </c>
      <c r="F78" s="3602"/>
      <c r="G78" s="3602"/>
      <c r="H78" s="361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20204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165.60655737704917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12080</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3" t="s">
        <v>1410</v>
      </c>
      <c r="B83" s="3644"/>
      <c r="C83" s="3644"/>
      <c r="D83" s="3644"/>
      <c r="E83" s="3644"/>
      <c r="F83" s="3644"/>
      <c r="G83" s="3644"/>
      <c r="H83" s="364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2" t="s">
        <v>1375</v>
      </c>
      <c r="B84" s="3623"/>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20326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122</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2" t="s">
        <v>1413</v>
      </c>
      <c r="F88" s="2325"/>
      <c r="G88" s="193"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2" t="str">
        <f>IF(H88="-","土地取得成本中已包含该笔费用"," ")</f>
        <v xml:space="preserve"> </v>
      </c>
      <c r="F90" s="2325"/>
      <c r="G90" s="3683" t="s">
        <v>2129</v>
      </c>
      <c r="H90" s="3684"/>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01" t="s">
        <v>1419</v>
      </c>
      <c r="F91" s="3602"/>
      <c r="G91" s="36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01" t="s">
        <v>1422</v>
      </c>
      <c r="F92" s="3602"/>
      <c r="G92" s="3602"/>
      <c r="H92" s="3611"/>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122</v>
      </c>
      <c r="D93" s="2574">
        <f>'数据-取费表'!B43</f>
        <v>6.000000000000001E-3</v>
      </c>
      <c r="E93" s="3601" t="s">
        <v>1406</v>
      </c>
      <c r="F93" s="3602"/>
      <c r="G93" s="3602"/>
      <c r="H93" s="361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12" t="s">
        <v>1426</v>
      </c>
      <c r="F94" s="3613"/>
      <c r="G94" s="3613"/>
      <c r="H94" s="361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20204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165.60655737704917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12080</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85" t="s">
        <v>1428</v>
      </c>
      <c r="B100" s="3586"/>
      <c r="C100" s="3586"/>
      <c r="D100" s="3603"/>
      <c r="E100" s="3586" t="s">
        <v>1429</v>
      </c>
      <c r="F100" s="3586"/>
      <c r="G100" s="3586"/>
      <c r="H100" s="3603"/>
      <c r="I100" s="128"/>
    </row>
    <row r="101" spans="1:35" ht="18.75" customHeight="1">
      <c r="A101" s="3664" t="s">
        <v>1430</v>
      </c>
      <c r="B101" s="3665"/>
      <c r="C101" s="2582" t="str">
        <f>C4</f>
        <v>比较法-商业</v>
      </c>
      <c r="D101" s="2583" t="str">
        <f>D4</f>
        <v>收益法</v>
      </c>
      <c r="E101" s="3678" t="s">
        <v>1431</v>
      </c>
      <c r="F101" s="3635"/>
      <c r="G101" s="1825" t="s">
        <v>1432</v>
      </c>
      <c r="H101" s="2592">
        <f ca="1">H118</f>
        <v>21342</v>
      </c>
      <c r="I101" s="128"/>
    </row>
    <row r="102" spans="1:35" ht="18.75" customHeight="1">
      <c r="A102" s="3637" t="s">
        <v>1433</v>
      </c>
      <c r="B102" s="2581" t="s">
        <v>1432</v>
      </c>
      <c r="C102" s="2582">
        <f ca="1">IF(D32="楼面单价",ROUND(C19,0),C19)</f>
        <v>23546</v>
      </c>
      <c r="D102" s="2583">
        <f ca="1">IF(D32="楼面单价",ROUND(D19,0),D19)</f>
        <v>16201</v>
      </c>
      <c r="E102" s="3678"/>
      <c r="F102" s="3635"/>
      <c r="G102" s="1825" t="s">
        <v>1434</v>
      </c>
      <c r="H102" s="2552">
        <f ca="1">I118</f>
        <v>44500</v>
      </c>
      <c r="I102" s="128"/>
    </row>
    <row r="103" spans="1:35" ht="42.75" customHeight="1">
      <c r="A103" s="3637"/>
      <c r="B103" s="2581" t="s">
        <v>1434</v>
      </c>
      <c r="C103" s="2584">
        <f ca="1">C20</f>
        <v>49094</v>
      </c>
      <c r="D103" s="2585">
        <f ca="1">D20</f>
        <v>33780</v>
      </c>
      <c r="E103" s="3672" t="s">
        <v>1435</v>
      </c>
      <c r="F103" s="3673"/>
      <c r="G103" s="1826" t="s">
        <v>1436</v>
      </c>
      <c r="H103" s="2592">
        <f>IF(D36="正常操作",H104+H105+H106,H105+H106)</f>
        <v>0</v>
      </c>
      <c r="I103" s="128"/>
    </row>
    <row r="104" spans="1:35" ht="18.75" customHeight="1">
      <c r="A104" s="3637" t="s">
        <v>1437</v>
      </c>
      <c r="B104" s="2586" t="s">
        <v>1432</v>
      </c>
      <c r="C104" s="2587">
        <f ca="1">H118</f>
        <v>21342</v>
      </c>
      <c r="D104" s="2588"/>
      <c r="E104" s="1672" t="s">
        <v>1438</v>
      </c>
      <c r="F104" s="1664"/>
      <c r="G104" s="1826" t="s">
        <v>1436</v>
      </c>
      <c r="H104" s="2593">
        <f>IF(D36="同一抵押权人同一抵押物续贷",C36&amp;"（续贷，未扣减，详见特别提示）",C36)</f>
        <v>0</v>
      </c>
      <c r="I104" s="128"/>
    </row>
    <row r="105" spans="1:35" ht="18.75" customHeight="1" thickBot="1">
      <c r="A105" s="3638"/>
      <c r="B105" s="2589" t="s">
        <v>1434</v>
      </c>
      <c r="C105" s="2590">
        <f ca="1">I118</f>
        <v>44500</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34" t="str">
        <f>IF(项目基本情况!E8="已注销","——","3.房地产抵押价值")</f>
        <v>3.房地产抵押价值</v>
      </c>
      <c r="F107" s="3635"/>
      <c r="G107" s="1825" t="s">
        <v>1432</v>
      </c>
      <c r="H107" s="2592">
        <f ca="1">IF(E107="——","——",H101-H103)</f>
        <v>21342</v>
      </c>
      <c r="I107" s="128"/>
    </row>
    <row r="108" spans="1:35" ht="18.75" customHeight="1">
      <c r="A108" s="128"/>
      <c r="B108" s="128"/>
      <c r="C108" s="128"/>
      <c r="D108" s="128"/>
      <c r="E108" s="3634"/>
      <c r="F108" s="3635"/>
      <c r="G108" s="1825" t="s">
        <v>1434</v>
      </c>
      <c r="H108" s="2552">
        <f ca="1">IF(H107=H101,H102,ROUND(H107*10000/'数据-汇总表'!E3,0))</f>
        <v>44500</v>
      </c>
      <c r="I108" s="128"/>
    </row>
    <row r="109" spans="1:35" ht="18.75" customHeight="1">
      <c r="A109" s="128"/>
      <c r="B109" s="128"/>
      <c r="C109" s="128"/>
      <c r="D109" s="128"/>
      <c r="E109" s="3634" t="str">
        <f>IF(项目基本情况!E8="已注销及未注销","4.抵押担保权已注销时的房地产抵押价值",IF(项目基本情况!E8="已注销","3.抵押担保权已注销时的房地产抵押价值","——"))</f>
        <v>——</v>
      </c>
      <c r="F109" s="3635"/>
      <c r="G109" s="1825" t="s">
        <v>1432</v>
      </c>
      <c r="H109" s="2595" t="str">
        <f>IF(E109="——","——",H101-H105-H106)</f>
        <v>——</v>
      </c>
      <c r="I109" s="128"/>
    </row>
    <row r="110" spans="1:35" ht="18.75" customHeight="1">
      <c r="A110" s="128"/>
      <c r="B110" s="128"/>
      <c r="C110" s="128"/>
      <c r="D110" s="128"/>
      <c r="E110" s="3634"/>
      <c r="F110" s="3635"/>
      <c r="G110" s="1825" t="s">
        <v>1434</v>
      </c>
      <c r="H110" s="2552" t="str">
        <f>IF(H109="——","——",ROUND(H109*10000/'数据-汇总表'!E3,0))</f>
        <v>——</v>
      </c>
      <c r="I110" s="128"/>
    </row>
    <row r="111" spans="1:35" ht="18.75" customHeight="1">
      <c r="A111" s="128"/>
      <c r="B111" s="128"/>
      <c r="C111" s="128"/>
      <c r="D111" s="128"/>
      <c r="E111" s="3666" t="str">
        <f>IF(项目基本情况!E9="抵押净值",IF(OR(项目基本情况!E8="已注销",项目基本情况!E8="房地产抵押价值"),"4.抵押净值","5.抵押净值"),"——")</f>
        <v>——</v>
      </c>
      <c r="F111" s="3636"/>
      <c r="G111" s="1825" t="s">
        <v>1432</v>
      </c>
      <c r="H111" s="2592" t="str">
        <f>IF(E111="——","——",N59)</f>
        <v>——</v>
      </c>
      <c r="I111" s="128"/>
    </row>
    <row r="112" spans="1:35" ht="18.75" customHeight="1" thickBot="1">
      <c r="A112" s="128"/>
      <c r="B112" s="128"/>
      <c r="C112" s="128"/>
      <c r="D112" s="128"/>
      <c r="E112" s="3667"/>
      <c r="F112" s="3668"/>
      <c r="G112" s="1828" t="s">
        <v>1434</v>
      </c>
      <c r="H112" s="2596" t="str">
        <f>IF(E111="——","——",N61)</f>
        <v>——</v>
      </c>
      <c r="I112" s="128"/>
    </row>
    <row r="113" spans="1:27" ht="18.75" customHeight="1">
      <c r="A113" s="128"/>
      <c r="B113" s="128"/>
      <c r="C113" s="128"/>
      <c r="D113" s="128"/>
      <c r="E113" s="3639" t="s">
        <v>1440</v>
      </c>
      <c r="F113" s="3639"/>
      <c r="G113" s="3639"/>
      <c r="H113" s="3639"/>
      <c r="I113" s="128"/>
    </row>
    <row r="114" spans="1:27" ht="3.75" customHeight="1">
      <c r="A114" s="1745"/>
      <c r="B114" s="1745"/>
      <c r="C114" s="1745"/>
      <c r="D114" s="1745"/>
      <c r="E114" s="1807"/>
      <c r="F114" s="1807"/>
      <c r="G114" s="1807"/>
      <c r="H114" s="1807"/>
      <c r="I114" s="1745"/>
    </row>
    <row r="115" spans="1:27" ht="18.75" customHeight="1">
      <c r="A115" s="3649" t="s">
        <v>1442</v>
      </c>
      <c r="B115" s="3650"/>
      <c r="C115" s="3650"/>
      <c r="D115" s="3650"/>
      <c r="E115" s="3650"/>
      <c r="F115" s="3650"/>
      <c r="G115" s="3650"/>
      <c r="H115" s="3650"/>
      <c r="I115" s="3651"/>
    </row>
    <row r="116" spans="1:27" ht="27" customHeight="1">
      <c r="A116" s="3605" t="s">
        <v>1443</v>
      </c>
      <c r="B116" s="3640" t="s">
        <v>1444</v>
      </c>
      <c r="C116" s="3640" t="s">
        <v>1445</v>
      </c>
      <c r="D116" s="3653" t="s">
        <v>1446</v>
      </c>
      <c r="E116" s="3654"/>
      <c r="F116" s="3648" t="s">
        <v>1447</v>
      </c>
      <c r="G116" s="3648"/>
      <c r="H116" s="3605" t="s">
        <v>1448</v>
      </c>
      <c r="I116" s="3605"/>
    </row>
    <row r="117" spans="1:27" ht="18.75" customHeight="1">
      <c r="A117" s="3605"/>
      <c r="B117" s="3641"/>
      <c r="C117" s="3641"/>
      <c r="D117" s="2327" t="s">
        <v>1449</v>
      </c>
      <c r="E117" s="2327" t="s">
        <v>1450</v>
      </c>
      <c r="F117" s="2327" t="s">
        <v>1449</v>
      </c>
      <c r="G117" s="2327" t="s">
        <v>1451</v>
      </c>
      <c r="H117" s="2327" t="s">
        <v>1449</v>
      </c>
      <c r="I117" s="2327" t="s">
        <v>1451</v>
      </c>
    </row>
    <row r="118" spans="1:27" ht="24.75" customHeight="1">
      <c r="A118" s="2597" t="str">
        <f>项目基本情况!S2</f>
        <v>北京市东城区智德北巷5号房地产</v>
      </c>
      <c r="B118" s="2327">
        <f>M18</f>
        <v>4796.0099999999993</v>
      </c>
      <c r="C118" s="2327">
        <f>M19</f>
        <v>2328.75</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21342</v>
      </c>
      <c r="I118" s="2327">
        <f ca="1">ROUND(IF(D32="楼面单价",C32,H118*10000/B118),0)</f>
        <v>44500</v>
      </c>
    </row>
    <row r="119" spans="1:27" ht="18.75" customHeight="1">
      <c r="A119" s="3605" t="s">
        <v>1452</v>
      </c>
      <c r="B119" s="3605"/>
      <c r="C119" s="3605"/>
      <c r="D119" s="3645" t="str">
        <f>NUMBERSTRING(INT(D118*10000),2)&amp;"元整"</f>
        <v>零元整</v>
      </c>
      <c r="E119" s="3647"/>
      <c r="F119" s="3645" t="str">
        <f>NUMBERSTRING(INT(F118*10000),2)&amp;"元整"</f>
        <v>零元整</v>
      </c>
      <c r="G119" s="3647"/>
      <c r="H119" s="3645" t="str">
        <f ca="1">NUMBERSTRING(INT(H118*10000),2)&amp;"元整"</f>
        <v>贰亿壹仟叁佰肆拾贰万元整</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5" t="s">
        <v>1452</v>
      </c>
      <c r="B121" s="3646"/>
      <c r="C121" s="3647"/>
      <c r="D121" s="3645" t="str">
        <f>IF(D120=0,"零元整",NUMBERSTRING(INT(D120*10000),2)&amp;"元整")</f>
        <v>零元整</v>
      </c>
      <c r="E121" s="3646"/>
      <c r="F121" s="3646"/>
      <c r="G121" s="3646"/>
      <c r="H121" s="3646"/>
      <c r="I121" s="3647"/>
      <c r="AA121" s="724"/>
    </row>
    <row r="122" spans="1:27" ht="18.75" customHeight="1">
      <c r="A122" s="3636" t="str">
        <f>IF(项目基本情况!B9="房地产市场价值","",MID(E107,3,LEN(E107)-2))</f>
        <v>房地产抵押价值</v>
      </c>
      <c r="B122" s="3636"/>
      <c r="C122" s="3636"/>
      <c r="D122" s="3669">
        <f ca="1">H107</f>
        <v>21342</v>
      </c>
      <c r="E122" s="3670"/>
      <c r="F122" s="3670"/>
      <c r="G122" s="3670"/>
      <c r="H122" s="3670"/>
      <c r="I122" s="3671"/>
      <c r="AA122" s="724"/>
    </row>
    <row r="123" spans="1:27" ht="18.75" customHeight="1">
      <c r="A123" s="3605" t="s">
        <v>1452</v>
      </c>
      <c r="B123" s="3605"/>
      <c r="C123" s="3605"/>
      <c r="D123" s="3645" t="str">
        <f ca="1">NUMBERSTRING(INT(D122*10000),2)&amp;"元整"</f>
        <v>贰亿壹仟叁佰肆拾贰万元整</v>
      </c>
      <c r="E123" s="3646"/>
      <c r="F123" s="3646"/>
      <c r="G123" s="3646"/>
      <c r="H123" s="3646"/>
      <c r="I123" s="3647"/>
      <c r="AA123" s="724"/>
    </row>
    <row r="124" spans="1:27" ht="18.75" customHeight="1">
      <c r="A124" s="3636" t="str">
        <f>IF(项目基本情况!B9="房地产市场价值","",MID(E109,3,LEN(E109)-2))</f>
        <v/>
      </c>
      <c r="B124" s="3636"/>
      <c r="C124" s="3636"/>
      <c r="D124" s="3669" t="str">
        <f>H109</f>
        <v>——</v>
      </c>
      <c r="E124" s="3670"/>
      <c r="F124" s="3670"/>
      <c r="G124" s="3670"/>
      <c r="H124" s="3670"/>
      <c r="I124" s="3671"/>
      <c r="AA124" s="724"/>
    </row>
    <row r="125" spans="1:27" ht="18.75" customHeight="1">
      <c r="A125" s="3605" t="s">
        <v>1452</v>
      </c>
      <c r="B125" s="3605"/>
      <c r="C125" s="3605"/>
      <c r="D125" s="3645" t="e">
        <f>NUMBERSTRING(INT(D124*10000),2)&amp;"元整"</f>
        <v>#VALUE!</v>
      </c>
      <c r="E125" s="3646"/>
      <c r="F125" s="3646"/>
      <c r="G125" s="3646"/>
      <c r="H125" s="3646"/>
      <c r="I125" s="3647"/>
      <c r="AA125" s="724"/>
    </row>
    <row r="126" spans="1:27" ht="18.75" customHeight="1">
      <c r="A126" s="3636" t="str">
        <f>IF(项目基本情况!B9="房地产市场价值","",MID(E111,3,LEN(E111)-2))</f>
        <v/>
      </c>
      <c r="B126" s="3636"/>
      <c r="C126" s="3636"/>
      <c r="D126" s="3669" t="str">
        <f>H111</f>
        <v>——</v>
      </c>
      <c r="E126" s="3670"/>
      <c r="F126" s="3670"/>
      <c r="G126" s="3670"/>
      <c r="H126" s="3670"/>
      <c r="I126" s="3671"/>
      <c r="AA126" s="724"/>
    </row>
    <row r="127" spans="1:27" ht="18.75" customHeight="1">
      <c r="A127" s="3605" t="s">
        <v>1452</v>
      </c>
      <c r="B127" s="3605"/>
      <c r="C127" s="3605"/>
      <c r="D127" s="3645" t="e">
        <f>NUMBERSTRING(INT(D126*10000),2)&amp;"元整"</f>
        <v>#VALUE!</v>
      </c>
      <c r="E127" s="3646"/>
      <c r="F127" s="3646"/>
      <c r="G127" s="3646"/>
      <c r="H127" s="3646"/>
      <c r="I127" s="3647"/>
      <c r="AA127" s="724"/>
    </row>
    <row r="128" spans="1:27" ht="21.75" customHeight="1">
      <c r="A128" s="3652" t="s">
        <v>1453</v>
      </c>
      <c r="B128" s="3652"/>
      <c r="C128" s="3652"/>
      <c r="D128" s="3652"/>
      <c r="E128" s="3652"/>
      <c r="F128" s="3652"/>
      <c r="G128" s="3652"/>
      <c r="H128" s="3652"/>
      <c r="I128" s="365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3"/>
  <sheetViews>
    <sheetView workbookViewId="0">
      <selection activeCell="M6" sqref="M6"/>
    </sheetView>
  </sheetViews>
  <sheetFormatPr defaultRowHeight="13.5"/>
  <cols>
    <col min="1" max="1" width="12.75" bestFit="1" customWidth="1"/>
    <col min="9" max="9" width="11.125" customWidth="1"/>
    <col min="10" max="10" width="14.875" customWidth="1"/>
    <col min="11" max="11" width="18.5" customWidth="1"/>
    <col min="12" max="12" width="13.625" customWidth="1"/>
    <col min="16" max="16" width="10.5" bestFit="1" customWidth="1"/>
    <col min="17" max="17" width="10.5" customWidth="1"/>
    <col min="18" max="18" width="15.125" customWidth="1"/>
  </cols>
  <sheetData>
    <row r="1" spans="1:16">
      <c r="N1" s="3462"/>
    </row>
    <row r="2" spans="1:16">
      <c r="J2" s="3466"/>
      <c r="K2" s="3469" t="s">
        <v>3454</v>
      </c>
      <c r="L2" s="3469" t="s">
        <v>3453</v>
      </c>
      <c r="M2" s="3469"/>
      <c r="P2" s="3462"/>
    </row>
    <row r="3" spans="1:16">
      <c r="J3" s="3469" t="s">
        <v>3442</v>
      </c>
      <c r="K3" s="3466">
        <f>K21</f>
        <v>7.46</v>
      </c>
      <c r="L3" s="3470">
        <f>B15</f>
        <v>3144.5</v>
      </c>
      <c r="M3" s="3466">
        <f>ROUND(K3*L3,2)</f>
        <v>23457.97</v>
      </c>
    </row>
    <row r="4" spans="1:16">
      <c r="J4" s="3469" t="s">
        <v>3440</v>
      </c>
      <c r="K4" s="3466">
        <f>N21</f>
        <v>6.15</v>
      </c>
      <c r="L4" s="3470">
        <f>B14</f>
        <v>628.9</v>
      </c>
      <c r="M4" s="3466">
        <f>ROUND(K4*L4,2)</f>
        <v>3867.74</v>
      </c>
      <c r="N4" s="3462"/>
    </row>
    <row r="5" spans="1:16">
      <c r="J5" s="3469" t="s">
        <v>3441</v>
      </c>
      <c r="K5" s="3466">
        <f>M21</f>
        <v>6.53</v>
      </c>
      <c r="L5" s="3470">
        <f>B16+B17+B18+B19+B20+B21+B22</f>
        <v>1022.6099999999999</v>
      </c>
      <c r="M5" s="3466">
        <f>ROUND(K5*L5,2)</f>
        <v>6677.64</v>
      </c>
    </row>
    <row r="6" spans="1:16">
      <c r="J6" s="3466"/>
      <c r="K6" s="3469" t="s">
        <v>3444</v>
      </c>
      <c r="L6" s="3466">
        <f>L3+L4+L5</f>
        <v>4796.01</v>
      </c>
      <c r="M6" s="3466">
        <f>ROUND((M3+M4+M5)/L6,2)</f>
        <v>7.09</v>
      </c>
    </row>
    <row r="10" spans="1:16">
      <c r="I10" s="3471" t="s">
        <v>3455</v>
      </c>
      <c r="J10" s="3463" t="s">
        <v>3447</v>
      </c>
      <c r="K10" s="3463" t="s">
        <v>3448</v>
      </c>
      <c r="L10" s="3463" t="s">
        <v>3464</v>
      </c>
      <c r="M10" s="3463" t="s">
        <v>3451</v>
      </c>
      <c r="N10" s="3467" t="s">
        <v>3452</v>
      </c>
    </row>
    <row r="11" spans="1:16">
      <c r="I11" s="3463">
        <v>1</v>
      </c>
      <c r="J11" s="3463" t="s">
        <v>3449</v>
      </c>
      <c r="K11" s="3464">
        <v>7.03</v>
      </c>
      <c r="L11" s="3464"/>
      <c r="M11" s="3464">
        <v>6.15</v>
      </c>
      <c r="N11" s="3468">
        <v>6.15</v>
      </c>
    </row>
    <row r="12" spans="1:16">
      <c r="I12" s="3463">
        <v>2</v>
      </c>
      <c r="J12" s="3463" t="s">
        <v>3456</v>
      </c>
      <c r="K12" s="3464">
        <f>K11</f>
        <v>7.03</v>
      </c>
      <c r="L12" s="3464"/>
      <c r="M12" s="3464">
        <f>M11</f>
        <v>6.15</v>
      </c>
      <c r="N12" s="3464">
        <f>N11</f>
        <v>6.15</v>
      </c>
    </row>
    <row r="13" spans="1:16" ht="14.25">
      <c r="A13" s="3452"/>
      <c r="B13" s="3453" t="s">
        <v>3419</v>
      </c>
      <c r="C13" s="3453" t="s">
        <v>3420</v>
      </c>
      <c r="D13" s="3454" t="s">
        <v>3421</v>
      </c>
      <c r="E13" s="3454" t="s">
        <v>3428</v>
      </c>
      <c r="F13" s="3454" t="s">
        <v>3429</v>
      </c>
      <c r="G13" s="3454" t="s">
        <v>3465</v>
      </c>
      <c r="I13" s="3463">
        <v>3</v>
      </c>
      <c r="J13" s="3463" t="s">
        <v>3457</v>
      </c>
      <c r="K13" s="3464">
        <f>K12</f>
        <v>7.03</v>
      </c>
      <c r="L13" s="3464"/>
      <c r="M13" s="3464">
        <f>M12</f>
        <v>6.15</v>
      </c>
      <c r="N13" s="3464">
        <f>N11</f>
        <v>6.15</v>
      </c>
    </row>
    <row r="14" spans="1:16">
      <c r="A14" s="3456" t="s">
        <v>3418</v>
      </c>
      <c r="B14" s="1624">
        <v>628.9</v>
      </c>
      <c r="C14" s="3449">
        <v>5</v>
      </c>
      <c r="D14" s="3451" t="s">
        <v>3418</v>
      </c>
      <c r="E14" s="3454">
        <v>2000</v>
      </c>
      <c r="F14" s="3455">
        <f t="shared" ref="F14:F22" si="0">E14*B14</f>
        <v>1257800</v>
      </c>
      <c r="G14" s="3455"/>
      <c r="I14" s="3463">
        <v>4</v>
      </c>
      <c r="J14" s="3463" t="s">
        <v>3458</v>
      </c>
      <c r="K14" s="3464">
        <f>ROUND(K13*(1+L14),2)</f>
        <v>7.38</v>
      </c>
      <c r="L14" s="3465">
        <v>0.05</v>
      </c>
      <c r="M14" s="3464">
        <f>ROUND(M13*(1+L14),2)</f>
        <v>6.46</v>
      </c>
      <c r="N14" s="3464">
        <f>N11</f>
        <v>6.15</v>
      </c>
    </row>
    <row r="15" spans="1:16" ht="14.25">
      <c r="A15" s="3452">
        <v>1</v>
      </c>
      <c r="B15" s="1624">
        <v>3144.5</v>
      </c>
      <c r="C15" s="3449">
        <v>5</v>
      </c>
      <c r="D15" s="3449">
        <v>1</v>
      </c>
      <c r="E15" s="3455">
        <v>2500</v>
      </c>
      <c r="F15" s="3455">
        <f t="shared" si="0"/>
        <v>7861250</v>
      </c>
      <c r="G15" s="3455"/>
      <c r="I15" s="3463">
        <v>5</v>
      </c>
      <c r="J15" s="3463" t="s">
        <v>3459</v>
      </c>
      <c r="K15" s="3464">
        <f>K14</f>
        <v>7.38</v>
      </c>
      <c r="L15" s="3464"/>
      <c r="M15" s="3464">
        <f>M14</f>
        <v>6.46</v>
      </c>
      <c r="N15" s="3464">
        <f>N11</f>
        <v>6.15</v>
      </c>
    </row>
    <row r="16" spans="1:16" ht="14.25">
      <c r="A16" s="3452">
        <v>2</v>
      </c>
      <c r="B16" s="1624">
        <v>36.4</v>
      </c>
      <c r="C16" s="3449">
        <v>1</v>
      </c>
      <c r="D16" s="3449">
        <v>1</v>
      </c>
      <c r="E16" s="3455">
        <v>1200</v>
      </c>
      <c r="F16" s="3455">
        <f t="shared" si="0"/>
        <v>43680</v>
      </c>
      <c r="G16" s="3455"/>
      <c r="I16" s="3463">
        <v>6</v>
      </c>
      <c r="J16" s="3463" t="s">
        <v>3460</v>
      </c>
      <c r="K16" s="3464">
        <f>K15</f>
        <v>7.38</v>
      </c>
      <c r="L16" s="3464"/>
      <c r="M16" s="3464">
        <f>M15</f>
        <v>6.46</v>
      </c>
      <c r="N16" s="3464">
        <f>N11</f>
        <v>6.15</v>
      </c>
    </row>
    <row r="17" spans="1:14" ht="14.25">
      <c r="A17" s="3452">
        <v>3</v>
      </c>
      <c r="B17" s="1624">
        <v>12.46</v>
      </c>
      <c r="C17" s="3449">
        <v>1</v>
      </c>
      <c r="D17" s="3449">
        <v>1</v>
      </c>
      <c r="E17" s="3455">
        <v>1200</v>
      </c>
      <c r="F17" s="3455">
        <f t="shared" si="0"/>
        <v>14952.000000000002</v>
      </c>
      <c r="G17" s="3455"/>
      <c r="I17" s="3463">
        <v>7</v>
      </c>
      <c r="J17" s="3463" t="s">
        <v>3461</v>
      </c>
      <c r="K17" s="3464">
        <f>ROUND(K16*(1+L17),2)</f>
        <v>7.75</v>
      </c>
      <c r="L17" s="3465">
        <v>0.05</v>
      </c>
      <c r="M17" s="3464">
        <f>ROUND(M16*(1+L17),2)</f>
        <v>6.78</v>
      </c>
      <c r="N17" s="3464">
        <f>N11</f>
        <v>6.15</v>
      </c>
    </row>
    <row r="18" spans="1:14" ht="14.25">
      <c r="A18" s="3452">
        <v>4</v>
      </c>
      <c r="B18" s="1624">
        <v>54.8</v>
      </c>
      <c r="C18" s="3449">
        <v>1</v>
      </c>
      <c r="D18" s="3450">
        <v>1</v>
      </c>
      <c r="E18" s="3455">
        <v>1200</v>
      </c>
      <c r="F18" s="3455">
        <f t="shared" si="0"/>
        <v>65760</v>
      </c>
      <c r="G18" s="3455"/>
      <c r="I18" s="3463">
        <v>8</v>
      </c>
      <c r="J18" s="3463" t="s">
        <v>3462</v>
      </c>
      <c r="K18" s="3464">
        <f>K17</f>
        <v>7.75</v>
      </c>
      <c r="L18" s="3464"/>
      <c r="M18" s="3464">
        <f>M17</f>
        <v>6.78</v>
      </c>
      <c r="N18" s="3464">
        <f>N11</f>
        <v>6.15</v>
      </c>
    </row>
    <row r="19" spans="1:14" ht="14.25">
      <c r="A19" s="3452">
        <v>5</v>
      </c>
      <c r="B19" s="36">
        <v>554.54999999999995</v>
      </c>
      <c r="C19" s="3450">
        <v>1</v>
      </c>
      <c r="D19" s="3450">
        <v>1</v>
      </c>
      <c r="E19" s="3455">
        <v>1500</v>
      </c>
      <c r="F19" s="3455">
        <f t="shared" si="0"/>
        <v>831824.99999999988</v>
      </c>
      <c r="G19" s="3455" t="s">
        <v>3466</v>
      </c>
      <c r="I19" s="3463">
        <v>9</v>
      </c>
      <c r="J19" s="3463" t="s">
        <v>3463</v>
      </c>
      <c r="K19" s="3464">
        <f>K18</f>
        <v>7.75</v>
      </c>
      <c r="L19" s="3464"/>
      <c r="M19" s="3464">
        <f>M18</f>
        <v>6.78</v>
      </c>
      <c r="N19" s="3464">
        <f>N11</f>
        <v>6.15</v>
      </c>
    </row>
    <row r="20" spans="1:14" ht="14.25">
      <c r="A20" s="3452">
        <v>6</v>
      </c>
      <c r="B20" s="36">
        <v>148.1</v>
      </c>
      <c r="C20" s="3450">
        <v>1</v>
      </c>
      <c r="D20" s="3450">
        <v>1</v>
      </c>
      <c r="E20" s="3455">
        <v>1200</v>
      </c>
      <c r="F20" s="3455">
        <f t="shared" si="0"/>
        <v>177720</v>
      </c>
      <c r="G20" s="3455"/>
      <c r="I20" s="3463">
        <v>10</v>
      </c>
      <c r="J20" s="3463" t="s">
        <v>3896</v>
      </c>
      <c r="K20" s="3464">
        <f>ROUND(K19*(1+L20),2)</f>
        <v>8.14</v>
      </c>
      <c r="L20" s="3465">
        <v>0.05</v>
      </c>
      <c r="M20" s="3464">
        <f>ROUND(M19*(1+L20),2)</f>
        <v>7.12</v>
      </c>
      <c r="N20" s="3464">
        <f>N11</f>
        <v>6.15</v>
      </c>
    </row>
    <row r="21" spans="1:14" ht="14.25">
      <c r="A21" s="3452">
        <v>7</v>
      </c>
      <c r="B21" s="36">
        <v>78.5</v>
      </c>
      <c r="C21" s="3450">
        <v>1</v>
      </c>
      <c r="D21" s="3450">
        <v>1</v>
      </c>
      <c r="E21" s="3455">
        <v>1200</v>
      </c>
      <c r="F21" s="3455">
        <f t="shared" si="0"/>
        <v>94200</v>
      </c>
      <c r="G21" s="3455"/>
      <c r="I21" s="3463"/>
      <c r="J21" s="3463" t="s">
        <v>3450</v>
      </c>
      <c r="K21" s="3466">
        <f>ROUND((K11+K12+K13+K14+K15+K16+K17+K18+K19+K20)/10,2)</f>
        <v>7.46</v>
      </c>
      <c r="L21" s="3464"/>
      <c r="M21" s="3466">
        <f>ROUND((M11+M12+M13+M14+M15+M16+M17+M18+M19+M20)/10,2)</f>
        <v>6.53</v>
      </c>
      <c r="N21" s="3466">
        <f>ROUND((N11+N12+N13+N14+N15+N16+N17+N18+N19+N20)/10,2)</f>
        <v>6.15</v>
      </c>
    </row>
    <row r="22" spans="1:14" ht="14.25">
      <c r="A22" s="3452">
        <v>8</v>
      </c>
      <c r="B22" s="36">
        <v>137.80000000000001</v>
      </c>
      <c r="C22" s="3450">
        <v>1</v>
      </c>
      <c r="D22" s="3450">
        <v>1</v>
      </c>
      <c r="E22" s="3455">
        <v>1200</v>
      </c>
      <c r="F22" s="3455">
        <f t="shared" si="0"/>
        <v>165360</v>
      </c>
      <c r="G22" s="3455"/>
      <c r="I22" s="3447"/>
      <c r="J22" s="3447"/>
    </row>
    <row r="23" spans="1:14">
      <c r="A23" s="3456" t="s">
        <v>3443</v>
      </c>
      <c r="B23" s="3459">
        <f>B14+B15+B16+B17+B18+B19+B20+B21+B22</f>
        <v>4796.0100000000011</v>
      </c>
      <c r="C23" s="3457"/>
      <c r="D23" s="3455"/>
      <c r="E23" s="3454" t="s">
        <v>3422</v>
      </c>
      <c r="F23" s="3455">
        <f>F14+F15+F16+F17+F18+F19+F20+F21+F22</f>
        <v>10512547</v>
      </c>
      <c r="G23" s="3477">
        <f>ROUND(F23/'数据-汇总表'!E19,0)</f>
        <v>2192</v>
      </c>
    </row>
    <row r="26" spans="1:14">
      <c r="C26" s="3447" t="s">
        <v>3507</v>
      </c>
      <c r="D26">
        <f>B14/B23</f>
        <v>0.13112983500868428</v>
      </c>
      <c r="F26">
        <f>20000000/L6</f>
        <v>4170.1330897975604</v>
      </c>
      <c r="N26" s="3447" t="s">
        <v>3445</v>
      </c>
    </row>
    <row r="27" spans="1:14">
      <c r="K27" s="3447" t="s">
        <v>3435</v>
      </c>
      <c r="L27" s="3447" t="s">
        <v>3436</v>
      </c>
      <c r="N27" s="3447" t="s">
        <v>3437</v>
      </c>
    </row>
    <row r="28" spans="1:14">
      <c r="I28" s="3447" t="s">
        <v>3430</v>
      </c>
      <c r="J28" s="3458">
        <f>B14</f>
        <v>628.9</v>
      </c>
      <c r="K28">
        <f>K29*L28</f>
        <v>3.5</v>
      </c>
      <c r="L28">
        <v>0.5</v>
      </c>
      <c r="M28">
        <f t="shared" ref="M28:M33" si="1">K28*J28</f>
        <v>2201.15</v>
      </c>
    </row>
    <row r="29" spans="1:14">
      <c r="A29" s="3460" t="s">
        <v>3446</v>
      </c>
      <c r="I29" s="3447" t="s">
        <v>3427</v>
      </c>
      <c r="J29">
        <f>B16+B17+B18+B19+B20+B21+B22+B15/5</f>
        <v>1651.5099999999998</v>
      </c>
      <c r="K29">
        <v>7</v>
      </c>
      <c r="L29">
        <v>1</v>
      </c>
      <c r="M29">
        <f t="shared" si="1"/>
        <v>11560.569999999998</v>
      </c>
    </row>
    <row r="30" spans="1:14">
      <c r="A30" s="3460" t="s">
        <v>3423</v>
      </c>
      <c r="B30" s="3460" t="s">
        <v>3424</v>
      </c>
      <c r="C30" s="3461"/>
      <c r="D30" s="3461"/>
      <c r="I30" s="3447" t="s">
        <v>3431</v>
      </c>
      <c r="J30">
        <f>B15/5</f>
        <v>628.9</v>
      </c>
      <c r="K30">
        <f>K29*L30</f>
        <v>4.8999999999999995</v>
      </c>
      <c r="L30">
        <v>0.7</v>
      </c>
      <c r="M30">
        <f t="shared" si="1"/>
        <v>3081.6099999999997</v>
      </c>
    </row>
    <row r="31" spans="1:14">
      <c r="A31" s="3460" t="s">
        <v>3398</v>
      </c>
      <c r="B31" s="3461">
        <v>4500000</v>
      </c>
      <c r="C31" s="3461">
        <v>5000000</v>
      </c>
      <c r="D31" s="3460" t="s">
        <v>3399</v>
      </c>
      <c r="I31" s="3447" t="s">
        <v>3432</v>
      </c>
      <c r="J31">
        <f>B15/5</f>
        <v>628.9</v>
      </c>
      <c r="K31">
        <f>K29*L31</f>
        <v>3.5</v>
      </c>
      <c r="L31">
        <v>0.5</v>
      </c>
      <c r="M31">
        <f t="shared" si="1"/>
        <v>2201.15</v>
      </c>
    </row>
    <row r="32" spans="1:14">
      <c r="A32" s="3460" t="s">
        <v>3400</v>
      </c>
      <c r="B32" s="3461">
        <f>ROUND(B31/'数据-汇总表'!E3/365,2)</f>
        <v>2.57</v>
      </c>
      <c r="C32" s="3461">
        <f>ROUND(C31/'数据-汇总表'!E3/365,2)</f>
        <v>2.86</v>
      </c>
      <c r="D32" s="3461"/>
      <c r="I32" s="3447" t="s">
        <v>3433</v>
      </c>
      <c r="J32">
        <f>B15/5</f>
        <v>628.9</v>
      </c>
      <c r="K32">
        <f>K29*L32</f>
        <v>3.5</v>
      </c>
      <c r="L32">
        <v>0.5</v>
      </c>
      <c r="M32">
        <f t="shared" si="1"/>
        <v>2201.15</v>
      </c>
    </row>
    <row r="33" spans="9:14">
      <c r="I33" s="3447" t="s">
        <v>3434</v>
      </c>
      <c r="J33">
        <f>B15/5</f>
        <v>628.9</v>
      </c>
      <c r="K33">
        <f>K29*L33</f>
        <v>3.5</v>
      </c>
      <c r="L33">
        <v>0.5</v>
      </c>
      <c r="M33">
        <f t="shared" si="1"/>
        <v>2201.15</v>
      </c>
    </row>
    <row r="34" spans="9:14">
      <c r="J34" s="3458">
        <f>J28+J29+J30+J31+J32+J33</f>
        <v>4796.0099999999993</v>
      </c>
      <c r="K34" s="3447" t="s">
        <v>3468</v>
      </c>
      <c r="L34">
        <f>L28+L29+L30+L31+L32+L33</f>
        <v>3.7</v>
      </c>
      <c r="M34">
        <f>M28+M29+M30+M31+M32+M33</f>
        <v>23446.780000000002</v>
      </c>
      <c r="N34">
        <f>ROUND(M34/J34,2)</f>
        <v>4.8899999999999997</v>
      </c>
    </row>
    <row r="35" spans="9:14">
      <c r="L35">
        <f>L34/6</f>
        <v>0.6166666666666667</v>
      </c>
    </row>
    <row r="51" spans="1:3">
      <c r="A51" s="3447" t="s">
        <v>3425</v>
      </c>
    </row>
    <row r="52" spans="1:3">
      <c r="A52">
        <v>15110068568</v>
      </c>
      <c r="C52" s="3447"/>
    </row>
    <row r="53" spans="1:3">
      <c r="A53" s="3447" t="s">
        <v>3426</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2" t="str">
        <f>项目基本情况!B1</f>
        <v>北京市东城区智德北巷5号房地产抵押价值预评估</v>
      </c>
      <c r="C37" s="3502"/>
      <c r="D37" s="3502"/>
      <c r="E37" s="3502"/>
      <c r="F37" s="3502"/>
      <c r="G37" s="3502"/>
      <c r="H37" s="3502"/>
      <c r="I37" s="350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2719.9969999999998</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5671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959202</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959202</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959202</v>
      </c>
      <c r="D10" s="844">
        <f ca="1">IF(B1="",'数据-汇总表'!E6,IF(INDIRECT("'数据-取费表'!c"&amp;$G$1)="住宅",INDIRECT("'数据-取费表'!s"&amp;$G$1),INDIRECT("'数据-取费表'!k"&amp;$G$1)+INDIRECT("'数据-取费表'!s"&amp;$G$1)))</f>
        <v>4796.0100000000011</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959202</v>
      </c>
      <c r="D19" s="848">
        <f ca="1">D9+D10</f>
        <v>4796.0100000000011</v>
      </c>
      <c r="E19" s="210">
        <f>'数据-取费表'!B31</f>
        <v>200</v>
      </c>
      <c r="F19" s="230"/>
      <c r="G19" s="1854"/>
    </row>
    <row r="20" spans="1:7" s="213" customFormat="1" ht="13.5" customHeight="1">
      <c r="A20" s="254" t="s">
        <v>1574</v>
      </c>
      <c r="B20" s="209" t="s">
        <v>1575</v>
      </c>
      <c r="C20" s="231">
        <f ca="1">ROUND((C5+C19)*F20,0)</f>
        <v>38368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98162</v>
      </c>
      <c r="D22" s="234">
        <f>C26</f>
        <v>5.0000000000000001E-4</v>
      </c>
      <c r="E22" s="235" t="s">
        <v>1579</v>
      </c>
      <c r="F22" s="236">
        <f>'数据-取费表'!B40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48601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48601</v>
      </c>
      <c r="D24" s="237"/>
      <c r="E24" s="237"/>
      <c r="F24" s="238"/>
      <c r="G24" s="239" t="s">
        <v>1586</v>
      </c>
    </row>
    <row r="25" spans="1:7" s="213" customFormat="1" ht="24">
      <c r="A25" s="779" t="s">
        <v>1476</v>
      </c>
      <c r="B25" s="214" t="s">
        <v>1587</v>
      </c>
      <c r="C25" s="1127">
        <f ca="1">ROUND(IF('数据-取费表'!B22&lt;=1,C20*F22*'数据-取费表'!B22/2,C20*(POWER((1+F22),'数据-取费表'!B22/2)-1)),0)</f>
        <v>960</v>
      </c>
      <c r="D25" s="237"/>
      <c r="E25" s="240"/>
      <c r="F25" s="238"/>
      <c r="G25" s="241" t="s">
        <v>1588</v>
      </c>
    </row>
    <row r="26" spans="1:7" s="213" customFormat="1">
      <c r="A26" s="779" t="s">
        <v>350</v>
      </c>
      <c r="B26" s="214" t="s">
        <v>1511</v>
      </c>
      <c r="C26" s="237">
        <f>ROUND(IF('数据-取费表'!B22&lt;=1,F21*F22*'数据-取费表'!B22/2,F21*(POWER((1+F22),'数据-取费表'!B22/2)-1)),4)</f>
        <v>5.0000000000000001E-4</v>
      </c>
      <c r="D26" s="237"/>
      <c r="E26" s="240"/>
      <c r="F26" s="238"/>
      <c r="G26" s="242"/>
    </row>
    <row r="27" spans="1:7" s="213" customFormat="1" ht="24.75">
      <c r="A27" s="254" t="s">
        <v>1512</v>
      </c>
      <c r="B27" s="243" t="s">
        <v>1513</v>
      </c>
      <c r="C27" s="244">
        <f ca="1">C28</f>
        <v>293516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293516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2543815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21102444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19184040</v>
      </c>
      <c r="D34" s="216"/>
      <c r="E34" s="219"/>
      <c r="F34" s="256"/>
      <c r="G34" s="218"/>
    </row>
    <row r="35" spans="1:7" ht="13.5" customHeight="1">
      <c r="A35" s="779" t="s">
        <v>351</v>
      </c>
      <c r="B35" s="214" t="s">
        <v>1527</v>
      </c>
      <c r="C35" s="219">
        <f ca="1">ROUND(C34*F35,0)</f>
        <v>575521</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959202</v>
      </c>
      <c r="D37" s="216">
        <f ca="1">D19</f>
        <v>4796.0100000000011</v>
      </c>
      <c r="E37" s="248">
        <f>'数据-取费表'!B35</f>
        <v>200</v>
      </c>
      <c r="F37" s="258"/>
      <c r="G37" s="260"/>
    </row>
    <row r="38" spans="1:7" ht="13.5" customHeight="1">
      <c r="A38" s="779" t="s">
        <v>354</v>
      </c>
      <c r="B38" s="214" t="s">
        <v>1533</v>
      </c>
      <c r="C38" s="219">
        <f ca="1">ROUND(C34*F38,0)</f>
        <v>383681</v>
      </c>
      <c r="D38" s="219"/>
      <c r="E38" s="219"/>
      <c r="F38" s="258">
        <f>'数据-取费表'!B36</f>
        <v>0.02</v>
      </c>
      <c r="G38" s="218" t="s">
        <v>1528</v>
      </c>
    </row>
    <row r="39" spans="1:7" s="213" customFormat="1" ht="13.5" customHeight="1">
      <c r="A39" s="254" t="s">
        <v>1534</v>
      </c>
      <c r="B39" s="209" t="s">
        <v>1535</v>
      </c>
      <c r="C39" s="231">
        <f ca="1">ROUND(C33*F20,0)</f>
        <v>422049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538569</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528009</v>
      </c>
      <c r="D42" s="237"/>
      <c r="E42" s="237"/>
      <c r="F42" s="238"/>
      <c r="G42" s="3685" t="s">
        <v>1591</v>
      </c>
    </row>
    <row r="43" spans="1:7" ht="13.5" customHeight="1">
      <c r="A43" s="779" t="s">
        <v>347</v>
      </c>
      <c r="B43" s="214" t="s">
        <v>1545</v>
      </c>
      <c r="C43" s="237">
        <f ca="1">ROUND(IF('数据-取费表'!B22&lt;=1,C39*F22*'数据-取费表'!B20/2,C39*(POWER((1+F22),'数据-取费表'!B20/2)-1)),0)</f>
        <v>10560</v>
      </c>
      <c r="D43" s="237"/>
      <c r="E43" s="237"/>
      <c r="F43" s="238"/>
      <c r="G43" s="3686"/>
    </row>
    <row r="44" spans="1:7" ht="13.5" customHeight="1">
      <c r="A44" s="779" t="s">
        <v>348</v>
      </c>
      <c r="B44" s="214" t="s">
        <v>1546</v>
      </c>
      <c r="C44" s="237">
        <f>ROUND(IF('数据-取费表'!B22&lt;=1,C40*F22*'数据-取费表'!B20/2,C40*(POWER((1+F22),'数据-取费表'!B20/2)-1)),4)</f>
        <v>5.0000000000000001E-4</v>
      </c>
      <c r="D44" s="237"/>
      <c r="E44" s="237"/>
      <c r="F44" s="238"/>
      <c r="G44" s="3687"/>
    </row>
    <row r="45" spans="1:7" s="213" customFormat="1" ht="13.5" customHeight="1">
      <c r="A45" s="254" t="s">
        <v>1547</v>
      </c>
      <c r="B45" s="243" t="s">
        <v>1513</v>
      </c>
      <c r="C45" s="244">
        <f ca="1">C46</f>
        <v>3228674</v>
      </c>
      <c r="D45" s="234">
        <f ca="1">C47</f>
        <v>3.0000000000000001E-3</v>
      </c>
      <c r="E45" s="235" t="s">
        <v>1539</v>
      </c>
      <c r="F45" s="245">
        <f ca="1">F27</f>
        <v>0.15</v>
      </c>
      <c r="G45" s="246" t="s">
        <v>1548</v>
      </c>
    </row>
    <row r="46" spans="1:7" s="213" customFormat="1" ht="13.5" customHeight="1">
      <c r="A46" s="779" t="s">
        <v>346</v>
      </c>
      <c r="B46" s="247" t="s">
        <v>1549</v>
      </c>
      <c r="C46" s="248">
        <f ca="1">ROUND((C33+C39)*F27,0)</f>
        <v>3228674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27395728</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24656155</v>
      </c>
      <c r="D51" s="231"/>
      <c r="E51" s="231"/>
      <c r="F51" s="263"/>
      <c r="G51" s="233" t="s">
        <v>1560</v>
      </c>
    </row>
    <row r="52" spans="1:7" s="207" customFormat="1" ht="16.5" thickBot="1">
      <c r="A52" s="264" t="s">
        <v>1561</v>
      </c>
      <c r="B52" s="265"/>
      <c r="C52" s="266">
        <f ca="1">C31+C51</f>
        <v>27199970</v>
      </c>
      <c r="D52" s="265"/>
      <c r="E52" s="265"/>
      <c r="F52" s="265"/>
      <c r="G52" s="267"/>
    </row>
    <row r="55" spans="1:7" ht="15">
      <c r="B55" s="269" t="s">
        <v>1562</v>
      </c>
      <c r="C55" s="270"/>
    </row>
    <row r="56" spans="1:7">
      <c r="B56" s="272" t="s">
        <v>802</v>
      </c>
      <c r="C56" s="274">
        <f ca="1">1-C57</f>
        <v>9.3999999999999972E-2</v>
      </c>
    </row>
    <row r="57" spans="1:7">
      <c r="B57" s="272" t="s">
        <v>803</v>
      </c>
      <c r="C57" s="273">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89"/>
      <c r="C1" s="1190"/>
      <c r="D1" s="1188"/>
      <c r="E1" s="2802"/>
      <c r="F1" s="2802"/>
      <c r="G1" s="2668"/>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4796.0100000000011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4796.0100000000011</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96</v>
      </c>
      <c r="D20" s="845">
        <f ca="1">IF(C1="",'数据-汇总表'!E6,IF(INDIRECT("'数据-取费表'!c"&amp;$K$1)="住宅",INDIRECT("'数据-取费表'!s"&amp;$K$1),INDIRECT("'数据-取费表'!k"&amp;$K$1)+INDIRECT("'数据-取费表'!s"&amp;$K$1)))</f>
        <v>4796.0100000000011</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C26</f>
        <v>0</v>
      </c>
      <c r="E25" s="281" t="s">
        <v>12</v>
      </c>
      <c r="F25" s="282">
        <f>'数据-取费表'!B40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0"/>
  <sheetViews>
    <sheetView workbookViewId="0">
      <selection activeCell="M80" sqref="M80"/>
    </sheetView>
  </sheetViews>
  <sheetFormatPr defaultRowHeight="13.5"/>
  <cols>
    <col min="9" max="9" width="11.25" customWidth="1"/>
  </cols>
  <sheetData>
    <row r="1" spans="1:16" ht="40.5">
      <c r="A1" s="3489" t="s">
        <v>3527</v>
      </c>
      <c r="B1" s="3489" t="s">
        <v>3528</v>
      </c>
      <c r="C1" s="3489" t="s">
        <v>3529</v>
      </c>
      <c r="D1" s="3489" t="s">
        <v>3530</v>
      </c>
      <c r="E1" s="3489" t="s">
        <v>3531</v>
      </c>
      <c r="F1" s="3489" t="s">
        <v>3532</v>
      </c>
      <c r="G1" s="3489" t="s">
        <v>3533</v>
      </c>
      <c r="H1" s="3489" t="s">
        <v>3534</v>
      </c>
      <c r="I1" s="3490" t="s">
        <v>3535</v>
      </c>
      <c r="J1" s="3489" t="s">
        <v>3536</v>
      </c>
      <c r="K1" s="3489" t="s">
        <v>3537</v>
      </c>
      <c r="L1" s="3489" t="s">
        <v>3538</v>
      </c>
      <c r="M1" s="3489" t="s">
        <v>3539</v>
      </c>
      <c r="N1" s="3489" t="s">
        <v>3540</v>
      </c>
      <c r="O1" s="3489" t="s">
        <v>3541</v>
      </c>
      <c r="P1" s="3489" t="s">
        <v>3542</v>
      </c>
    </row>
    <row r="2" spans="1:16" ht="67.5">
      <c r="A2" s="3486" t="s">
        <v>3510</v>
      </c>
      <c r="B2" s="3486" t="s">
        <v>3511</v>
      </c>
      <c r="C2" s="3486" t="s">
        <v>3512</v>
      </c>
      <c r="D2" s="3486" t="s">
        <v>3513</v>
      </c>
      <c r="E2" s="3486" t="s">
        <v>3514</v>
      </c>
      <c r="F2" s="3486" t="s">
        <v>673</v>
      </c>
      <c r="G2" s="3486" t="s">
        <v>3515</v>
      </c>
      <c r="H2" s="3486" t="s">
        <v>3516</v>
      </c>
      <c r="I2" s="3487">
        <v>44834</v>
      </c>
      <c r="J2" s="3486" t="s">
        <v>3517</v>
      </c>
      <c r="K2" s="3486" t="s">
        <v>3518</v>
      </c>
      <c r="L2" s="3488">
        <v>56000</v>
      </c>
      <c r="M2" s="3488">
        <v>48568</v>
      </c>
      <c r="N2" s="3488">
        <v>11530</v>
      </c>
      <c r="O2" s="3486" t="s">
        <v>3519</v>
      </c>
      <c r="P2" s="3486" t="s">
        <v>3520</v>
      </c>
    </row>
    <row r="3" spans="1:16" ht="54">
      <c r="A3" s="3496" t="s">
        <v>3874</v>
      </c>
      <c r="B3" s="3486" t="s">
        <v>3522</v>
      </c>
      <c r="C3" s="3486" t="s">
        <v>3512</v>
      </c>
      <c r="D3" s="3486" t="s">
        <v>3523</v>
      </c>
      <c r="E3" s="3486" t="s">
        <v>633</v>
      </c>
      <c r="F3" s="3486" t="s">
        <v>3506</v>
      </c>
      <c r="G3" s="3486" t="s">
        <v>3506</v>
      </c>
      <c r="H3" s="3486" t="s">
        <v>633</v>
      </c>
      <c r="I3" s="3487">
        <v>44834</v>
      </c>
      <c r="J3" s="3486" t="s">
        <v>3517</v>
      </c>
      <c r="K3" s="3486" t="s">
        <v>3524</v>
      </c>
      <c r="L3" s="3488">
        <v>55000</v>
      </c>
      <c r="M3" s="3488">
        <v>47701</v>
      </c>
      <c r="N3" s="3488">
        <v>11530</v>
      </c>
      <c r="O3" s="3486" t="s">
        <v>3525</v>
      </c>
      <c r="P3" s="3486" t="s">
        <v>3526</v>
      </c>
    </row>
    <row r="10" spans="1:16" ht="40.5">
      <c r="A10" s="3489" t="s">
        <v>3527</v>
      </c>
      <c r="B10" s="3489" t="s">
        <v>3528</v>
      </c>
      <c r="C10" s="3489" t="s">
        <v>3529</v>
      </c>
      <c r="D10" s="3489" t="s">
        <v>3530</v>
      </c>
      <c r="E10" s="3489" t="s">
        <v>3531</v>
      </c>
      <c r="F10" s="3489" t="s">
        <v>3532</v>
      </c>
      <c r="G10" s="3489" t="s">
        <v>3533</v>
      </c>
      <c r="H10" s="3489" t="s">
        <v>3534</v>
      </c>
      <c r="I10" s="3490" t="s">
        <v>3535</v>
      </c>
      <c r="J10" s="3489" t="s">
        <v>3536</v>
      </c>
      <c r="K10" s="3489" t="s">
        <v>3537</v>
      </c>
      <c r="L10" s="3489" t="s">
        <v>3538</v>
      </c>
      <c r="M10" s="3489" t="s">
        <v>3539</v>
      </c>
      <c r="N10" s="3489" t="s">
        <v>3540</v>
      </c>
      <c r="O10" s="3489" t="s">
        <v>3541</v>
      </c>
      <c r="P10" s="3489" t="s">
        <v>3542</v>
      </c>
    </row>
    <row r="11" spans="1:16" ht="67.5">
      <c r="A11" s="3491" t="s">
        <v>3544</v>
      </c>
      <c r="B11" s="3491" t="s">
        <v>3545</v>
      </c>
      <c r="C11" s="3491" t="s">
        <v>3512</v>
      </c>
      <c r="D11" s="3491" t="s">
        <v>3546</v>
      </c>
      <c r="E11" s="3491" t="s">
        <v>633</v>
      </c>
      <c r="F11" s="3491" t="s">
        <v>673</v>
      </c>
      <c r="G11" s="3491" t="s">
        <v>3547</v>
      </c>
      <c r="H11" s="3491" t="s">
        <v>633</v>
      </c>
      <c r="I11" s="3492">
        <v>45435</v>
      </c>
      <c r="J11" s="3491" t="s">
        <v>3517</v>
      </c>
      <c r="K11" s="3491" t="s">
        <v>3548</v>
      </c>
      <c r="L11" s="3493">
        <v>4210.2</v>
      </c>
      <c r="M11" s="3493">
        <v>18532</v>
      </c>
      <c r="N11" s="3493">
        <v>2271.9</v>
      </c>
      <c r="O11" s="3491" t="s">
        <v>3549</v>
      </c>
      <c r="P11" s="3491" t="s">
        <v>3550</v>
      </c>
    </row>
    <row r="12" spans="1:16" ht="67.5">
      <c r="A12" s="3491" t="s">
        <v>3544</v>
      </c>
      <c r="B12" s="3491" t="s">
        <v>3545</v>
      </c>
      <c r="C12" s="3491" t="s">
        <v>3512</v>
      </c>
      <c r="D12" s="3491" t="s">
        <v>3546</v>
      </c>
      <c r="E12" s="3491" t="s">
        <v>633</v>
      </c>
      <c r="F12" s="3491" t="s">
        <v>673</v>
      </c>
      <c r="G12" s="3491" t="s">
        <v>3547</v>
      </c>
      <c r="H12" s="3491" t="s">
        <v>633</v>
      </c>
      <c r="I12" s="3492">
        <v>45435</v>
      </c>
      <c r="J12" s="3491" t="s">
        <v>3517</v>
      </c>
      <c r="K12" s="3491" t="s">
        <v>3548</v>
      </c>
      <c r="L12" s="3493">
        <v>4210.2</v>
      </c>
      <c r="M12" s="3493">
        <v>18532</v>
      </c>
      <c r="N12" s="3493">
        <v>2271.9</v>
      </c>
      <c r="O12" s="3491" t="s">
        <v>3549</v>
      </c>
      <c r="P12" s="3491" t="s">
        <v>3550</v>
      </c>
    </row>
    <row r="13" spans="1:16" ht="135">
      <c r="A13" s="3491" t="s">
        <v>3551</v>
      </c>
      <c r="B13" s="3491" t="s">
        <v>3552</v>
      </c>
      <c r="C13" s="3491" t="s">
        <v>3512</v>
      </c>
      <c r="D13" s="3491" t="s">
        <v>3553</v>
      </c>
      <c r="E13" s="3491" t="s">
        <v>633</v>
      </c>
      <c r="F13" s="3491" t="s">
        <v>3506</v>
      </c>
      <c r="G13" s="3491" t="s">
        <v>3506</v>
      </c>
      <c r="H13" s="3491" t="s">
        <v>633</v>
      </c>
      <c r="I13" s="3492">
        <v>45426</v>
      </c>
      <c r="J13" s="3491" t="s">
        <v>3517</v>
      </c>
      <c r="K13" s="3491" t="s">
        <v>3548</v>
      </c>
      <c r="L13" s="3493">
        <v>70036.05</v>
      </c>
      <c r="M13" s="3493">
        <v>17740</v>
      </c>
      <c r="N13" s="3493">
        <v>39479.03</v>
      </c>
      <c r="O13" s="3491" t="s">
        <v>3554</v>
      </c>
      <c r="P13" s="3491" t="s">
        <v>3555</v>
      </c>
    </row>
    <row r="14" spans="1:16" ht="148.5">
      <c r="A14" s="3491" t="s">
        <v>3556</v>
      </c>
      <c r="B14" s="3491" t="s">
        <v>3557</v>
      </c>
      <c r="C14" s="3491" t="s">
        <v>3512</v>
      </c>
      <c r="D14" s="3491" t="s">
        <v>3558</v>
      </c>
      <c r="E14" s="3491" t="s">
        <v>3559</v>
      </c>
      <c r="F14" s="3491" t="s">
        <v>673</v>
      </c>
      <c r="G14" s="3491" t="s">
        <v>3560</v>
      </c>
      <c r="H14" s="3491" t="s">
        <v>633</v>
      </c>
      <c r="I14" s="3492">
        <v>45401</v>
      </c>
      <c r="J14" s="3491" t="s">
        <v>3517</v>
      </c>
      <c r="K14" s="3491" t="s">
        <v>3548</v>
      </c>
      <c r="L14" s="3493">
        <v>35188.32</v>
      </c>
      <c r="M14" s="3493">
        <v>57139</v>
      </c>
      <c r="N14" s="3493">
        <v>6158.34</v>
      </c>
      <c r="O14" s="3491" t="s">
        <v>3561</v>
      </c>
      <c r="P14" s="3491" t="s">
        <v>3562</v>
      </c>
    </row>
    <row r="15" spans="1:16" ht="108">
      <c r="A15" s="3491" t="s">
        <v>3563</v>
      </c>
      <c r="B15" s="3491" t="s">
        <v>3564</v>
      </c>
      <c r="C15" s="3491" t="s">
        <v>3512</v>
      </c>
      <c r="D15" s="3491" t="s">
        <v>3565</v>
      </c>
      <c r="E15" s="3491" t="s">
        <v>3566</v>
      </c>
      <c r="F15" s="3491" t="s">
        <v>673</v>
      </c>
      <c r="G15" s="3491" t="s">
        <v>3560</v>
      </c>
      <c r="H15" s="3491" t="s">
        <v>633</v>
      </c>
      <c r="I15" s="3492">
        <v>45398</v>
      </c>
      <c r="J15" s="3491" t="s">
        <v>3517</v>
      </c>
      <c r="K15" s="3491" t="s">
        <v>3548</v>
      </c>
      <c r="L15" s="3493">
        <v>1001.98</v>
      </c>
      <c r="M15" s="3493">
        <v>15939</v>
      </c>
      <c r="N15" s="3493">
        <v>628.64</v>
      </c>
      <c r="O15" s="3491" t="s">
        <v>633</v>
      </c>
      <c r="P15" s="3491" t="s">
        <v>3567</v>
      </c>
    </row>
    <row r="16" spans="1:16" ht="108">
      <c r="A16" s="3491" t="s">
        <v>3568</v>
      </c>
      <c r="B16" s="3491" t="s">
        <v>3564</v>
      </c>
      <c r="C16" s="3491" t="s">
        <v>3512</v>
      </c>
      <c r="D16" s="3491" t="s">
        <v>3565</v>
      </c>
      <c r="E16" s="3491" t="s">
        <v>3566</v>
      </c>
      <c r="F16" s="3491" t="s">
        <v>673</v>
      </c>
      <c r="G16" s="3491" t="s">
        <v>3560</v>
      </c>
      <c r="H16" s="3491" t="s">
        <v>633</v>
      </c>
      <c r="I16" s="3492">
        <v>45387</v>
      </c>
      <c r="J16" s="3491" t="s">
        <v>3517</v>
      </c>
      <c r="K16" s="3491" t="s">
        <v>3548</v>
      </c>
      <c r="L16" s="3493">
        <v>1315.34</v>
      </c>
      <c r="M16" s="3493">
        <v>4982</v>
      </c>
      <c r="N16" s="3493">
        <v>2640.17</v>
      </c>
      <c r="O16" s="3491" t="s">
        <v>633</v>
      </c>
      <c r="P16" s="3491" t="s">
        <v>3567</v>
      </c>
    </row>
    <row r="17" spans="1:16" ht="148.5">
      <c r="A17" s="3491" t="s">
        <v>3569</v>
      </c>
      <c r="B17" s="3491" t="s">
        <v>3570</v>
      </c>
      <c r="C17" s="3491" t="s">
        <v>3512</v>
      </c>
      <c r="D17" s="3491" t="s">
        <v>3571</v>
      </c>
      <c r="E17" s="3491" t="s">
        <v>3572</v>
      </c>
      <c r="F17" s="3491" t="s">
        <v>673</v>
      </c>
      <c r="G17" s="3491" t="s">
        <v>3560</v>
      </c>
      <c r="H17" s="3491" t="s">
        <v>633</v>
      </c>
      <c r="I17" s="3492">
        <v>45373</v>
      </c>
      <c r="J17" s="3491" t="s">
        <v>3517</v>
      </c>
      <c r="K17" s="3491" t="s">
        <v>3548</v>
      </c>
      <c r="L17" s="3493">
        <v>1395.6</v>
      </c>
      <c r="M17" s="3493">
        <v>13068</v>
      </c>
      <c r="N17" s="3493">
        <v>1067.95</v>
      </c>
      <c r="O17" s="3491" t="s">
        <v>633</v>
      </c>
      <c r="P17" s="3491" t="s">
        <v>3573</v>
      </c>
    </row>
    <row r="18" spans="1:16" ht="81">
      <c r="A18" s="3491" t="s">
        <v>3574</v>
      </c>
      <c r="B18" s="3491" t="s">
        <v>3575</v>
      </c>
      <c r="C18" s="3491" t="s">
        <v>3512</v>
      </c>
      <c r="D18" s="3491" t="s">
        <v>3576</v>
      </c>
      <c r="E18" s="3491" t="s">
        <v>3577</v>
      </c>
      <c r="F18" s="3491" t="s">
        <v>673</v>
      </c>
      <c r="G18" s="3491" t="s">
        <v>3560</v>
      </c>
      <c r="H18" s="3491" t="s">
        <v>3516</v>
      </c>
      <c r="I18" s="3492">
        <v>45364</v>
      </c>
      <c r="J18" s="3491" t="s">
        <v>3517</v>
      </c>
      <c r="K18" s="3491" t="s">
        <v>3548</v>
      </c>
      <c r="L18" s="3493">
        <v>1103.83</v>
      </c>
      <c r="M18" s="3493">
        <v>14859</v>
      </c>
      <c r="N18" s="3493">
        <v>742.87</v>
      </c>
      <c r="O18" s="3491" t="s">
        <v>3578</v>
      </c>
      <c r="P18" s="3491" t="s">
        <v>633</v>
      </c>
    </row>
    <row r="19" spans="1:16" ht="67.5">
      <c r="A19" s="3491" t="s">
        <v>3579</v>
      </c>
      <c r="B19" s="3491" t="s">
        <v>3580</v>
      </c>
      <c r="C19" s="3491" t="s">
        <v>3512</v>
      </c>
      <c r="D19" s="3491" t="s">
        <v>3581</v>
      </c>
      <c r="E19" s="3491" t="s">
        <v>3582</v>
      </c>
      <c r="F19" s="3491" t="s">
        <v>673</v>
      </c>
      <c r="G19" s="3491" t="s">
        <v>3560</v>
      </c>
      <c r="H19" s="3491" t="s">
        <v>633</v>
      </c>
      <c r="I19" s="3492">
        <v>45361</v>
      </c>
      <c r="J19" s="3491" t="s">
        <v>3517</v>
      </c>
      <c r="K19" s="3491" t="s">
        <v>3548</v>
      </c>
      <c r="L19" s="3493">
        <v>2751.4</v>
      </c>
      <c r="M19" s="3493">
        <v>24085</v>
      </c>
      <c r="N19" s="3493">
        <v>1142.3499999999999</v>
      </c>
      <c r="O19" s="3491" t="s">
        <v>3583</v>
      </c>
      <c r="P19" s="3491" t="s">
        <v>633</v>
      </c>
    </row>
    <row r="20" spans="1:16" ht="81">
      <c r="A20" s="3491" t="s">
        <v>3584</v>
      </c>
      <c r="B20" s="3491" t="s">
        <v>3585</v>
      </c>
      <c r="C20" s="3491" t="s">
        <v>3512</v>
      </c>
      <c r="D20" s="3491" t="s">
        <v>3586</v>
      </c>
      <c r="E20" s="3491" t="s">
        <v>3587</v>
      </c>
      <c r="F20" s="3491" t="s">
        <v>673</v>
      </c>
      <c r="G20" s="3491" t="s">
        <v>3560</v>
      </c>
      <c r="H20" s="3491" t="s">
        <v>633</v>
      </c>
      <c r="I20" s="3492">
        <v>45358</v>
      </c>
      <c r="J20" s="3491" t="s">
        <v>3517</v>
      </c>
      <c r="K20" s="3491" t="s">
        <v>3548</v>
      </c>
      <c r="L20" s="3493">
        <v>1725</v>
      </c>
      <c r="M20" s="3493">
        <v>16468</v>
      </c>
      <c r="N20" s="3493">
        <v>1047.47</v>
      </c>
      <c r="O20" s="3491" t="s">
        <v>633</v>
      </c>
      <c r="P20" s="3491" t="s">
        <v>633</v>
      </c>
    </row>
    <row r="21" spans="1:16" ht="108">
      <c r="A21" s="3491" t="s">
        <v>3588</v>
      </c>
      <c r="B21" s="3491" t="s">
        <v>3589</v>
      </c>
      <c r="C21" s="3491" t="s">
        <v>3512</v>
      </c>
      <c r="D21" s="3491" t="s">
        <v>3590</v>
      </c>
      <c r="E21" s="3491" t="s">
        <v>633</v>
      </c>
      <c r="F21" s="3491" t="s">
        <v>673</v>
      </c>
      <c r="G21" s="3491" t="s">
        <v>3547</v>
      </c>
      <c r="H21" s="3491" t="s">
        <v>633</v>
      </c>
      <c r="I21" s="3492">
        <v>45342</v>
      </c>
      <c r="J21" s="3491" t="s">
        <v>3517</v>
      </c>
      <c r="K21" s="3491" t="s">
        <v>3548</v>
      </c>
      <c r="L21" s="3493">
        <v>10940.25</v>
      </c>
      <c r="M21" s="3493">
        <v>124599</v>
      </c>
      <c r="N21" s="3493">
        <v>878.04</v>
      </c>
      <c r="O21" s="3491" t="s">
        <v>3591</v>
      </c>
      <c r="P21" s="3491" t="s">
        <v>633</v>
      </c>
    </row>
    <row r="22" spans="1:16" ht="81">
      <c r="A22" s="3491" t="s">
        <v>3592</v>
      </c>
      <c r="B22" s="3491" t="s">
        <v>3593</v>
      </c>
      <c r="C22" s="3491" t="s">
        <v>3512</v>
      </c>
      <c r="D22" s="3491" t="s">
        <v>3558</v>
      </c>
      <c r="E22" s="3491" t="s">
        <v>3594</v>
      </c>
      <c r="F22" s="3491" t="s">
        <v>673</v>
      </c>
      <c r="G22" s="3491" t="s">
        <v>3560</v>
      </c>
      <c r="H22" s="3491" t="s">
        <v>633</v>
      </c>
      <c r="I22" s="3492">
        <v>45135</v>
      </c>
      <c r="J22" s="3491" t="s">
        <v>3517</v>
      </c>
      <c r="K22" s="3491" t="s">
        <v>3548</v>
      </c>
      <c r="L22" s="3493">
        <v>1231.58</v>
      </c>
      <c r="M22" s="3493">
        <v>27800</v>
      </c>
      <c r="N22" s="3493">
        <v>443</v>
      </c>
      <c r="O22" s="3491" t="s">
        <v>3595</v>
      </c>
      <c r="P22" s="3491" t="s">
        <v>3596</v>
      </c>
    </row>
    <row r="23" spans="1:16" ht="67.5">
      <c r="A23" s="3491" t="s">
        <v>3597</v>
      </c>
      <c r="B23" s="3491" t="s">
        <v>3598</v>
      </c>
      <c r="C23" s="3491" t="s">
        <v>3512</v>
      </c>
      <c r="D23" s="3491" t="s">
        <v>3599</v>
      </c>
      <c r="E23" s="3491" t="s">
        <v>633</v>
      </c>
      <c r="F23" s="3491" t="s">
        <v>673</v>
      </c>
      <c r="G23" s="3491" t="s">
        <v>3560</v>
      </c>
      <c r="H23" s="3491" t="s">
        <v>633</v>
      </c>
      <c r="I23" s="3492">
        <v>45128</v>
      </c>
      <c r="J23" s="3491" t="s">
        <v>3517</v>
      </c>
      <c r="K23" s="3491" t="s">
        <v>3548</v>
      </c>
      <c r="L23" s="3493">
        <v>1224.5999999999999</v>
      </c>
      <c r="M23" s="3493">
        <v>49145</v>
      </c>
      <c r="N23" s="3493">
        <v>249.18</v>
      </c>
      <c r="O23" s="3491" t="s">
        <v>633</v>
      </c>
      <c r="P23" s="3491" t="s">
        <v>633</v>
      </c>
    </row>
    <row r="24" spans="1:16" ht="40.5">
      <c r="A24" s="3491" t="s">
        <v>3600</v>
      </c>
      <c r="B24" s="3491" t="s">
        <v>3601</v>
      </c>
      <c r="C24" s="3491" t="s">
        <v>3512</v>
      </c>
      <c r="D24" s="3491" t="s">
        <v>3581</v>
      </c>
      <c r="E24" s="3491" t="s">
        <v>3602</v>
      </c>
      <c r="F24" s="3491" t="s">
        <v>673</v>
      </c>
      <c r="G24" s="3491" t="s">
        <v>3515</v>
      </c>
      <c r="H24" s="3491" t="s">
        <v>3516</v>
      </c>
      <c r="I24" s="3492">
        <v>45107</v>
      </c>
      <c r="J24" s="3491" t="s">
        <v>3517</v>
      </c>
      <c r="K24" s="3491" t="s">
        <v>3524</v>
      </c>
      <c r="L24" s="3493">
        <v>60900</v>
      </c>
      <c r="M24" s="3493">
        <v>37986</v>
      </c>
      <c r="N24" s="3493">
        <v>16032</v>
      </c>
      <c r="O24" s="3491" t="s">
        <v>3603</v>
      </c>
      <c r="P24" s="3491" t="s">
        <v>3604</v>
      </c>
    </row>
    <row r="25" spans="1:16" ht="81">
      <c r="A25" s="3491" t="s">
        <v>3605</v>
      </c>
      <c r="B25" s="3491" t="s">
        <v>3606</v>
      </c>
      <c r="C25" s="3491" t="s">
        <v>3512</v>
      </c>
      <c r="D25" s="3491" t="s">
        <v>3558</v>
      </c>
      <c r="E25" s="3491" t="s">
        <v>3607</v>
      </c>
      <c r="F25" s="3491" t="s">
        <v>673</v>
      </c>
      <c r="G25" s="3491" t="s">
        <v>3560</v>
      </c>
      <c r="H25" s="3491" t="s">
        <v>633</v>
      </c>
      <c r="I25" s="3492">
        <v>45095</v>
      </c>
      <c r="J25" s="3491" t="s">
        <v>3517</v>
      </c>
      <c r="K25" s="3491" t="s">
        <v>3548</v>
      </c>
      <c r="L25" s="3493">
        <v>1831.13</v>
      </c>
      <c r="M25" s="3493">
        <v>90524</v>
      </c>
      <c r="N25" s="3493">
        <v>202.28</v>
      </c>
      <c r="O25" s="3491" t="s">
        <v>3608</v>
      </c>
      <c r="P25" s="3491" t="s">
        <v>3609</v>
      </c>
    </row>
    <row r="26" spans="1:16" ht="67.5">
      <c r="A26" s="3491" t="s">
        <v>3610</v>
      </c>
      <c r="B26" s="3491" t="s">
        <v>3611</v>
      </c>
      <c r="C26" s="3491" t="s">
        <v>3512</v>
      </c>
      <c r="D26" s="3491" t="s">
        <v>3581</v>
      </c>
      <c r="E26" s="3491" t="s">
        <v>3612</v>
      </c>
      <c r="F26" s="3491" t="s">
        <v>3506</v>
      </c>
      <c r="G26" s="3491" t="s">
        <v>3506</v>
      </c>
      <c r="H26" s="3491" t="s">
        <v>633</v>
      </c>
      <c r="I26" s="3492">
        <v>45091</v>
      </c>
      <c r="J26" s="3491" t="s">
        <v>3517</v>
      </c>
      <c r="K26" s="3491" t="s">
        <v>3548</v>
      </c>
      <c r="L26" s="3493">
        <v>7035.32</v>
      </c>
      <c r="M26" s="3493">
        <v>20904</v>
      </c>
      <c r="N26" s="3493">
        <v>3365.53</v>
      </c>
      <c r="O26" s="3491" t="s">
        <v>3613</v>
      </c>
      <c r="P26" s="3491" t="s">
        <v>3614</v>
      </c>
    </row>
    <row r="27" spans="1:16" ht="216">
      <c r="A27" s="3491" t="s">
        <v>3615</v>
      </c>
      <c r="B27" s="3491" t="s">
        <v>3616</v>
      </c>
      <c r="C27" s="3491" t="s">
        <v>3512</v>
      </c>
      <c r="D27" s="3491" t="s">
        <v>3571</v>
      </c>
      <c r="E27" s="3491" t="s">
        <v>3617</v>
      </c>
      <c r="F27" s="3491" t="s">
        <v>3506</v>
      </c>
      <c r="G27" s="3491" t="s">
        <v>3506</v>
      </c>
      <c r="H27" s="3491" t="s">
        <v>633</v>
      </c>
      <c r="I27" s="3492">
        <v>45082</v>
      </c>
      <c r="J27" s="3491" t="s">
        <v>3517</v>
      </c>
      <c r="K27" s="3491" t="s">
        <v>3548</v>
      </c>
      <c r="L27" s="3493">
        <v>1850.78</v>
      </c>
      <c r="M27" s="3494" t="s">
        <v>633</v>
      </c>
      <c r="N27" s="3494" t="s">
        <v>633</v>
      </c>
      <c r="O27" s="3491" t="s">
        <v>633</v>
      </c>
      <c r="P27" s="3491" t="s">
        <v>633</v>
      </c>
    </row>
    <row r="28" spans="1:16" ht="108">
      <c r="A28" s="3486" t="s">
        <v>3618</v>
      </c>
      <c r="B28" s="3486" t="s">
        <v>3619</v>
      </c>
      <c r="C28" s="3486" t="s">
        <v>3512</v>
      </c>
      <c r="D28" s="3486" t="s">
        <v>3620</v>
      </c>
      <c r="E28" s="3486" t="s">
        <v>3621</v>
      </c>
      <c r="F28" s="3486" t="s">
        <v>673</v>
      </c>
      <c r="G28" s="3486" t="s">
        <v>3622</v>
      </c>
      <c r="H28" s="3486" t="s">
        <v>633</v>
      </c>
      <c r="I28" s="3487">
        <v>45071</v>
      </c>
      <c r="J28" s="3486" t="s">
        <v>3517</v>
      </c>
      <c r="K28" s="3486" t="s">
        <v>3548</v>
      </c>
      <c r="L28" s="3488">
        <v>6101.27</v>
      </c>
      <c r="M28" s="3488">
        <v>57811</v>
      </c>
      <c r="N28" s="3488">
        <v>1055.3800000000001</v>
      </c>
      <c r="O28" s="3486" t="s">
        <v>633</v>
      </c>
      <c r="P28" s="3486" t="s">
        <v>633</v>
      </c>
    </row>
    <row r="29" spans="1:16" ht="67.5">
      <c r="A29" s="3491" t="s">
        <v>3623</v>
      </c>
      <c r="B29" s="3491" t="s">
        <v>3624</v>
      </c>
      <c r="C29" s="3491" t="s">
        <v>3512</v>
      </c>
      <c r="D29" s="3491" t="s">
        <v>3581</v>
      </c>
      <c r="E29" s="3491" t="s">
        <v>3625</v>
      </c>
      <c r="F29" s="3491" t="s">
        <v>673</v>
      </c>
      <c r="G29" s="3491" t="s">
        <v>3560</v>
      </c>
      <c r="H29" s="3491" t="s">
        <v>633</v>
      </c>
      <c r="I29" s="3492">
        <v>45033</v>
      </c>
      <c r="J29" s="3491" t="s">
        <v>3517</v>
      </c>
      <c r="K29" s="3491" t="s">
        <v>3548</v>
      </c>
      <c r="L29" s="3493">
        <v>6963</v>
      </c>
      <c r="M29" s="3494" t="s">
        <v>633</v>
      </c>
      <c r="N29" s="3494" t="s">
        <v>633</v>
      </c>
      <c r="O29" s="3491" t="s">
        <v>633</v>
      </c>
      <c r="P29" s="3491" t="s">
        <v>3626</v>
      </c>
    </row>
    <row r="30" spans="1:16" ht="67.5">
      <c r="A30" s="3491" t="s">
        <v>3627</v>
      </c>
      <c r="B30" s="3491" t="s">
        <v>3628</v>
      </c>
      <c r="C30" s="3491" t="s">
        <v>3512</v>
      </c>
      <c r="D30" s="3491" t="s">
        <v>3629</v>
      </c>
      <c r="E30" s="3491" t="s">
        <v>3630</v>
      </c>
      <c r="F30" s="3491" t="s">
        <v>673</v>
      </c>
      <c r="G30" s="3491" t="s">
        <v>3560</v>
      </c>
      <c r="H30" s="3491" t="s">
        <v>633</v>
      </c>
      <c r="I30" s="3492">
        <v>45022</v>
      </c>
      <c r="J30" s="3491" t="s">
        <v>3517</v>
      </c>
      <c r="K30" s="3491" t="s">
        <v>3548</v>
      </c>
      <c r="L30" s="3493">
        <v>1784</v>
      </c>
      <c r="M30" s="3494" t="s">
        <v>633</v>
      </c>
      <c r="N30" s="3494" t="s">
        <v>633</v>
      </c>
      <c r="O30" s="3491" t="s">
        <v>633</v>
      </c>
      <c r="P30" s="3491" t="s">
        <v>633</v>
      </c>
    </row>
    <row r="31" spans="1:16" ht="108">
      <c r="A31" s="3491" t="s">
        <v>3631</v>
      </c>
      <c r="B31" s="3491" t="s">
        <v>3632</v>
      </c>
      <c r="C31" s="3491" t="s">
        <v>3512</v>
      </c>
      <c r="D31" s="3491" t="s">
        <v>3620</v>
      </c>
      <c r="E31" s="3491" t="s">
        <v>3633</v>
      </c>
      <c r="F31" s="3491" t="s">
        <v>673</v>
      </c>
      <c r="G31" s="3491" t="s">
        <v>3515</v>
      </c>
      <c r="H31" s="3491" t="s">
        <v>633</v>
      </c>
      <c r="I31" s="3492">
        <v>44909</v>
      </c>
      <c r="J31" s="3491" t="s">
        <v>3517</v>
      </c>
      <c r="K31" s="3491" t="s">
        <v>3518</v>
      </c>
      <c r="L31" s="3493">
        <v>17900</v>
      </c>
      <c r="M31" s="3493">
        <v>12285</v>
      </c>
      <c r="N31" s="3493">
        <v>14569.8</v>
      </c>
      <c r="O31" s="3491" t="s">
        <v>3634</v>
      </c>
      <c r="P31" s="3491" t="s">
        <v>3635</v>
      </c>
    </row>
    <row r="32" spans="1:16" ht="81">
      <c r="A32" s="3491" t="s">
        <v>3636</v>
      </c>
      <c r="B32" s="3491" t="s">
        <v>3637</v>
      </c>
      <c r="C32" s="3491" t="s">
        <v>3512</v>
      </c>
      <c r="D32" s="3491" t="s">
        <v>3558</v>
      </c>
      <c r="E32" s="3491" t="s">
        <v>3638</v>
      </c>
      <c r="F32" s="3491" t="s">
        <v>673</v>
      </c>
      <c r="G32" s="3491" t="s">
        <v>3547</v>
      </c>
      <c r="H32" s="3491" t="s">
        <v>633</v>
      </c>
      <c r="I32" s="3492">
        <v>44883</v>
      </c>
      <c r="J32" s="3491" t="s">
        <v>3517</v>
      </c>
      <c r="K32" s="3491" t="s">
        <v>3518</v>
      </c>
      <c r="L32" s="3493">
        <v>12480.37</v>
      </c>
      <c r="M32" s="3494" t="s">
        <v>633</v>
      </c>
      <c r="N32" s="3494" t="s">
        <v>633</v>
      </c>
      <c r="O32" s="3491" t="s">
        <v>3639</v>
      </c>
      <c r="P32" s="3491" t="s">
        <v>633</v>
      </c>
    </row>
    <row r="33" spans="1:16" ht="67.5">
      <c r="A33" s="3486" t="s">
        <v>3510</v>
      </c>
      <c r="B33" s="3486" t="s">
        <v>3511</v>
      </c>
      <c r="C33" s="3486" t="s">
        <v>3512</v>
      </c>
      <c r="D33" s="3486" t="s">
        <v>3513</v>
      </c>
      <c r="E33" s="3486" t="s">
        <v>3514</v>
      </c>
      <c r="F33" s="3486" t="s">
        <v>673</v>
      </c>
      <c r="G33" s="3486" t="s">
        <v>3515</v>
      </c>
      <c r="H33" s="3486" t="s">
        <v>3516</v>
      </c>
      <c r="I33" s="3487">
        <v>44834</v>
      </c>
      <c r="J33" s="3486" t="s">
        <v>3517</v>
      </c>
      <c r="K33" s="3486" t="s">
        <v>3518</v>
      </c>
      <c r="L33" s="3488">
        <v>56000</v>
      </c>
      <c r="M33" s="3488">
        <v>48568</v>
      </c>
      <c r="N33" s="3488">
        <v>11530</v>
      </c>
      <c r="O33" s="3486" t="s">
        <v>3519</v>
      </c>
      <c r="P33" s="3486" t="s">
        <v>3520</v>
      </c>
    </row>
    <row r="34" spans="1:16" ht="54">
      <c r="A34" s="3486" t="s">
        <v>3521</v>
      </c>
      <c r="B34" s="3486" t="s">
        <v>3522</v>
      </c>
      <c r="C34" s="3486" t="s">
        <v>3512</v>
      </c>
      <c r="D34" s="3486" t="s">
        <v>3523</v>
      </c>
      <c r="E34" s="3486" t="s">
        <v>633</v>
      </c>
      <c r="F34" s="3486" t="s">
        <v>3506</v>
      </c>
      <c r="G34" s="3486" t="s">
        <v>3506</v>
      </c>
      <c r="H34" s="3486" t="s">
        <v>633</v>
      </c>
      <c r="I34" s="3487">
        <v>44834</v>
      </c>
      <c r="J34" s="3486" t="s">
        <v>3517</v>
      </c>
      <c r="K34" s="3486" t="s">
        <v>3524</v>
      </c>
      <c r="L34" s="3488">
        <v>55000</v>
      </c>
      <c r="M34" s="3488">
        <v>47701</v>
      </c>
      <c r="N34" s="3488">
        <v>11530</v>
      </c>
      <c r="O34" s="3486" t="s">
        <v>3525</v>
      </c>
      <c r="P34" s="3486" t="s">
        <v>3526</v>
      </c>
    </row>
    <row r="35" spans="1:16" ht="67.5">
      <c r="A35" s="3491" t="s">
        <v>3640</v>
      </c>
      <c r="B35" s="3491" t="s">
        <v>3641</v>
      </c>
      <c r="C35" s="3491" t="s">
        <v>3512</v>
      </c>
      <c r="D35" s="3491" t="s">
        <v>3558</v>
      </c>
      <c r="E35" s="3491" t="s">
        <v>633</v>
      </c>
      <c r="F35" s="3491" t="s">
        <v>3506</v>
      </c>
      <c r="G35" s="3491" t="s">
        <v>3506</v>
      </c>
      <c r="H35" s="3491" t="s">
        <v>633</v>
      </c>
      <c r="I35" s="3492">
        <v>44827</v>
      </c>
      <c r="J35" s="3491" t="s">
        <v>3517</v>
      </c>
      <c r="K35" s="3491" t="s">
        <v>3548</v>
      </c>
      <c r="L35" s="3493">
        <v>84900</v>
      </c>
      <c r="M35" s="3493">
        <v>27836</v>
      </c>
      <c r="N35" s="3493">
        <v>30500</v>
      </c>
      <c r="O35" s="3491" t="s">
        <v>3642</v>
      </c>
      <c r="P35" s="3491" t="s">
        <v>3643</v>
      </c>
    </row>
    <row r="36" spans="1:16" ht="40.5">
      <c r="A36" s="3491" t="s">
        <v>3644</v>
      </c>
      <c r="B36" s="3491" t="s">
        <v>3645</v>
      </c>
      <c r="C36" s="3491" t="s">
        <v>3512</v>
      </c>
      <c r="D36" s="3491" t="s">
        <v>3558</v>
      </c>
      <c r="E36" s="3491" t="s">
        <v>3646</v>
      </c>
      <c r="F36" s="3491" t="s">
        <v>673</v>
      </c>
      <c r="G36" s="3491" t="s">
        <v>3622</v>
      </c>
      <c r="H36" s="3491" t="s">
        <v>633</v>
      </c>
      <c r="I36" s="3492">
        <v>44773</v>
      </c>
      <c r="J36" s="3491" t="s">
        <v>3517</v>
      </c>
      <c r="K36" s="3491" t="s">
        <v>3518</v>
      </c>
      <c r="L36" s="3493">
        <v>22900</v>
      </c>
      <c r="M36" s="3493">
        <v>13861</v>
      </c>
      <c r="N36" s="3493">
        <v>16520</v>
      </c>
      <c r="O36" s="3491" t="s">
        <v>633</v>
      </c>
      <c r="P36" s="3491" t="s">
        <v>3647</v>
      </c>
    </row>
    <row r="37" spans="1:16" ht="67.5">
      <c r="A37" s="3491" t="s">
        <v>3648</v>
      </c>
      <c r="B37" s="3491" t="s">
        <v>3649</v>
      </c>
      <c r="C37" s="3491" t="s">
        <v>3512</v>
      </c>
      <c r="D37" s="3491" t="s">
        <v>3620</v>
      </c>
      <c r="E37" s="3491" t="s">
        <v>3650</v>
      </c>
      <c r="F37" s="3491" t="s">
        <v>3506</v>
      </c>
      <c r="G37" s="3491" t="s">
        <v>3506</v>
      </c>
      <c r="H37" s="3491" t="s">
        <v>3651</v>
      </c>
      <c r="I37" s="3492">
        <v>44764</v>
      </c>
      <c r="J37" s="3491" t="s">
        <v>3517</v>
      </c>
      <c r="K37" s="3491" t="s">
        <v>3518</v>
      </c>
      <c r="L37" s="3493">
        <v>108000</v>
      </c>
      <c r="M37" s="3493">
        <v>87804</v>
      </c>
      <c r="N37" s="3493">
        <v>12300</v>
      </c>
      <c r="O37" s="3491" t="s">
        <v>3652</v>
      </c>
      <c r="P37" s="3491" t="s">
        <v>3653</v>
      </c>
    </row>
    <row r="38" spans="1:16" ht="67.5">
      <c r="A38" s="3491" t="s">
        <v>3654</v>
      </c>
      <c r="B38" s="3491" t="s">
        <v>3655</v>
      </c>
      <c r="C38" s="3491" t="s">
        <v>3512</v>
      </c>
      <c r="D38" s="3491" t="s">
        <v>3513</v>
      </c>
      <c r="E38" s="3491" t="s">
        <v>633</v>
      </c>
      <c r="F38" s="3491" t="s">
        <v>3506</v>
      </c>
      <c r="G38" s="3491" t="s">
        <v>3506</v>
      </c>
      <c r="H38" s="3491" t="s">
        <v>633</v>
      </c>
      <c r="I38" s="3492">
        <v>44720</v>
      </c>
      <c r="J38" s="3491" t="s">
        <v>3517</v>
      </c>
      <c r="K38" s="3491" t="s">
        <v>3524</v>
      </c>
      <c r="L38" s="3493">
        <v>53000</v>
      </c>
      <c r="M38" s="3493">
        <v>37492</v>
      </c>
      <c r="N38" s="3493">
        <v>14136</v>
      </c>
      <c r="O38" s="3491" t="s">
        <v>3656</v>
      </c>
      <c r="P38" s="3491" t="s">
        <v>3657</v>
      </c>
    </row>
    <row r="39" spans="1:16" ht="54">
      <c r="A39" s="3491" t="s">
        <v>3658</v>
      </c>
      <c r="B39" s="3491" t="s">
        <v>3659</v>
      </c>
      <c r="C39" s="3491" t="s">
        <v>3512</v>
      </c>
      <c r="D39" s="3491" t="s">
        <v>3558</v>
      </c>
      <c r="E39" s="3491" t="s">
        <v>633</v>
      </c>
      <c r="F39" s="3491" t="s">
        <v>673</v>
      </c>
      <c r="G39" s="3491" t="s">
        <v>3515</v>
      </c>
      <c r="H39" s="3491" t="s">
        <v>633</v>
      </c>
      <c r="I39" s="3492">
        <v>44651</v>
      </c>
      <c r="J39" s="3491" t="s">
        <v>3517</v>
      </c>
      <c r="K39" s="3491" t="s">
        <v>3518</v>
      </c>
      <c r="L39" s="3493">
        <v>75000</v>
      </c>
      <c r="M39" s="3493">
        <v>26312</v>
      </c>
      <c r="N39" s="3493">
        <v>28504</v>
      </c>
      <c r="O39" s="3491" t="s">
        <v>3660</v>
      </c>
      <c r="P39" s="3491" t="s">
        <v>633</v>
      </c>
    </row>
    <row r="40" spans="1:16" ht="40.5">
      <c r="A40" s="3491" t="s">
        <v>3661</v>
      </c>
      <c r="B40" s="3491" t="s">
        <v>3662</v>
      </c>
      <c r="C40" s="3491" t="s">
        <v>3512</v>
      </c>
      <c r="D40" s="3491" t="s">
        <v>3576</v>
      </c>
      <c r="E40" s="3491" t="s">
        <v>3663</v>
      </c>
      <c r="F40" s="3491" t="s">
        <v>673</v>
      </c>
      <c r="G40" s="3491" t="s">
        <v>3515</v>
      </c>
      <c r="H40" s="3491" t="s">
        <v>633</v>
      </c>
      <c r="I40" s="3492">
        <v>44620</v>
      </c>
      <c r="J40" s="3491" t="s">
        <v>3517</v>
      </c>
      <c r="K40" s="3491" t="s">
        <v>3518</v>
      </c>
      <c r="L40" s="3493">
        <v>75000</v>
      </c>
      <c r="M40" s="3493">
        <v>31209</v>
      </c>
      <c r="N40" s="3493">
        <v>24031</v>
      </c>
      <c r="O40" s="3491" t="s">
        <v>3664</v>
      </c>
      <c r="P40" s="3491" t="s">
        <v>3665</v>
      </c>
    </row>
    <row r="41" spans="1:16" ht="54">
      <c r="A41" s="3491" t="s">
        <v>3666</v>
      </c>
      <c r="B41" s="3491" t="s">
        <v>3667</v>
      </c>
      <c r="C41" s="3491" t="s">
        <v>3512</v>
      </c>
      <c r="D41" s="3491" t="s">
        <v>3576</v>
      </c>
      <c r="E41" s="3491" t="s">
        <v>633</v>
      </c>
      <c r="F41" s="3491" t="s">
        <v>673</v>
      </c>
      <c r="G41" s="3491" t="s">
        <v>3515</v>
      </c>
      <c r="H41" s="3491" t="s">
        <v>633</v>
      </c>
      <c r="I41" s="3492">
        <v>44572</v>
      </c>
      <c r="J41" s="3491" t="s">
        <v>3517</v>
      </c>
      <c r="K41" s="3491" t="s">
        <v>3518</v>
      </c>
      <c r="L41" s="3493">
        <v>16296</v>
      </c>
      <c r="M41" s="3493">
        <v>9439</v>
      </c>
      <c r="N41" s="3493">
        <v>17265</v>
      </c>
      <c r="O41" s="3491" t="s">
        <v>3668</v>
      </c>
      <c r="P41" s="3491" t="s">
        <v>3669</v>
      </c>
    </row>
    <row r="42" spans="1:16" ht="40.5">
      <c r="A42" s="3491" t="s">
        <v>3670</v>
      </c>
      <c r="B42" s="3491" t="s">
        <v>3671</v>
      </c>
      <c r="C42" s="3491" t="s">
        <v>3512</v>
      </c>
      <c r="D42" s="3491" t="s">
        <v>3558</v>
      </c>
      <c r="E42" s="3491" t="s">
        <v>633</v>
      </c>
      <c r="F42" s="3491" t="s">
        <v>673</v>
      </c>
      <c r="G42" s="3491" t="s">
        <v>3560</v>
      </c>
      <c r="H42" s="3491" t="s">
        <v>633</v>
      </c>
      <c r="I42" s="3492">
        <v>44566</v>
      </c>
      <c r="J42" s="3491" t="s">
        <v>3517</v>
      </c>
      <c r="K42" s="3491" t="s">
        <v>3518</v>
      </c>
      <c r="L42" s="3493">
        <v>7380</v>
      </c>
      <c r="M42" s="3494" t="s">
        <v>633</v>
      </c>
      <c r="N42" s="3494" t="s">
        <v>633</v>
      </c>
      <c r="O42" s="3491" t="s">
        <v>633</v>
      </c>
      <c r="P42" s="3491" t="s">
        <v>3672</v>
      </c>
    </row>
    <row r="43" spans="1:16" ht="54">
      <c r="A43" s="3491" t="s">
        <v>3673</v>
      </c>
      <c r="B43" s="3491" t="s">
        <v>3674</v>
      </c>
      <c r="C43" s="3491" t="s">
        <v>3512</v>
      </c>
      <c r="D43" s="3491" t="s">
        <v>3675</v>
      </c>
      <c r="E43" s="3491" t="s">
        <v>633</v>
      </c>
      <c r="F43" s="3491" t="s">
        <v>673</v>
      </c>
      <c r="G43" s="3491" t="s">
        <v>3560</v>
      </c>
      <c r="H43" s="3491" t="s">
        <v>633</v>
      </c>
      <c r="I43" s="3492">
        <v>44560</v>
      </c>
      <c r="J43" s="3491" t="s">
        <v>3517</v>
      </c>
      <c r="K43" s="3491" t="s">
        <v>3518</v>
      </c>
      <c r="L43" s="3493">
        <v>9156</v>
      </c>
      <c r="M43" s="3494" t="s">
        <v>633</v>
      </c>
      <c r="N43" s="3494" t="s">
        <v>633</v>
      </c>
      <c r="O43" s="3491" t="s">
        <v>633</v>
      </c>
      <c r="P43" s="3491" t="s">
        <v>3676</v>
      </c>
    </row>
    <row r="44" spans="1:16" ht="67.5">
      <c r="A44" s="3491" t="s">
        <v>3677</v>
      </c>
      <c r="B44" s="3491" t="s">
        <v>3678</v>
      </c>
      <c r="C44" s="3491" t="s">
        <v>3512</v>
      </c>
      <c r="D44" s="3491" t="s">
        <v>3620</v>
      </c>
      <c r="E44" s="3491" t="s">
        <v>3650</v>
      </c>
      <c r="F44" s="3491" t="s">
        <v>3506</v>
      </c>
      <c r="G44" s="3491" t="s">
        <v>3506</v>
      </c>
      <c r="H44" s="3491" t="s">
        <v>633</v>
      </c>
      <c r="I44" s="3492">
        <v>44554</v>
      </c>
      <c r="J44" s="3491" t="s">
        <v>3679</v>
      </c>
      <c r="K44" s="3491" t="s">
        <v>3518</v>
      </c>
      <c r="L44" s="3494" t="s">
        <v>633</v>
      </c>
      <c r="M44" s="3494" t="s">
        <v>633</v>
      </c>
      <c r="N44" s="3494" t="s">
        <v>633</v>
      </c>
      <c r="O44" s="3491" t="s">
        <v>3680</v>
      </c>
      <c r="P44" s="3491" t="s">
        <v>3681</v>
      </c>
    </row>
    <row r="45" spans="1:16" ht="54">
      <c r="A45" s="3486" t="s">
        <v>3682</v>
      </c>
      <c r="B45" s="3486" t="s">
        <v>3683</v>
      </c>
      <c r="C45" s="3486" t="s">
        <v>3512</v>
      </c>
      <c r="D45" s="3486" t="s">
        <v>3620</v>
      </c>
      <c r="E45" s="3486" t="s">
        <v>633</v>
      </c>
      <c r="F45" s="3486" t="s">
        <v>673</v>
      </c>
      <c r="G45" s="3486" t="s">
        <v>3515</v>
      </c>
      <c r="H45" s="3486" t="s">
        <v>633</v>
      </c>
      <c r="I45" s="3487">
        <v>44540</v>
      </c>
      <c r="J45" s="3486" t="s">
        <v>3517</v>
      </c>
      <c r="K45" s="3486" t="s">
        <v>3524</v>
      </c>
      <c r="L45" s="3488">
        <v>1923.61</v>
      </c>
      <c r="M45" s="3495" t="s">
        <v>633</v>
      </c>
      <c r="N45" s="3495" t="s">
        <v>633</v>
      </c>
      <c r="O45" s="3486" t="s">
        <v>3684</v>
      </c>
      <c r="P45" s="3486" t="s">
        <v>3685</v>
      </c>
    </row>
    <row r="46" spans="1:16" ht="108">
      <c r="A46" s="3491" t="s">
        <v>3686</v>
      </c>
      <c r="B46" s="3491" t="s">
        <v>3687</v>
      </c>
      <c r="C46" s="3491" t="s">
        <v>3512</v>
      </c>
      <c r="D46" s="3491" t="s">
        <v>3558</v>
      </c>
      <c r="E46" s="3491" t="s">
        <v>3688</v>
      </c>
      <c r="F46" s="3491" t="s">
        <v>673</v>
      </c>
      <c r="G46" s="3491" t="s">
        <v>3515</v>
      </c>
      <c r="H46" s="3491" t="s">
        <v>3516</v>
      </c>
      <c r="I46" s="3492">
        <v>44406</v>
      </c>
      <c r="J46" s="3491" t="s">
        <v>3517</v>
      </c>
      <c r="K46" s="3491" t="s">
        <v>3548</v>
      </c>
      <c r="L46" s="3493">
        <v>164900</v>
      </c>
      <c r="M46" s="3493">
        <v>19978</v>
      </c>
      <c r="N46" s="3493">
        <v>82341.570000000007</v>
      </c>
      <c r="O46" s="3491" t="s">
        <v>3689</v>
      </c>
      <c r="P46" s="3491" t="s">
        <v>3690</v>
      </c>
    </row>
    <row r="47" spans="1:16" ht="81">
      <c r="A47" s="3491" t="s">
        <v>3691</v>
      </c>
      <c r="B47" s="3491" t="s">
        <v>3692</v>
      </c>
      <c r="C47" s="3491" t="s">
        <v>3512</v>
      </c>
      <c r="D47" s="3491" t="s">
        <v>3558</v>
      </c>
      <c r="E47" s="3491" t="s">
        <v>3693</v>
      </c>
      <c r="F47" s="3491" t="s">
        <v>673</v>
      </c>
      <c r="G47" s="3491" t="s">
        <v>3547</v>
      </c>
      <c r="H47" s="3491" t="s">
        <v>633</v>
      </c>
      <c r="I47" s="3492">
        <v>44365</v>
      </c>
      <c r="J47" s="3491" t="s">
        <v>3517</v>
      </c>
      <c r="K47" s="3491" t="s">
        <v>3518</v>
      </c>
      <c r="L47" s="3493">
        <v>13873.95</v>
      </c>
      <c r="M47" s="3493">
        <v>51500</v>
      </c>
      <c r="N47" s="3493">
        <v>2993.3</v>
      </c>
      <c r="O47" s="3491" t="s">
        <v>633</v>
      </c>
      <c r="P47" s="3491" t="s">
        <v>3694</v>
      </c>
    </row>
    <row r="48" spans="1:16" ht="27">
      <c r="A48" s="3491" t="s">
        <v>3695</v>
      </c>
      <c r="B48" s="3491" t="s">
        <v>3696</v>
      </c>
      <c r="C48" s="3491" t="s">
        <v>3512</v>
      </c>
      <c r="D48" s="3491" t="s">
        <v>3581</v>
      </c>
      <c r="E48" s="3491" t="s">
        <v>633</v>
      </c>
      <c r="F48" s="3491" t="s">
        <v>3506</v>
      </c>
      <c r="G48" s="3491" t="s">
        <v>3506</v>
      </c>
      <c r="H48" s="3491" t="s">
        <v>3516</v>
      </c>
      <c r="I48" s="3492">
        <v>44334</v>
      </c>
      <c r="J48" s="3491" t="s">
        <v>3517</v>
      </c>
      <c r="K48" s="3491" t="s">
        <v>3524</v>
      </c>
      <c r="L48" s="3493">
        <v>60000</v>
      </c>
      <c r="M48" s="3493">
        <v>40000</v>
      </c>
      <c r="N48" s="3494" t="s">
        <v>633</v>
      </c>
      <c r="O48" s="3491" t="s">
        <v>3697</v>
      </c>
      <c r="P48" s="3491" t="s">
        <v>3698</v>
      </c>
    </row>
    <row r="49" spans="1:16" ht="67.5">
      <c r="A49" s="3491" t="s">
        <v>3699</v>
      </c>
      <c r="B49" s="3491" t="s">
        <v>3700</v>
      </c>
      <c r="C49" s="3491" t="s">
        <v>3512</v>
      </c>
      <c r="D49" s="3491" t="s">
        <v>3576</v>
      </c>
      <c r="E49" s="3491" t="s">
        <v>3701</v>
      </c>
      <c r="F49" s="3491" t="s">
        <v>673</v>
      </c>
      <c r="G49" s="3491" t="s">
        <v>3547</v>
      </c>
      <c r="H49" s="3491" t="s">
        <v>3516</v>
      </c>
      <c r="I49" s="3492">
        <v>44286</v>
      </c>
      <c r="J49" s="3491" t="s">
        <v>3517</v>
      </c>
      <c r="K49" s="3491" t="s">
        <v>3518</v>
      </c>
      <c r="L49" s="3493">
        <v>164900</v>
      </c>
      <c r="M49" s="3494" t="s">
        <v>633</v>
      </c>
      <c r="N49" s="3493">
        <v>80798</v>
      </c>
      <c r="O49" s="3491" t="s">
        <v>633</v>
      </c>
      <c r="P49" s="3491" t="s">
        <v>3702</v>
      </c>
    </row>
    <row r="50" spans="1:16" ht="54">
      <c r="A50" s="3491" t="s">
        <v>3703</v>
      </c>
      <c r="B50" s="3491" t="s">
        <v>3704</v>
      </c>
      <c r="C50" s="3491" t="s">
        <v>3512</v>
      </c>
      <c r="D50" s="3491" t="s">
        <v>3558</v>
      </c>
      <c r="E50" s="3491" t="s">
        <v>3705</v>
      </c>
      <c r="F50" s="3491" t="s">
        <v>673</v>
      </c>
      <c r="G50" s="3491" t="s">
        <v>3706</v>
      </c>
      <c r="H50" s="3491" t="s">
        <v>633</v>
      </c>
      <c r="I50" s="3492">
        <v>44286</v>
      </c>
      <c r="J50" s="3491" t="s">
        <v>3517</v>
      </c>
      <c r="K50" s="3491" t="s">
        <v>3518</v>
      </c>
      <c r="L50" s="3493">
        <v>11000</v>
      </c>
      <c r="M50" s="3494" t="s">
        <v>633</v>
      </c>
      <c r="N50" s="3494" t="s">
        <v>633</v>
      </c>
      <c r="O50" s="3491" t="s">
        <v>3707</v>
      </c>
      <c r="P50" s="3491" t="s">
        <v>633</v>
      </c>
    </row>
    <row r="51" spans="1:16" ht="54">
      <c r="A51" s="3491" t="s">
        <v>3708</v>
      </c>
      <c r="B51" s="3491" t="s">
        <v>3709</v>
      </c>
      <c r="C51" s="3491" t="s">
        <v>3512</v>
      </c>
      <c r="D51" s="3491" t="s">
        <v>3620</v>
      </c>
      <c r="E51" s="3491" t="s">
        <v>633</v>
      </c>
      <c r="F51" s="3491" t="s">
        <v>673</v>
      </c>
      <c r="G51" s="3491" t="s">
        <v>3547</v>
      </c>
      <c r="H51" s="3491" t="s">
        <v>633</v>
      </c>
      <c r="I51" s="3492">
        <v>44273</v>
      </c>
      <c r="J51" s="3491" t="s">
        <v>3517</v>
      </c>
      <c r="K51" s="3491" t="s">
        <v>3518</v>
      </c>
      <c r="L51" s="3493">
        <v>34711.440000000002</v>
      </c>
      <c r="M51" s="3494" t="s">
        <v>633</v>
      </c>
      <c r="N51" s="3493">
        <v>2155.9899999999998</v>
      </c>
      <c r="O51" s="3491" t="s">
        <v>633</v>
      </c>
      <c r="P51" s="3491" t="s">
        <v>3710</v>
      </c>
    </row>
    <row r="52" spans="1:16" ht="135">
      <c r="A52" s="3491" t="s">
        <v>3711</v>
      </c>
      <c r="B52" s="3491" t="s">
        <v>3712</v>
      </c>
      <c r="C52" s="3491" t="s">
        <v>3512</v>
      </c>
      <c r="D52" s="3491" t="s">
        <v>3581</v>
      </c>
      <c r="E52" s="3491" t="s">
        <v>633</v>
      </c>
      <c r="F52" s="3491" t="s">
        <v>673</v>
      </c>
      <c r="G52" s="3491" t="s">
        <v>3515</v>
      </c>
      <c r="H52" s="3491" t="s">
        <v>633</v>
      </c>
      <c r="I52" s="3492">
        <v>44255</v>
      </c>
      <c r="J52" s="3491" t="s">
        <v>3517</v>
      </c>
      <c r="K52" s="3491" t="s">
        <v>3524</v>
      </c>
      <c r="L52" s="3493">
        <v>332000</v>
      </c>
      <c r="M52" s="3493">
        <v>56753</v>
      </c>
      <c r="N52" s="3493">
        <v>58499</v>
      </c>
      <c r="O52" s="3491" t="s">
        <v>3713</v>
      </c>
      <c r="P52" s="3491" t="s">
        <v>3714</v>
      </c>
    </row>
    <row r="53" spans="1:16" ht="40.5">
      <c r="A53" s="3491" t="s">
        <v>3715</v>
      </c>
      <c r="B53" s="3491" t="s">
        <v>3716</v>
      </c>
      <c r="C53" s="3491" t="s">
        <v>3512</v>
      </c>
      <c r="D53" s="3491" t="s">
        <v>3558</v>
      </c>
      <c r="E53" s="3491" t="s">
        <v>3717</v>
      </c>
      <c r="F53" s="3491" t="s">
        <v>673</v>
      </c>
      <c r="G53" s="3491" t="s">
        <v>3515</v>
      </c>
      <c r="H53" s="3491" t="s">
        <v>633</v>
      </c>
      <c r="I53" s="3492">
        <v>44196</v>
      </c>
      <c r="J53" s="3491" t="s">
        <v>3517</v>
      </c>
      <c r="K53" s="3491" t="s">
        <v>3518</v>
      </c>
      <c r="L53" s="3493">
        <v>64000</v>
      </c>
      <c r="M53" s="3493">
        <v>41931</v>
      </c>
      <c r="N53" s="3493">
        <v>15263</v>
      </c>
      <c r="O53" s="3491" t="s">
        <v>633</v>
      </c>
      <c r="P53" s="3491" t="s">
        <v>3718</v>
      </c>
    </row>
    <row r="54" spans="1:16" ht="67.5">
      <c r="A54" s="3491" t="s">
        <v>3719</v>
      </c>
      <c r="B54" s="3491" t="s">
        <v>3720</v>
      </c>
      <c r="C54" s="3491" t="s">
        <v>3512</v>
      </c>
      <c r="D54" s="3491" t="s">
        <v>3581</v>
      </c>
      <c r="E54" s="3491" t="s">
        <v>3721</v>
      </c>
      <c r="F54" s="3491" t="s">
        <v>673</v>
      </c>
      <c r="G54" s="3491" t="s">
        <v>3515</v>
      </c>
      <c r="H54" s="3491" t="s">
        <v>3516</v>
      </c>
      <c r="I54" s="3492">
        <v>44193</v>
      </c>
      <c r="J54" s="3491" t="s">
        <v>3517</v>
      </c>
      <c r="K54" s="3491" t="s">
        <v>3518</v>
      </c>
      <c r="L54" s="3493">
        <v>90000</v>
      </c>
      <c r="M54" s="3493">
        <v>43326</v>
      </c>
      <c r="N54" s="3493">
        <v>20773</v>
      </c>
      <c r="O54" s="3491" t="s">
        <v>3722</v>
      </c>
      <c r="P54" s="3491" t="s">
        <v>3723</v>
      </c>
    </row>
    <row r="55" spans="1:16" ht="67.5">
      <c r="A55" s="3491" t="s">
        <v>3724</v>
      </c>
      <c r="B55" s="3491" t="s">
        <v>3725</v>
      </c>
      <c r="C55" s="3491" t="s">
        <v>3512</v>
      </c>
      <c r="D55" s="3491" t="s">
        <v>3558</v>
      </c>
      <c r="E55" s="3491" t="s">
        <v>633</v>
      </c>
      <c r="F55" s="3491" t="s">
        <v>673</v>
      </c>
      <c r="G55" s="3491" t="s">
        <v>3706</v>
      </c>
      <c r="H55" s="3491" t="s">
        <v>633</v>
      </c>
      <c r="I55" s="3492">
        <v>44188</v>
      </c>
      <c r="J55" s="3491" t="s">
        <v>3517</v>
      </c>
      <c r="K55" s="3491" t="s">
        <v>3518</v>
      </c>
      <c r="L55" s="3493">
        <v>115000</v>
      </c>
      <c r="M55" s="3494" t="s">
        <v>633</v>
      </c>
      <c r="N55" s="3494" t="s">
        <v>633</v>
      </c>
      <c r="O55" s="3491" t="s">
        <v>633</v>
      </c>
      <c r="P55" s="3491" t="s">
        <v>3726</v>
      </c>
    </row>
    <row r="56" spans="1:16" ht="40.5">
      <c r="A56" s="3491" t="s">
        <v>3727</v>
      </c>
      <c r="B56" s="3491" t="s">
        <v>3728</v>
      </c>
      <c r="C56" s="3491" t="s">
        <v>3512</v>
      </c>
      <c r="D56" s="3491" t="s">
        <v>3558</v>
      </c>
      <c r="E56" s="3491" t="s">
        <v>3693</v>
      </c>
      <c r="F56" s="3491" t="s">
        <v>673</v>
      </c>
      <c r="G56" s="3491" t="s">
        <v>3515</v>
      </c>
      <c r="H56" s="3491" t="s">
        <v>633</v>
      </c>
      <c r="I56" s="3492">
        <v>44104</v>
      </c>
      <c r="J56" s="3491" t="s">
        <v>3517</v>
      </c>
      <c r="K56" s="3491" t="s">
        <v>3524</v>
      </c>
      <c r="L56" s="3493">
        <v>90000</v>
      </c>
      <c r="M56" s="3493">
        <v>35287</v>
      </c>
      <c r="N56" s="3493">
        <v>25505</v>
      </c>
      <c r="O56" s="3491" t="s">
        <v>3729</v>
      </c>
      <c r="P56" s="3491" t="s">
        <v>3730</v>
      </c>
    </row>
    <row r="57" spans="1:16" ht="148.5">
      <c r="A57" s="3491" t="s">
        <v>3731</v>
      </c>
      <c r="B57" s="3491" t="s">
        <v>3732</v>
      </c>
      <c r="C57" s="3491" t="s">
        <v>3512</v>
      </c>
      <c r="D57" s="3491" t="s">
        <v>3571</v>
      </c>
      <c r="E57" s="3491" t="s">
        <v>3617</v>
      </c>
      <c r="F57" s="3491" t="s">
        <v>673</v>
      </c>
      <c r="G57" s="3491" t="s">
        <v>3547</v>
      </c>
      <c r="H57" s="3491" t="s">
        <v>633</v>
      </c>
      <c r="I57" s="3492">
        <v>44044</v>
      </c>
      <c r="J57" s="3491" t="s">
        <v>3517</v>
      </c>
      <c r="K57" s="3491" t="s">
        <v>3518</v>
      </c>
      <c r="L57" s="3493">
        <v>400000</v>
      </c>
      <c r="M57" s="3493">
        <v>25247</v>
      </c>
      <c r="N57" s="3493">
        <v>131997</v>
      </c>
      <c r="O57" s="3491" t="s">
        <v>3733</v>
      </c>
      <c r="P57" s="3491" t="s">
        <v>3734</v>
      </c>
    </row>
    <row r="58" spans="1:16" ht="135">
      <c r="A58" s="3491" t="s">
        <v>3735</v>
      </c>
      <c r="B58" s="3491" t="s">
        <v>3736</v>
      </c>
      <c r="C58" s="3491" t="s">
        <v>3512</v>
      </c>
      <c r="D58" s="3491" t="s">
        <v>3576</v>
      </c>
      <c r="E58" s="3491" t="s">
        <v>3576</v>
      </c>
      <c r="F58" s="3491" t="s">
        <v>673</v>
      </c>
      <c r="G58" s="3491" t="s">
        <v>3515</v>
      </c>
      <c r="H58" s="3491" t="s">
        <v>3651</v>
      </c>
      <c r="I58" s="3492">
        <v>44012</v>
      </c>
      <c r="J58" s="3491" t="s">
        <v>3517</v>
      </c>
      <c r="K58" s="3491" t="s">
        <v>3518</v>
      </c>
      <c r="L58" s="3493">
        <v>164900</v>
      </c>
      <c r="M58" s="3493">
        <v>20410</v>
      </c>
      <c r="N58" s="3493">
        <v>80798</v>
      </c>
      <c r="O58" s="3491" t="s">
        <v>3737</v>
      </c>
      <c r="P58" s="3491" t="s">
        <v>3738</v>
      </c>
    </row>
    <row r="59" spans="1:16" ht="54">
      <c r="A59" s="3491" t="s">
        <v>3739</v>
      </c>
      <c r="B59" s="3491" t="s">
        <v>3740</v>
      </c>
      <c r="C59" s="3491" t="s">
        <v>3512</v>
      </c>
      <c r="D59" s="3491" t="s">
        <v>3558</v>
      </c>
      <c r="E59" s="3491" t="s">
        <v>3559</v>
      </c>
      <c r="F59" s="3491" t="s">
        <v>673</v>
      </c>
      <c r="G59" s="3491" t="s">
        <v>3547</v>
      </c>
      <c r="H59" s="3491" t="s">
        <v>633</v>
      </c>
      <c r="I59" s="3492">
        <v>44004</v>
      </c>
      <c r="J59" s="3491" t="s">
        <v>3517</v>
      </c>
      <c r="K59" s="3491" t="s">
        <v>3524</v>
      </c>
      <c r="L59" s="3493">
        <v>49700</v>
      </c>
      <c r="M59" s="3494" t="s">
        <v>633</v>
      </c>
      <c r="N59" s="3493">
        <v>84900</v>
      </c>
      <c r="O59" s="3491" t="s">
        <v>3741</v>
      </c>
      <c r="P59" s="3491" t="s">
        <v>3742</v>
      </c>
    </row>
    <row r="60" spans="1:16" ht="67.5">
      <c r="A60" s="3491" t="s">
        <v>3743</v>
      </c>
      <c r="B60" s="3491" t="s">
        <v>3744</v>
      </c>
      <c r="C60" s="3491" t="s">
        <v>3512</v>
      </c>
      <c r="D60" s="3491" t="s">
        <v>3558</v>
      </c>
      <c r="E60" s="3491" t="s">
        <v>3638</v>
      </c>
      <c r="F60" s="3491" t="s">
        <v>673</v>
      </c>
      <c r="G60" s="3491" t="s">
        <v>3745</v>
      </c>
      <c r="H60" s="3491" t="s">
        <v>633</v>
      </c>
      <c r="I60" s="3492">
        <v>43951</v>
      </c>
      <c r="J60" s="3491" t="s">
        <v>3517</v>
      </c>
      <c r="K60" s="3491" t="s">
        <v>3524</v>
      </c>
      <c r="L60" s="3493">
        <v>77000</v>
      </c>
      <c r="M60" s="3493">
        <v>78874</v>
      </c>
      <c r="N60" s="3493">
        <v>19923</v>
      </c>
      <c r="O60" s="3491" t="s">
        <v>3746</v>
      </c>
      <c r="P60" s="3491" t="s">
        <v>633</v>
      </c>
    </row>
    <row r="61" spans="1:16" ht="40.5">
      <c r="A61" s="3491" t="s">
        <v>3654</v>
      </c>
      <c r="B61" s="3491" t="s">
        <v>3655</v>
      </c>
      <c r="C61" s="3491" t="s">
        <v>3512</v>
      </c>
      <c r="D61" s="3491" t="s">
        <v>3513</v>
      </c>
      <c r="E61" s="3491" t="s">
        <v>3747</v>
      </c>
      <c r="F61" s="3491" t="s">
        <v>3506</v>
      </c>
      <c r="G61" s="3491" t="s">
        <v>3506</v>
      </c>
      <c r="H61" s="3491" t="s">
        <v>633</v>
      </c>
      <c r="I61" s="3492">
        <v>43861</v>
      </c>
      <c r="J61" s="3491" t="s">
        <v>3517</v>
      </c>
      <c r="K61" s="3491" t="s">
        <v>3518</v>
      </c>
      <c r="L61" s="3493">
        <v>30000</v>
      </c>
      <c r="M61" s="3493">
        <v>21222</v>
      </c>
      <c r="N61" s="3493">
        <v>14136</v>
      </c>
      <c r="O61" s="3491" t="s">
        <v>3748</v>
      </c>
      <c r="P61" s="3491" t="s">
        <v>3749</v>
      </c>
    </row>
    <row r="62" spans="1:16" ht="54">
      <c r="A62" s="3491" t="s">
        <v>3750</v>
      </c>
      <c r="B62" s="3491" t="s">
        <v>3751</v>
      </c>
      <c r="C62" s="3491" t="s">
        <v>3512</v>
      </c>
      <c r="D62" s="3491" t="s">
        <v>3558</v>
      </c>
      <c r="E62" s="3491" t="s">
        <v>3752</v>
      </c>
      <c r="F62" s="3491" t="s">
        <v>673</v>
      </c>
      <c r="G62" s="3491" t="s">
        <v>3560</v>
      </c>
      <c r="H62" s="3491" t="s">
        <v>633</v>
      </c>
      <c r="I62" s="3492">
        <v>43861</v>
      </c>
      <c r="J62" s="3491" t="s">
        <v>3517</v>
      </c>
      <c r="K62" s="3491" t="s">
        <v>3518</v>
      </c>
      <c r="L62" s="3493">
        <v>35800</v>
      </c>
      <c r="M62" s="3493">
        <v>29222</v>
      </c>
      <c r="N62" s="3493">
        <v>12255</v>
      </c>
      <c r="O62" s="3491" t="s">
        <v>3608</v>
      </c>
      <c r="P62" s="3491" t="s">
        <v>3753</v>
      </c>
    </row>
    <row r="63" spans="1:16" ht="67.5">
      <c r="A63" s="3491" t="s">
        <v>3754</v>
      </c>
      <c r="B63" s="3491" t="s">
        <v>3755</v>
      </c>
      <c r="C63" s="3491" t="s">
        <v>3512</v>
      </c>
      <c r="D63" s="3491" t="s">
        <v>3581</v>
      </c>
      <c r="E63" s="3491" t="s">
        <v>3756</v>
      </c>
      <c r="F63" s="3491" t="s">
        <v>673</v>
      </c>
      <c r="G63" s="3491" t="s">
        <v>3515</v>
      </c>
      <c r="H63" s="3491" t="s">
        <v>633</v>
      </c>
      <c r="I63" s="3492">
        <v>43830</v>
      </c>
      <c r="J63" s="3491" t="s">
        <v>3517</v>
      </c>
      <c r="K63" s="3491" t="s">
        <v>633</v>
      </c>
      <c r="L63" s="3493">
        <v>680000</v>
      </c>
      <c r="M63" s="3493">
        <v>22667</v>
      </c>
      <c r="N63" s="3493">
        <v>300000</v>
      </c>
      <c r="O63" s="3491" t="s">
        <v>3757</v>
      </c>
      <c r="P63" s="3491" t="s">
        <v>3758</v>
      </c>
    </row>
    <row r="64" spans="1:16" ht="81">
      <c r="A64" s="3491" t="s">
        <v>3759</v>
      </c>
      <c r="B64" s="3491" t="s">
        <v>3760</v>
      </c>
      <c r="C64" s="3491" t="s">
        <v>3512</v>
      </c>
      <c r="D64" s="3491" t="s">
        <v>3558</v>
      </c>
      <c r="E64" s="3491" t="s">
        <v>3761</v>
      </c>
      <c r="F64" s="3491" t="s">
        <v>673</v>
      </c>
      <c r="G64" s="3491" t="s">
        <v>3515</v>
      </c>
      <c r="H64" s="3491" t="s">
        <v>633</v>
      </c>
      <c r="I64" s="3492">
        <v>43830</v>
      </c>
      <c r="J64" s="3491" t="s">
        <v>3517</v>
      </c>
      <c r="K64" s="3491" t="s">
        <v>633</v>
      </c>
      <c r="L64" s="3493">
        <v>77000</v>
      </c>
      <c r="M64" s="3494" t="s">
        <v>633</v>
      </c>
      <c r="N64" s="3493">
        <v>130000</v>
      </c>
      <c r="O64" s="3491" t="s">
        <v>3762</v>
      </c>
      <c r="P64" s="3491" t="s">
        <v>3763</v>
      </c>
    </row>
    <row r="65" spans="1:16" ht="67.5">
      <c r="A65" s="3491" t="s">
        <v>3764</v>
      </c>
      <c r="B65" s="3491" t="s">
        <v>3765</v>
      </c>
      <c r="C65" s="3491" t="s">
        <v>3512</v>
      </c>
      <c r="D65" s="3491" t="s">
        <v>3586</v>
      </c>
      <c r="E65" s="3491" t="s">
        <v>633</v>
      </c>
      <c r="F65" s="3491" t="s">
        <v>673</v>
      </c>
      <c r="G65" s="3491" t="s">
        <v>3515</v>
      </c>
      <c r="H65" s="3491" t="s">
        <v>633</v>
      </c>
      <c r="I65" s="3492">
        <v>43812</v>
      </c>
      <c r="J65" s="3491" t="s">
        <v>3517</v>
      </c>
      <c r="K65" s="3491" t="s">
        <v>633</v>
      </c>
      <c r="L65" s="3493">
        <v>248200</v>
      </c>
      <c r="M65" s="3493">
        <v>42543</v>
      </c>
      <c r="N65" s="3493">
        <v>58348</v>
      </c>
      <c r="O65" s="3491" t="s">
        <v>3766</v>
      </c>
      <c r="P65" s="3491" t="s">
        <v>3767</v>
      </c>
    </row>
    <row r="66" spans="1:16" ht="54">
      <c r="A66" s="3491" t="s">
        <v>3768</v>
      </c>
      <c r="B66" s="3491" t="s">
        <v>3769</v>
      </c>
      <c r="C66" s="3491" t="s">
        <v>3512</v>
      </c>
      <c r="D66" s="3491" t="s">
        <v>3770</v>
      </c>
      <c r="E66" s="3491" t="s">
        <v>3771</v>
      </c>
      <c r="F66" s="3491" t="s">
        <v>673</v>
      </c>
      <c r="G66" s="3491" t="s">
        <v>3515</v>
      </c>
      <c r="H66" s="3491" t="s">
        <v>3516</v>
      </c>
      <c r="I66" s="3492">
        <v>43773</v>
      </c>
      <c r="J66" s="3491" t="s">
        <v>3517</v>
      </c>
      <c r="K66" s="3491" t="s">
        <v>3518</v>
      </c>
      <c r="L66" s="3493">
        <v>159382.46</v>
      </c>
      <c r="M66" s="3493">
        <v>12452</v>
      </c>
      <c r="N66" s="3493">
        <v>127997</v>
      </c>
      <c r="O66" s="3491" t="s">
        <v>3772</v>
      </c>
      <c r="P66" s="3491" t="s">
        <v>3773</v>
      </c>
    </row>
    <row r="67" spans="1:16" ht="67.5">
      <c r="A67" s="3491" t="s">
        <v>3774</v>
      </c>
      <c r="B67" s="3491" t="s">
        <v>3775</v>
      </c>
      <c r="C67" s="3491" t="s">
        <v>3512</v>
      </c>
      <c r="D67" s="3491" t="s">
        <v>3581</v>
      </c>
      <c r="E67" s="3491" t="s">
        <v>633</v>
      </c>
      <c r="F67" s="3491" t="s">
        <v>673</v>
      </c>
      <c r="G67" s="3491" t="s">
        <v>3776</v>
      </c>
      <c r="H67" s="3491" t="s">
        <v>633</v>
      </c>
      <c r="I67" s="3492">
        <v>43766</v>
      </c>
      <c r="J67" s="3491" t="s">
        <v>3517</v>
      </c>
      <c r="K67" s="3491" t="s">
        <v>3518</v>
      </c>
      <c r="L67" s="3494" t="s">
        <v>633</v>
      </c>
      <c r="M67" s="3494" t="s">
        <v>633</v>
      </c>
      <c r="N67" s="3493">
        <v>199995</v>
      </c>
      <c r="O67" s="3491" t="s">
        <v>3757</v>
      </c>
      <c r="P67" s="3491" t="s">
        <v>3758</v>
      </c>
    </row>
    <row r="68" spans="1:16" ht="121.5">
      <c r="A68" s="3491" t="s">
        <v>3777</v>
      </c>
      <c r="B68" s="3491" t="s">
        <v>3778</v>
      </c>
      <c r="C68" s="3491" t="s">
        <v>3512</v>
      </c>
      <c r="D68" s="3491" t="s">
        <v>3558</v>
      </c>
      <c r="E68" s="3491" t="s">
        <v>633</v>
      </c>
      <c r="F68" s="3491" t="s">
        <v>3506</v>
      </c>
      <c r="G68" s="3491" t="s">
        <v>3506</v>
      </c>
      <c r="H68" s="3491" t="s">
        <v>633</v>
      </c>
      <c r="I68" s="3492">
        <v>43738</v>
      </c>
      <c r="J68" s="3491" t="s">
        <v>3517</v>
      </c>
      <c r="K68" s="3491" t="s">
        <v>633</v>
      </c>
      <c r="L68" s="3493">
        <v>118000</v>
      </c>
      <c r="M68" s="3493">
        <v>36212</v>
      </c>
      <c r="N68" s="3493">
        <v>32586</v>
      </c>
      <c r="O68" s="3491" t="s">
        <v>3779</v>
      </c>
      <c r="P68" s="3491" t="s">
        <v>3780</v>
      </c>
    </row>
    <row r="69" spans="1:16" ht="108">
      <c r="A69" s="3491" t="s">
        <v>3781</v>
      </c>
      <c r="B69" s="3491" t="s">
        <v>3782</v>
      </c>
      <c r="C69" s="3491" t="s">
        <v>3512</v>
      </c>
      <c r="D69" s="3491" t="s">
        <v>3558</v>
      </c>
      <c r="E69" s="3491" t="s">
        <v>3783</v>
      </c>
      <c r="F69" s="3491" t="s">
        <v>3506</v>
      </c>
      <c r="G69" s="3491" t="s">
        <v>3506</v>
      </c>
      <c r="H69" s="3491" t="s">
        <v>633</v>
      </c>
      <c r="I69" s="3492">
        <v>43738</v>
      </c>
      <c r="J69" s="3491" t="s">
        <v>3517</v>
      </c>
      <c r="K69" s="3491" t="s">
        <v>633</v>
      </c>
      <c r="L69" s="3493">
        <v>44000</v>
      </c>
      <c r="M69" s="3493">
        <v>38694</v>
      </c>
      <c r="N69" s="3493">
        <v>11371</v>
      </c>
      <c r="O69" s="3491" t="s">
        <v>3784</v>
      </c>
      <c r="P69" s="3491" t="s">
        <v>3785</v>
      </c>
    </row>
    <row r="70" spans="1:16" ht="94.5">
      <c r="A70" s="3491" t="s">
        <v>3786</v>
      </c>
      <c r="B70" s="3491" t="s">
        <v>3787</v>
      </c>
      <c r="C70" s="3491" t="s">
        <v>3512</v>
      </c>
      <c r="D70" s="3491" t="s">
        <v>3581</v>
      </c>
      <c r="E70" s="3491" t="s">
        <v>633</v>
      </c>
      <c r="F70" s="3491" t="s">
        <v>673</v>
      </c>
      <c r="G70" s="3491" t="s">
        <v>3515</v>
      </c>
      <c r="H70" s="3491" t="s">
        <v>633</v>
      </c>
      <c r="I70" s="3492">
        <v>43726</v>
      </c>
      <c r="J70" s="3491" t="s">
        <v>3517</v>
      </c>
      <c r="K70" s="3491" t="s">
        <v>3518</v>
      </c>
      <c r="L70" s="3493">
        <v>245910.41</v>
      </c>
      <c r="M70" s="3493">
        <v>32259</v>
      </c>
      <c r="N70" s="3493">
        <v>76231</v>
      </c>
      <c r="O70" s="3491" t="s">
        <v>3788</v>
      </c>
      <c r="P70" s="3491" t="s">
        <v>3789</v>
      </c>
    </row>
    <row r="71" spans="1:16" ht="54">
      <c r="A71" s="3491" t="s">
        <v>3790</v>
      </c>
      <c r="B71" s="3491" t="s">
        <v>3791</v>
      </c>
      <c r="C71" s="3491" t="s">
        <v>3512</v>
      </c>
      <c r="D71" s="3491" t="s">
        <v>3558</v>
      </c>
      <c r="E71" s="3491" t="s">
        <v>3792</v>
      </c>
      <c r="F71" s="3491" t="s">
        <v>673</v>
      </c>
      <c r="G71" s="3491" t="s">
        <v>3515</v>
      </c>
      <c r="H71" s="3491" t="s">
        <v>3651</v>
      </c>
      <c r="I71" s="3492">
        <v>43671</v>
      </c>
      <c r="J71" s="3491" t="s">
        <v>3517</v>
      </c>
      <c r="K71" s="3491" t="s">
        <v>3518</v>
      </c>
      <c r="L71" s="3494" t="s">
        <v>633</v>
      </c>
      <c r="M71" s="3494" t="s">
        <v>633</v>
      </c>
      <c r="N71" s="3493">
        <v>13000</v>
      </c>
      <c r="O71" s="3491" t="s">
        <v>3793</v>
      </c>
      <c r="P71" s="3491" t="s">
        <v>3794</v>
      </c>
    </row>
    <row r="72" spans="1:16" ht="67.5">
      <c r="A72" s="3491" t="s">
        <v>3795</v>
      </c>
      <c r="B72" s="3491" t="s">
        <v>3796</v>
      </c>
      <c r="C72" s="3491" t="s">
        <v>3512</v>
      </c>
      <c r="D72" s="3491" t="s">
        <v>3629</v>
      </c>
      <c r="E72" s="3491" t="s">
        <v>3797</v>
      </c>
      <c r="F72" s="3491" t="s">
        <v>673</v>
      </c>
      <c r="G72" s="3491" t="s">
        <v>3515</v>
      </c>
      <c r="H72" s="3491" t="s">
        <v>3547</v>
      </c>
      <c r="I72" s="3492">
        <v>43616</v>
      </c>
      <c r="J72" s="3491" t="s">
        <v>3517</v>
      </c>
      <c r="K72" s="3491" t="s">
        <v>3524</v>
      </c>
      <c r="L72" s="3493">
        <v>100000</v>
      </c>
      <c r="M72" s="3493">
        <v>21277</v>
      </c>
      <c r="N72" s="3493">
        <v>46999</v>
      </c>
      <c r="O72" s="3491" t="s">
        <v>3798</v>
      </c>
      <c r="P72" s="3491" t="s">
        <v>3799</v>
      </c>
    </row>
    <row r="73" spans="1:16" ht="108">
      <c r="A73" s="3491" t="s">
        <v>3800</v>
      </c>
      <c r="B73" s="3491" t="s">
        <v>3801</v>
      </c>
      <c r="C73" s="3491" t="s">
        <v>3512</v>
      </c>
      <c r="D73" s="3491" t="s">
        <v>3558</v>
      </c>
      <c r="E73" s="3491" t="s">
        <v>3802</v>
      </c>
      <c r="F73" s="3491" t="s">
        <v>673</v>
      </c>
      <c r="G73" s="3491" t="s">
        <v>3515</v>
      </c>
      <c r="H73" s="3491" t="s">
        <v>633</v>
      </c>
      <c r="I73" s="3492">
        <v>43612</v>
      </c>
      <c r="J73" s="3491" t="s">
        <v>3517</v>
      </c>
      <c r="K73" s="3491" t="s">
        <v>633</v>
      </c>
      <c r="L73" s="3493">
        <v>210000</v>
      </c>
      <c r="M73" s="3494" t="s">
        <v>633</v>
      </c>
      <c r="N73" s="3494" t="s">
        <v>633</v>
      </c>
      <c r="O73" s="3491" t="s">
        <v>3803</v>
      </c>
      <c r="P73" s="3491" t="s">
        <v>633</v>
      </c>
    </row>
    <row r="74" spans="1:16" ht="67.5">
      <c r="A74" s="3491" t="s">
        <v>3804</v>
      </c>
      <c r="B74" s="3491" t="s">
        <v>3805</v>
      </c>
      <c r="C74" s="3491" t="s">
        <v>3512</v>
      </c>
      <c r="D74" s="3491" t="s">
        <v>3581</v>
      </c>
      <c r="E74" s="3491" t="s">
        <v>3721</v>
      </c>
      <c r="F74" s="3491" t="s">
        <v>3506</v>
      </c>
      <c r="G74" s="3491" t="s">
        <v>3506</v>
      </c>
      <c r="H74" s="3491" t="s">
        <v>3516</v>
      </c>
      <c r="I74" s="3492">
        <v>43498</v>
      </c>
      <c r="J74" s="3491" t="s">
        <v>3517</v>
      </c>
      <c r="K74" s="3491" t="s">
        <v>3524</v>
      </c>
      <c r="L74" s="3493">
        <v>270000</v>
      </c>
      <c r="M74" s="3493">
        <v>39359</v>
      </c>
      <c r="N74" s="3493">
        <v>68600</v>
      </c>
      <c r="O74" s="3491" t="s">
        <v>3806</v>
      </c>
      <c r="P74" s="3491" t="s">
        <v>3807</v>
      </c>
    </row>
    <row r="75" spans="1:16" ht="54">
      <c r="A75" s="3491" t="s">
        <v>3808</v>
      </c>
      <c r="B75" s="3491" t="s">
        <v>3809</v>
      </c>
      <c r="C75" s="3491" t="s">
        <v>3512</v>
      </c>
      <c r="D75" s="3491" t="s">
        <v>3523</v>
      </c>
      <c r="E75" s="3491" t="s">
        <v>633</v>
      </c>
      <c r="F75" s="3491" t="s">
        <v>673</v>
      </c>
      <c r="G75" s="3491" t="s">
        <v>3547</v>
      </c>
      <c r="H75" s="3491" t="s">
        <v>633</v>
      </c>
      <c r="I75" s="3492">
        <v>43447</v>
      </c>
      <c r="J75" s="3491" t="s">
        <v>3517</v>
      </c>
      <c r="K75" s="3491" t="s">
        <v>633</v>
      </c>
      <c r="L75" s="3493">
        <v>115137.64</v>
      </c>
      <c r="M75" s="3493">
        <v>46431</v>
      </c>
      <c r="N75" s="3493">
        <v>24797</v>
      </c>
      <c r="O75" s="3491" t="s">
        <v>3810</v>
      </c>
      <c r="P75" s="3491" t="s">
        <v>633</v>
      </c>
    </row>
    <row r="76" spans="1:16" ht="67.5">
      <c r="A76" s="3491" t="s">
        <v>3811</v>
      </c>
      <c r="B76" s="3491" t="s">
        <v>3812</v>
      </c>
      <c r="C76" s="3491" t="s">
        <v>3512</v>
      </c>
      <c r="D76" s="3491" t="s">
        <v>3576</v>
      </c>
      <c r="E76" s="3491" t="s">
        <v>3813</v>
      </c>
      <c r="F76" s="3491" t="s">
        <v>673</v>
      </c>
      <c r="G76" s="3491" t="s">
        <v>3515</v>
      </c>
      <c r="H76" s="3491" t="s">
        <v>633</v>
      </c>
      <c r="I76" s="3492">
        <v>43430</v>
      </c>
      <c r="J76" s="3491" t="s">
        <v>3517</v>
      </c>
      <c r="K76" s="3491" t="s">
        <v>633</v>
      </c>
      <c r="L76" s="3493">
        <v>256000</v>
      </c>
      <c r="M76" s="3493">
        <v>37900</v>
      </c>
      <c r="N76" s="3493">
        <v>67546</v>
      </c>
      <c r="O76" s="3491" t="s">
        <v>3814</v>
      </c>
      <c r="P76" s="3491" t="s">
        <v>3815</v>
      </c>
    </row>
    <row r="77" spans="1:16" ht="67.5">
      <c r="A77" s="3491" t="s">
        <v>3816</v>
      </c>
      <c r="B77" s="3491" t="s">
        <v>3817</v>
      </c>
      <c r="C77" s="3491" t="s">
        <v>3512</v>
      </c>
      <c r="D77" s="3491" t="s">
        <v>3558</v>
      </c>
      <c r="E77" s="3491" t="s">
        <v>633</v>
      </c>
      <c r="F77" s="3491" t="s">
        <v>673</v>
      </c>
      <c r="G77" s="3491" t="s">
        <v>3560</v>
      </c>
      <c r="H77" s="3491" t="s">
        <v>633</v>
      </c>
      <c r="I77" s="3492">
        <v>43369</v>
      </c>
      <c r="J77" s="3491" t="s">
        <v>3517</v>
      </c>
      <c r="K77" s="3491" t="s">
        <v>3518</v>
      </c>
      <c r="L77" s="3493">
        <v>14176</v>
      </c>
      <c r="M77" s="3494" t="s">
        <v>633</v>
      </c>
      <c r="N77" s="3494" t="s">
        <v>633</v>
      </c>
      <c r="O77" s="3491" t="s">
        <v>633</v>
      </c>
      <c r="P77" s="3491" t="s">
        <v>3672</v>
      </c>
    </row>
    <row r="78" spans="1:16" ht="108">
      <c r="A78" s="3491" t="s">
        <v>3818</v>
      </c>
      <c r="B78" s="3491" t="s">
        <v>3819</v>
      </c>
      <c r="C78" s="3491" t="s">
        <v>3512</v>
      </c>
      <c r="D78" s="3491" t="s">
        <v>3820</v>
      </c>
      <c r="E78" s="3491" t="s">
        <v>633</v>
      </c>
      <c r="F78" s="3491" t="s">
        <v>673</v>
      </c>
      <c r="G78" s="3491" t="s">
        <v>3515</v>
      </c>
      <c r="H78" s="3491" t="s">
        <v>633</v>
      </c>
      <c r="I78" s="3492">
        <v>43347</v>
      </c>
      <c r="J78" s="3491" t="s">
        <v>3517</v>
      </c>
      <c r="K78" s="3491" t="s">
        <v>3524</v>
      </c>
      <c r="L78" s="3493">
        <v>80017.570000000007</v>
      </c>
      <c r="M78" s="3493">
        <v>23189</v>
      </c>
      <c r="N78" s="3493">
        <v>34506</v>
      </c>
      <c r="O78" s="3491" t="s">
        <v>3821</v>
      </c>
      <c r="P78" s="3491" t="s">
        <v>3822</v>
      </c>
    </row>
    <row r="79" spans="1:16" ht="54">
      <c r="A79" s="3491" t="s">
        <v>3823</v>
      </c>
      <c r="B79" s="3491" t="s">
        <v>3824</v>
      </c>
      <c r="C79" s="3491" t="s">
        <v>3825</v>
      </c>
      <c r="D79" s="3491" t="s">
        <v>633</v>
      </c>
      <c r="E79" s="3491" t="s">
        <v>633</v>
      </c>
      <c r="F79" s="3491" t="s">
        <v>673</v>
      </c>
      <c r="G79" s="3491" t="s">
        <v>3826</v>
      </c>
      <c r="H79" s="3491" t="s">
        <v>633</v>
      </c>
      <c r="I79" s="3492">
        <v>43314</v>
      </c>
      <c r="J79" s="3491" t="s">
        <v>3517</v>
      </c>
      <c r="K79" s="3491" t="s">
        <v>3524</v>
      </c>
      <c r="L79" s="3494" t="s">
        <v>633</v>
      </c>
      <c r="M79" s="3494" t="s">
        <v>633</v>
      </c>
      <c r="N79" s="3493">
        <v>81066</v>
      </c>
      <c r="O79" s="3491" t="s">
        <v>3827</v>
      </c>
      <c r="P79" s="3491" t="s">
        <v>3828</v>
      </c>
    </row>
    <row r="80" spans="1:16" ht="81">
      <c r="A80" s="3491" t="s">
        <v>3829</v>
      </c>
      <c r="B80" s="3491" t="s">
        <v>3830</v>
      </c>
      <c r="C80" s="3491" t="s">
        <v>3512</v>
      </c>
      <c r="D80" s="3491" t="s">
        <v>3513</v>
      </c>
      <c r="E80" s="3491" t="s">
        <v>3831</v>
      </c>
      <c r="F80" s="3491" t="s">
        <v>673</v>
      </c>
      <c r="G80" s="3491" t="s">
        <v>3515</v>
      </c>
      <c r="H80" s="3491" t="s">
        <v>3651</v>
      </c>
      <c r="I80" s="3492">
        <v>43281</v>
      </c>
      <c r="J80" s="3491" t="s">
        <v>3517</v>
      </c>
      <c r="K80" s="3491" t="s">
        <v>633</v>
      </c>
      <c r="L80" s="3493">
        <v>24000</v>
      </c>
      <c r="M80" s="3493">
        <v>56231</v>
      </c>
      <c r="N80" s="3493">
        <v>4268</v>
      </c>
      <c r="O80" s="3491" t="s">
        <v>3832</v>
      </c>
      <c r="P80" s="3491" t="s">
        <v>3833</v>
      </c>
    </row>
    <row r="81" spans="1:16" ht="81">
      <c r="A81" s="3491" t="s">
        <v>3834</v>
      </c>
      <c r="B81" s="3491" t="s">
        <v>3835</v>
      </c>
      <c r="C81" s="3491" t="s">
        <v>3512</v>
      </c>
      <c r="D81" s="3491" t="s">
        <v>3675</v>
      </c>
      <c r="E81" s="3491" t="s">
        <v>3836</v>
      </c>
      <c r="F81" s="3491" t="s">
        <v>673</v>
      </c>
      <c r="G81" s="3491" t="s">
        <v>3515</v>
      </c>
      <c r="H81" s="3491" t="s">
        <v>633</v>
      </c>
      <c r="I81" s="3492">
        <v>43281</v>
      </c>
      <c r="J81" s="3491" t="s">
        <v>3517</v>
      </c>
      <c r="K81" s="3491" t="s">
        <v>3524</v>
      </c>
      <c r="L81" s="3494" t="s">
        <v>633</v>
      </c>
      <c r="M81" s="3494" t="s">
        <v>633</v>
      </c>
      <c r="N81" s="3493">
        <v>228083</v>
      </c>
      <c r="O81" s="3491" t="s">
        <v>3762</v>
      </c>
      <c r="P81" s="3491" t="s">
        <v>3837</v>
      </c>
    </row>
    <row r="82" spans="1:16" ht="54">
      <c r="A82" s="3491" t="s">
        <v>3838</v>
      </c>
      <c r="B82" s="3491" t="s">
        <v>3839</v>
      </c>
      <c r="C82" s="3491" t="s">
        <v>3512</v>
      </c>
      <c r="D82" s="3491" t="s">
        <v>3620</v>
      </c>
      <c r="E82" s="3491" t="s">
        <v>633</v>
      </c>
      <c r="F82" s="3491" t="s">
        <v>3506</v>
      </c>
      <c r="G82" s="3491" t="s">
        <v>3506</v>
      </c>
      <c r="H82" s="3491" t="s">
        <v>633</v>
      </c>
      <c r="I82" s="3492">
        <v>43281</v>
      </c>
      <c r="J82" s="3491" t="s">
        <v>3517</v>
      </c>
      <c r="K82" s="3491" t="s">
        <v>3524</v>
      </c>
      <c r="L82" s="3493">
        <v>66700</v>
      </c>
      <c r="M82" s="3493">
        <v>19328</v>
      </c>
      <c r="N82" s="3493">
        <v>58000</v>
      </c>
      <c r="O82" s="3491" t="s">
        <v>3840</v>
      </c>
      <c r="P82" s="3491" t="s">
        <v>3841</v>
      </c>
    </row>
    <row r="83" spans="1:16" ht="54">
      <c r="A83" s="3491" t="s">
        <v>3842</v>
      </c>
      <c r="B83" s="3491" t="s">
        <v>3843</v>
      </c>
      <c r="C83" s="3491" t="s">
        <v>3512</v>
      </c>
      <c r="D83" s="3491" t="s">
        <v>3558</v>
      </c>
      <c r="E83" s="3491" t="s">
        <v>3844</v>
      </c>
      <c r="F83" s="3491" t="s">
        <v>673</v>
      </c>
      <c r="G83" s="3491" t="s">
        <v>3515</v>
      </c>
      <c r="H83" s="3491" t="s">
        <v>3651</v>
      </c>
      <c r="I83" s="3492">
        <v>43281</v>
      </c>
      <c r="J83" s="3491" t="s">
        <v>3517</v>
      </c>
      <c r="K83" s="3491" t="s">
        <v>633</v>
      </c>
      <c r="L83" s="3494" t="s">
        <v>633</v>
      </c>
      <c r="M83" s="3494" t="s">
        <v>633</v>
      </c>
      <c r="N83" s="3493">
        <v>46299</v>
      </c>
      <c r="O83" s="3491" t="s">
        <v>3845</v>
      </c>
      <c r="P83" s="3491" t="s">
        <v>633</v>
      </c>
    </row>
    <row r="84" spans="1:16" ht="54">
      <c r="A84" s="3491" t="s">
        <v>3846</v>
      </c>
      <c r="B84" s="3491" t="s">
        <v>3847</v>
      </c>
      <c r="C84" s="3491" t="s">
        <v>3512</v>
      </c>
      <c r="D84" s="3491" t="s">
        <v>3620</v>
      </c>
      <c r="E84" s="3491" t="s">
        <v>633</v>
      </c>
      <c r="F84" s="3491" t="s">
        <v>673</v>
      </c>
      <c r="G84" s="3491" t="s">
        <v>3515</v>
      </c>
      <c r="H84" s="3491" t="s">
        <v>633</v>
      </c>
      <c r="I84" s="3492">
        <v>43083</v>
      </c>
      <c r="J84" s="3491" t="s">
        <v>3517</v>
      </c>
      <c r="K84" s="3491" t="s">
        <v>3524</v>
      </c>
      <c r="L84" s="3493">
        <v>53300</v>
      </c>
      <c r="M84" s="3493">
        <v>30533</v>
      </c>
      <c r="N84" s="3493">
        <v>17457</v>
      </c>
      <c r="O84" s="3491" t="s">
        <v>3848</v>
      </c>
      <c r="P84" s="3491" t="s">
        <v>3849</v>
      </c>
    </row>
    <row r="85" spans="1:16" ht="67.5">
      <c r="A85" s="3491" t="s">
        <v>3850</v>
      </c>
      <c r="B85" s="3491" t="s">
        <v>3851</v>
      </c>
      <c r="C85" s="3491" t="s">
        <v>3512</v>
      </c>
      <c r="D85" s="3491" t="s">
        <v>3571</v>
      </c>
      <c r="E85" s="3491" t="s">
        <v>633</v>
      </c>
      <c r="F85" s="3491" t="s">
        <v>673</v>
      </c>
      <c r="G85" s="3491" t="s">
        <v>3852</v>
      </c>
      <c r="H85" s="3491" t="s">
        <v>633</v>
      </c>
      <c r="I85" s="3492">
        <v>43008</v>
      </c>
      <c r="J85" s="3491" t="s">
        <v>3517</v>
      </c>
      <c r="K85" s="3491" t="s">
        <v>3524</v>
      </c>
      <c r="L85" s="3494" t="s">
        <v>633</v>
      </c>
      <c r="M85" s="3494" t="s">
        <v>633</v>
      </c>
      <c r="N85" s="3493">
        <v>12086</v>
      </c>
      <c r="O85" s="3491" t="s">
        <v>3853</v>
      </c>
      <c r="P85" s="3491" t="s">
        <v>3854</v>
      </c>
    </row>
    <row r="86" spans="1:16" ht="54">
      <c r="A86" s="3491" t="s">
        <v>3855</v>
      </c>
      <c r="B86" s="3491" t="s">
        <v>3856</v>
      </c>
      <c r="C86" s="3491" t="s">
        <v>3512</v>
      </c>
      <c r="D86" s="3491" t="s">
        <v>3558</v>
      </c>
      <c r="E86" s="3491" t="s">
        <v>633</v>
      </c>
      <c r="F86" s="3491" t="s">
        <v>673</v>
      </c>
      <c r="G86" s="3491" t="s">
        <v>3515</v>
      </c>
      <c r="H86" s="3491" t="s">
        <v>633</v>
      </c>
      <c r="I86" s="3492">
        <v>42992</v>
      </c>
      <c r="J86" s="3491" t="s">
        <v>3517</v>
      </c>
      <c r="K86" s="3491" t="s">
        <v>3524</v>
      </c>
      <c r="L86" s="3493">
        <v>112950</v>
      </c>
      <c r="M86" s="3493">
        <v>26000</v>
      </c>
      <c r="N86" s="3493">
        <v>43442</v>
      </c>
      <c r="O86" s="3491" t="s">
        <v>3857</v>
      </c>
      <c r="P86" s="3491" t="s">
        <v>3858</v>
      </c>
    </row>
    <row r="87" spans="1:16" ht="81">
      <c r="A87" s="3491" t="s">
        <v>3859</v>
      </c>
      <c r="B87" s="3491" t="s">
        <v>3860</v>
      </c>
      <c r="C87" s="3491" t="s">
        <v>3512</v>
      </c>
      <c r="D87" s="3491" t="s">
        <v>3558</v>
      </c>
      <c r="E87" s="3491" t="s">
        <v>633</v>
      </c>
      <c r="F87" s="3491" t="s">
        <v>3506</v>
      </c>
      <c r="G87" s="3491" t="s">
        <v>3506</v>
      </c>
      <c r="H87" s="3491" t="s">
        <v>633</v>
      </c>
      <c r="I87" s="3492">
        <v>42916</v>
      </c>
      <c r="J87" s="3491" t="s">
        <v>3517</v>
      </c>
      <c r="K87" s="3491" t="s">
        <v>633</v>
      </c>
      <c r="L87" s="3493">
        <v>183000</v>
      </c>
      <c r="M87" s="3493">
        <v>43000</v>
      </c>
      <c r="N87" s="3493">
        <v>42600</v>
      </c>
      <c r="O87" s="3491" t="s">
        <v>3861</v>
      </c>
      <c r="P87" s="3491" t="s">
        <v>3862</v>
      </c>
    </row>
    <row r="88" spans="1:16" ht="94.5">
      <c r="A88" s="3491" t="s">
        <v>3863</v>
      </c>
      <c r="B88" s="3491" t="s">
        <v>3864</v>
      </c>
      <c r="C88" s="3491" t="s">
        <v>3512</v>
      </c>
      <c r="D88" s="3491" t="s">
        <v>3558</v>
      </c>
      <c r="E88" s="3491" t="s">
        <v>633</v>
      </c>
      <c r="F88" s="3491" t="s">
        <v>673</v>
      </c>
      <c r="G88" s="3491" t="s">
        <v>3515</v>
      </c>
      <c r="H88" s="3491" t="s">
        <v>633</v>
      </c>
      <c r="I88" s="3492">
        <v>42916</v>
      </c>
      <c r="J88" s="3491" t="s">
        <v>3517</v>
      </c>
      <c r="K88" s="3491" t="s">
        <v>633</v>
      </c>
      <c r="L88" s="3493">
        <v>125000</v>
      </c>
      <c r="M88" s="3493">
        <v>25000</v>
      </c>
      <c r="N88" s="3493">
        <v>50100</v>
      </c>
      <c r="O88" s="3491" t="s">
        <v>3865</v>
      </c>
      <c r="P88" s="3491" t="s">
        <v>3866</v>
      </c>
    </row>
    <row r="89" spans="1:16" ht="40.5">
      <c r="A89" s="3491" t="s">
        <v>3867</v>
      </c>
      <c r="B89" s="3491" t="s">
        <v>3868</v>
      </c>
      <c r="C89" s="3491" t="s">
        <v>3512</v>
      </c>
      <c r="D89" s="3491" t="s">
        <v>3513</v>
      </c>
      <c r="E89" s="3491" t="s">
        <v>3869</v>
      </c>
      <c r="F89" s="3491" t="s">
        <v>673</v>
      </c>
      <c r="G89" s="3491" t="s">
        <v>3515</v>
      </c>
      <c r="H89" s="3491" t="s">
        <v>3516</v>
      </c>
      <c r="I89" s="3492">
        <v>42916</v>
      </c>
      <c r="J89" s="3491" t="s">
        <v>3517</v>
      </c>
      <c r="K89" s="3491" t="s">
        <v>3524</v>
      </c>
      <c r="L89" s="3493">
        <v>220050</v>
      </c>
      <c r="M89" s="3493">
        <v>56808</v>
      </c>
      <c r="N89" s="3493">
        <v>38736</v>
      </c>
      <c r="O89" s="3491" t="s">
        <v>633</v>
      </c>
      <c r="P89" s="3491" t="s">
        <v>3870</v>
      </c>
    </row>
    <row r="90" spans="1:16" ht="81">
      <c r="A90" s="3491" t="s">
        <v>3871</v>
      </c>
      <c r="B90" s="3491" t="s">
        <v>3872</v>
      </c>
      <c r="C90" s="3491" t="s">
        <v>3512</v>
      </c>
      <c r="D90" s="3491" t="s">
        <v>3558</v>
      </c>
      <c r="E90" s="3491" t="s">
        <v>633</v>
      </c>
      <c r="F90" s="3491" t="s">
        <v>673</v>
      </c>
      <c r="G90" s="3491" t="s">
        <v>3515</v>
      </c>
      <c r="H90" s="3491" t="s">
        <v>633</v>
      </c>
      <c r="I90" s="3492">
        <v>42862</v>
      </c>
      <c r="J90" s="3491" t="s">
        <v>3517</v>
      </c>
      <c r="K90" s="3491" t="s">
        <v>633</v>
      </c>
      <c r="L90" s="3494" t="s">
        <v>633</v>
      </c>
      <c r="M90" s="3494" t="s">
        <v>633</v>
      </c>
      <c r="N90" s="3493">
        <v>111398</v>
      </c>
      <c r="O90" s="3491" t="s">
        <v>3873</v>
      </c>
      <c r="P90" s="3491" t="s">
        <v>633</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115" zoomScaleNormal="70" zoomScaleSheetLayoutView="115" workbookViewId="0">
      <selection activeCell="G16" sqref="G1:G104857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22" t="s">
        <v>3503</v>
      </c>
      <c r="F1" s="1877" t="s">
        <v>3504</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23546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49094</v>
      </c>
      <c r="C3" s="353" t="s">
        <v>1768</v>
      </c>
      <c r="D3" s="352">
        <f>IF(D1="",'数据-汇总表'!E3,SUMIF('数据-汇总表'!$C19:$C33,D1,'数据-汇总表'!$E19:$E33))</f>
        <v>4796.0099999999993</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4" t="s">
        <v>1769</v>
      </c>
      <c r="B4" s="355"/>
      <c r="C4" s="3707" t="s">
        <v>1770</v>
      </c>
      <c r="D4" s="3708"/>
      <c r="E4" s="3709" t="s">
        <v>1771</v>
      </c>
      <c r="F4" s="3710"/>
      <c r="G4" s="3707" t="s">
        <v>1772</v>
      </c>
      <c r="H4" s="3708"/>
      <c r="I4" s="3707" t="s">
        <v>1773</v>
      </c>
      <c r="J4" s="3708"/>
      <c r="K4" s="558" t="s">
        <v>1774</v>
      </c>
      <c r="L4" s="2712"/>
      <c r="M4" s="2713"/>
      <c r="N4" s="2713"/>
      <c r="O4" s="2713"/>
      <c r="P4" s="3711" t="s">
        <v>1775</v>
      </c>
      <c r="Q4" s="3712"/>
      <c r="R4" s="3717" t="s">
        <v>1771</v>
      </c>
      <c r="S4" s="3718"/>
      <c r="T4" s="3717" t="s">
        <v>1772</v>
      </c>
      <c r="U4" s="3718"/>
      <c r="V4" s="3702" t="s">
        <v>1773</v>
      </c>
      <c r="W4" s="3702"/>
      <c r="X4" s="1353"/>
      <c r="Y4" s="3717" t="s">
        <v>1775</v>
      </c>
      <c r="Z4" s="3718"/>
      <c r="AA4" s="3704" t="s">
        <v>1771</v>
      </c>
      <c r="AB4" s="3702" t="s">
        <v>1772</v>
      </c>
      <c r="AC4" s="3704" t="s">
        <v>1773</v>
      </c>
    </row>
    <row r="5" spans="1:29" ht="15">
      <c r="A5" s="357"/>
      <c r="B5" s="358"/>
      <c r="C5" s="3725" t="s">
        <v>1673</v>
      </c>
      <c r="D5" s="3726"/>
      <c r="E5" s="3733" t="s">
        <v>3475</v>
      </c>
      <c r="F5" s="3734"/>
      <c r="G5" s="3725" t="str">
        <f>中指大宗交易案例!A2</f>
        <v>光彩国际中心A座</v>
      </c>
      <c r="H5" s="3726"/>
      <c r="I5" s="3725" t="str">
        <f>中指大宗交易案例!A3</f>
        <v>富力万达嘉华酒店</v>
      </c>
      <c r="J5" s="3726"/>
      <c r="K5" s="558"/>
      <c r="L5" s="2712"/>
      <c r="M5" s="2713"/>
      <c r="N5" s="2713"/>
      <c r="O5" s="2713"/>
      <c r="P5" s="3713"/>
      <c r="Q5" s="3714"/>
      <c r="R5" s="3719"/>
      <c r="S5" s="3720"/>
      <c r="T5" s="3719"/>
      <c r="U5" s="3720"/>
      <c r="V5" s="3702"/>
      <c r="W5" s="3702"/>
      <c r="X5" s="1353"/>
      <c r="Y5" s="3719"/>
      <c r="Z5" s="3720"/>
      <c r="AA5" s="3705"/>
      <c r="AB5" s="3702"/>
      <c r="AC5" s="3705"/>
    </row>
    <row r="6" spans="1:29" ht="25.5" customHeight="1" thickBot="1">
      <c r="A6" s="359"/>
      <c r="B6" s="360"/>
      <c r="C6" s="3730" t="s">
        <v>1677</v>
      </c>
      <c r="D6" s="3724"/>
      <c r="E6" s="3731" t="s">
        <v>3876</v>
      </c>
      <c r="F6" s="3732"/>
      <c r="G6" s="3723" t="s">
        <v>3880</v>
      </c>
      <c r="H6" s="3724"/>
      <c r="I6" s="3723" t="s">
        <v>3883</v>
      </c>
      <c r="J6" s="3724"/>
      <c r="K6" s="558" t="s">
        <v>1678</v>
      </c>
      <c r="L6" s="2712"/>
      <c r="M6" s="2713"/>
      <c r="N6" s="2713"/>
      <c r="O6" s="2713"/>
      <c r="P6" s="3715"/>
      <c r="Q6" s="3716"/>
      <c r="R6" s="3719"/>
      <c r="S6" s="3720"/>
      <c r="T6" s="3721"/>
      <c r="U6" s="3722"/>
      <c r="V6" s="3702"/>
      <c r="W6" s="3702"/>
      <c r="X6" s="1353"/>
      <c r="Y6" s="3721"/>
      <c r="Z6" s="3722"/>
      <c r="AA6" s="3706"/>
      <c r="AB6" s="3702"/>
      <c r="AC6" s="3706"/>
    </row>
    <row r="7" spans="1:29" s="107" customFormat="1" ht="15.75" thickBot="1">
      <c r="A7" s="361" t="s">
        <v>1679</v>
      </c>
      <c r="B7" s="362"/>
      <c r="C7" s="363">
        <f>'数据-取费表'!B2</f>
        <v>45512</v>
      </c>
      <c r="D7" s="364">
        <v>100</v>
      </c>
      <c r="E7" s="365">
        <v>44713</v>
      </c>
      <c r="F7" s="366">
        <f>SUMIF(58:58,YEAR(E7)&amp;"-"&amp;MONTH(E7),59:59)</f>
        <v>100</v>
      </c>
      <c r="G7" s="365">
        <f>中指大宗交易案例!I2</f>
        <v>44834</v>
      </c>
      <c r="H7" s="364">
        <f>SUMIF(58:58,YEAR(G7)&amp;"-"&amp;MONTH(G7),59:59)</f>
        <v>100</v>
      </c>
      <c r="I7" s="365">
        <f>中指大宗交易案例!I3</f>
        <v>44834</v>
      </c>
      <c r="J7" s="364">
        <f>SUMIF(58:58,YEAR(I7)&amp;"-"&amp;MONTH(I7),59:59)</f>
        <v>100</v>
      </c>
      <c r="K7" s="559"/>
      <c r="L7" s="2714"/>
      <c r="M7" s="2715"/>
      <c r="N7" s="2715"/>
      <c r="O7" s="2715"/>
      <c r="P7" s="3727" t="s">
        <v>1680</v>
      </c>
      <c r="Q7" s="3729"/>
      <c r="R7" s="700" t="s">
        <v>14</v>
      </c>
      <c r="S7" s="701">
        <f t="shared" ref="S7:S15" si="0">F7</f>
        <v>100</v>
      </c>
      <c r="T7" s="700" t="s">
        <v>14</v>
      </c>
      <c r="U7" s="701">
        <f t="shared" ref="U7:U15" si="1">H7</f>
        <v>100</v>
      </c>
      <c r="V7" s="700" t="s">
        <v>14</v>
      </c>
      <c r="W7" s="701">
        <f t="shared" ref="W7:W15" si="2">J7</f>
        <v>100</v>
      </c>
      <c r="X7" s="702"/>
      <c r="Y7" s="3727" t="s">
        <v>1680</v>
      </c>
      <c r="Z7" s="3728"/>
      <c r="AA7" s="703">
        <f>D7/F7</f>
        <v>1</v>
      </c>
      <c r="AB7" s="703">
        <f>D7/H7</f>
        <v>1</v>
      </c>
      <c r="AC7" s="703">
        <f>D7/J7</f>
        <v>1</v>
      </c>
    </row>
    <row r="8" spans="1:29" s="107" customFormat="1" ht="15.75" thickBot="1">
      <c r="A8" s="361" t="s">
        <v>1681</v>
      </c>
      <c r="B8" s="362"/>
      <c r="C8" s="367" t="s">
        <v>3469</v>
      </c>
      <c r="D8" s="364">
        <v>100</v>
      </c>
      <c r="E8" s="367" t="s">
        <v>3469</v>
      </c>
      <c r="F8" s="366">
        <f>SUMIF(61:61,E8,62:62)-SUMIF(61:61,C8,62:62)+100</f>
        <v>100</v>
      </c>
      <c r="G8" s="367" t="s">
        <v>3469</v>
      </c>
      <c r="H8" s="364">
        <f>SUMIF(61:61,G8,62:62)-SUMIF(61:61,C8,62:62)+100</f>
        <v>100</v>
      </c>
      <c r="I8" s="367" t="s">
        <v>3469</v>
      </c>
      <c r="J8" s="364">
        <f>SUMIF(61:61,I8,62:62)-SUMIF(61:61,C8,62:62)+100</f>
        <v>100</v>
      </c>
      <c r="K8" s="559"/>
      <c r="L8" s="2714"/>
      <c r="M8" s="2715"/>
      <c r="N8" s="2715"/>
      <c r="O8" s="2715"/>
      <c r="P8" s="3727" t="s">
        <v>1683</v>
      </c>
      <c r="Q8" s="3728"/>
      <c r="R8" s="700" t="s">
        <v>14</v>
      </c>
      <c r="S8" s="701">
        <f t="shared" si="0"/>
        <v>100</v>
      </c>
      <c r="T8" s="700" t="s">
        <v>14</v>
      </c>
      <c r="U8" s="701">
        <f t="shared" si="1"/>
        <v>100</v>
      </c>
      <c r="V8" s="700" t="s">
        <v>14</v>
      </c>
      <c r="W8" s="701">
        <f t="shared" si="2"/>
        <v>100</v>
      </c>
      <c r="X8" s="702"/>
      <c r="Y8" s="3727" t="s">
        <v>1683</v>
      </c>
      <c r="Z8" s="3728"/>
      <c r="AA8" s="703">
        <f t="shared" ref="AA8:AA46" si="3">D8/F8</f>
        <v>1</v>
      </c>
      <c r="AB8" s="703">
        <f t="shared" ref="AB8:AB46" si="4">D8/H8</f>
        <v>1</v>
      </c>
      <c r="AC8" s="703">
        <f t="shared" ref="AC8:AC46" si="5">D8/J8</f>
        <v>1</v>
      </c>
    </row>
    <row r="9" spans="1:29" s="107" customFormat="1">
      <c r="A9" s="368" t="s">
        <v>1684</v>
      </c>
      <c r="B9" s="63" t="s">
        <v>1685</v>
      </c>
      <c r="C9" s="3479" t="s">
        <v>3467</v>
      </c>
      <c r="D9" s="125">
        <v>100</v>
      </c>
      <c r="E9" s="370" t="s">
        <v>673</v>
      </c>
      <c r="F9" s="371">
        <f>SUMIF(63:63,E9,64:64)-SUMIF(63:63,C9,64:64)+100</f>
        <v>100</v>
      </c>
      <c r="G9" s="3852" t="s">
        <v>673</v>
      </c>
      <c r="H9" s="125">
        <f>SUMIF(63:63,G9,64:64)-SUMIF(63:63,C9,64:64)+100</f>
        <v>100</v>
      </c>
      <c r="I9" s="370" t="s">
        <v>673</v>
      </c>
      <c r="J9" s="125">
        <f>SUMIF(63:63,I9,64:64)-SUMIF(63:63,C9,64:64)+100</f>
        <v>100</v>
      </c>
      <c r="K9" s="559"/>
      <c r="L9" s="2714"/>
      <c r="M9" s="2715"/>
      <c r="N9" s="2715"/>
      <c r="O9" s="2715"/>
      <c r="P9" s="3703"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703">
        <f t="shared" si="5"/>
        <v>1</v>
      </c>
    </row>
    <row r="10" spans="1:29" s="377" customFormat="1" ht="27">
      <c r="A10" s="373"/>
      <c r="B10" s="374" t="s">
        <v>1688</v>
      </c>
      <c r="C10" s="3431" t="s">
        <v>3471</v>
      </c>
      <c r="D10" s="126">
        <v>100</v>
      </c>
      <c r="E10" s="3431" t="s">
        <v>3471</v>
      </c>
      <c r="F10" s="375">
        <f>SUMIF(65:65,E10,66:66)-SUMIF(65:65,C10,66:66)+100</f>
        <v>100</v>
      </c>
      <c r="G10" s="3430" t="s">
        <v>3471</v>
      </c>
      <c r="H10" s="126">
        <f>SUMIF(65:65,G10,66:66)-SUMIF(65:65,C10,66:66)+100</f>
        <v>100</v>
      </c>
      <c r="I10" s="3430" t="s">
        <v>3471</v>
      </c>
      <c r="J10" s="126">
        <f>SUMIF(65:65,I10,66:66)-SUMIF(65:65,C10,66:66)+100</f>
        <v>100</v>
      </c>
      <c r="K10" s="559"/>
      <c r="L10" s="2716"/>
      <c r="M10" s="2717"/>
      <c r="N10" s="2717"/>
      <c r="O10" s="2717"/>
      <c r="P10" s="3703"/>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03"/>
      <c r="Q11" s="1341"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703">
        <f t="shared" si="5"/>
        <v>1</v>
      </c>
    </row>
    <row r="12" spans="1:29" s="107" customFormat="1" ht="15">
      <c r="A12" s="381"/>
      <c r="B12" s="1891">
        <v>111</v>
      </c>
      <c r="C12" s="382"/>
      <c r="D12" s="383">
        <v>100</v>
      </c>
      <c r="E12" s="384">
        <v>2008</v>
      </c>
      <c r="F12" s="375">
        <f>SUMIF(70:70,E12,71:71)-SUMIF(70:70,C12,71:71)+100</f>
        <v>100</v>
      </c>
      <c r="G12" s="384">
        <v>2005</v>
      </c>
      <c r="H12" s="126">
        <f>SUMIF(70:70,G12,71:71)-SUMIF(70:70,C12,71:71)+100</f>
        <v>100</v>
      </c>
      <c r="I12" s="384">
        <v>2009</v>
      </c>
      <c r="J12" s="126">
        <f>SUMIF(70:70,I12,71:71)-SUMIF(70:70,C12,71:71)+100</f>
        <v>100</v>
      </c>
      <c r="K12" s="561"/>
      <c r="L12" s="2714"/>
      <c r="M12" s="2715"/>
      <c r="N12" s="2715"/>
      <c r="O12" s="2715"/>
      <c r="P12" s="3703"/>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8"/>
      <c r="B13" s="1891">
        <v>111</v>
      </c>
      <c r="C13" s="384"/>
      <c r="D13" s="385">
        <v>100</v>
      </c>
      <c r="E13" s="384">
        <f>ROUND((1-0)-(2024-E12)/60,2)</f>
        <v>0.73</v>
      </c>
      <c r="F13" s="375">
        <f>SUMIF(72:72,E13,73:73)-SUMIF(72:72,C13,73:73)+100</f>
        <v>100</v>
      </c>
      <c r="G13" s="384">
        <f>ROUND((1-0)-(2024-G12)/60,2)</f>
        <v>0.68</v>
      </c>
      <c r="H13" s="385">
        <f>SUMIF(72:72,G13,73:73)-SUMIF(72:72,C13,73:73)+100</f>
        <v>100</v>
      </c>
      <c r="I13" s="384">
        <f>ROUND((1-0)-(2024-I12)/60,2)</f>
        <v>0.75</v>
      </c>
      <c r="J13" s="385">
        <f>SUMIF(72:72,I13,73:73)-SUMIF(72:72,C13,73:73)+100</f>
        <v>100</v>
      </c>
      <c r="K13" s="561"/>
      <c r="L13" s="2719"/>
      <c r="M13" s="2713"/>
      <c r="N13" s="2713"/>
      <c r="O13" s="2713"/>
      <c r="P13" s="3703"/>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3"/>
      <c r="Q14" s="1341">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71.25">
      <c r="A15" s="390" t="s">
        <v>1690</v>
      </c>
      <c r="B15" s="61" t="s">
        <v>1777</v>
      </c>
      <c r="C15" s="1894" t="str">
        <f>估价对象房地状况!C4</f>
        <v>估价对象位于XX商圈，周边商业氛围成熟，人流量大，商业繁华度好</v>
      </c>
      <c r="D15" s="391">
        <v>100</v>
      </c>
      <c r="E15" s="3499" t="s">
        <v>3877</v>
      </c>
      <c r="F15" s="393">
        <f>SUMIF(76:76,E16,77:77)-SUMIF(76:76,C16,77:77)+100</f>
        <v>95</v>
      </c>
      <c r="G15" s="3501" t="s">
        <v>3881</v>
      </c>
      <c r="H15" s="391">
        <f>SUMIF(76:76,G16,77:77)-SUMIF(76:76,C16,77:77)+100</f>
        <v>100</v>
      </c>
      <c r="I15" s="3499" t="s">
        <v>3885</v>
      </c>
      <c r="J15" s="391">
        <f>SUMIF(76:76,I16,77:77)-SUMIF(76:76,C16,77:77)+100</f>
        <v>95</v>
      </c>
      <c r="K15" s="562">
        <v>5</v>
      </c>
      <c r="L15" s="2719"/>
      <c r="M15" s="2713"/>
      <c r="N15" s="2713"/>
      <c r="O15" s="2713"/>
      <c r="P15" s="3693" t="s">
        <v>1691</v>
      </c>
      <c r="Q15" s="1350" t="str">
        <f t="shared" si="6"/>
        <v>商业繁华度</v>
      </c>
      <c r="R15" s="704" t="s">
        <v>14</v>
      </c>
      <c r="S15" s="705">
        <f t="shared" si="0"/>
        <v>95</v>
      </c>
      <c r="T15" s="704" t="s">
        <v>14</v>
      </c>
      <c r="U15" s="705">
        <f t="shared" si="1"/>
        <v>100</v>
      </c>
      <c r="V15" s="704" t="s">
        <v>14</v>
      </c>
      <c r="W15" s="705">
        <f t="shared" si="2"/>
        <v>95</v>
      </c>
      <c r="X15" s="1353"/>
      <c r="Y15" s="3695" t="s">
        <v>1691</v>
      </c>
      <c r="Z15" s="1354" t="str">
        <f t="shared" si="7"/>
        <v>商业繁华度</v>
      </c>
      <c r="AA15" s="1351">
        <f t="shared" si="3"/>
        <v>1.0526315789473684</v>
      </c>
      <c r="AB15" s="1351">
        <f t="shared" si="4"/>
        <v>1</v>
      </c>
      <c r="AC15" s="1351">
        <f t="shared" si="5"/>
        <v>1.0526315789473684</v>
      </c>
    </row>
    <row r="16" spans="1:29" ht="15">
      <c r="A16" s="378"/>
      <c r="B16" s="396"/>
      <c r="C16" s="397" t="s">
        <v>3407</v>
      </c>
      <c r="D16" s="398"/>
      <c r="E16" s="3847" t="s">
        <v>3472</v>
      </c>
      <c r="F16" s="399"/>
      <c r="G16" s="397" t="s">
        <v>3407</v>
      </c>
      <c r="H16" s="400"/>
      <c r="I16" s="397" t="s">
        <v>3472</v>
      </c>
      <c r="J16" s="398"/>
      <c r="K16" s="563"/>
      <c r="L16" s="2719"/>
      <c r="M16" s="2713"/>
      <c r="N16" s="2713"/>
      <c r="O16" s="2713"/>
      <c r="P16" s="3694"/>
      <c r="Q16" s="1350"/>
      <c r="R16" s="704"/>
      <c r="S16" s="705"/>
      <c r="T16" s="704"/>
      <c r="U16" s="705"/>
      <c r="V16" s="704"/>
      <c r="W16" s="705"/>
      <c r="X16" s="1353"/>
      <c r="Y16" s="369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3500" t="s">
        <v>3878</v>
      </c>
      <c r="F17" s="403">
        <f>SUMIF(78:78,E18,79:79)-SUMIF(78:78,C18,79:79)+100</f>
        <v>100</v>
      </c>
      <c r="G17" s="3500" t="s">
        <v>3882</v>
      </c>
      <c r="H17" s="405">
        <f>SUMIF(78:78,G18,79:79)-SUMIF(78:78,C18,79:79)+100</f>
        <v>100</v>
      </c>
      <c r="I17" s="3500" t="s">
        <v>3884</v>
      </c>
      <c r="J17" s="405">
        <f>SUMIF(78:78,I18,79:79)-SUMIF(78:78,C18,79:79)+100</f>
        <v>100</v>
      </c>
      <c r="K17" s="562">
        <v>3</v>
      </c>
      <c r="L17" s="2719"/>
      <c r="M17" s="2713"/>
      <c r="N17" s="2713"/>
      <c r="O17" s="2713"/>
      <c r="P17" s="3694"/>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8"/>
      <c r="B18" s="406"/>
      <c r="C18" s="1899" t="s">
        <v>3407</v>
      </c>
      <c r="D18" s="400"/>
      <c r="E18" s="1901" t="s">
        <v>3407</v>
      </c>
      <c r="F18" s="403"/>
      <c r="G18" s="1900" t="s">
        <v>3407</v>
      </c>
      <c r="H18" s="398"/>
      <c r="I18" s="1901" t="s">
        <v>3407</v>
      </c>
      <c r="J18" s="398"/>
      <c r="K18" s="563"/>
      <c r="L18" s="2719"/>
      <c r="M18" s="2713"/>
      <c r="N18" s="2713"/>
      <c r="O18" s="2713"/>
      <c r="P18" s="3694"/>
      <c r="Q18" s="1350"/>
      <c r="R18" s="704"/>
      <c r="S18" s="705"/>
      <c r="T18" s="704"/>
      <c r="U18" s="705"/>
      <c r="V18" s="704"/>
      <c r="W18" s="705"/>
      <c r="X18" s="1353"/>
      <c r="Y18" s="369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9"/>
      <c r="M19" s="2713"/>
      <c r="N19" s="2713"/>
      <c r="O19" s="2713"/>
      <c r="P19" s="3694"/>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351">
        <f t="shared" si="5"/>
        <v>1</v>
      </c>
    </row>
    <row r="20" spans="1:29" ht="15">
      <c r="A20" s="378"/>
      <c r="B20" s="406"/>
      <c r="C20" s="397" t="s">
        <v>3407</v>
      </c>
      <c r="D20" s="398"/>
      <c r="E20" s="1896" t="s">
        <v>3407</v>
      </c>
      <c r="F20" s="399"/>
      <c r="G20" s="1895" t="s">
        <v>3407</v>
      </c>
      <c r="H20" s="398"/>
      <c r="I20" s="1896" t="s">
        <v>3407</v>
      </c>
      <c r="J20" s="398"/>
      <c r="K20" s="563"/>
      <c r="L20" s="2719"/>
      <c r="M20" s="2713"/>
      <c r="N20" s="2713"/>
      <c r="O20" s="2713"/>
      <c r="P20" s="3694"/>
      <c r="Q20" s="1350"/>
      <c r="R20" s="704"/>
      <c r="S20" s="705"/>
      <c r="T20" s="704"/>
      <c r="U20" s="705"/>
      <c r="V20" s="704"/>
      <c r="W20" s="705"/>
      <c r="X20" s="1353"/>
      <c r="Y20" s="3696"/>
      <c r="Z20" s="1354"/>
      <c r="AA20" s="1351">
        <v>1</v>
      </c>
      <c r="AB20" s="1351">
        <v>1</v>
      </c>
      <c r="AC20" s="1351">
        <v>1</v>
      </c>
    </row>
    <row r="21" spans="1:29" ht="28.5">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1</v>
      </c>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8"/>
      <c r="B22" s="1130"/>
      <c r="C22" s="1899" t="s">
        <v>3473</v>
      </c>
      <c r="D22" s="398"/>
      <c r="E22" s="397" t="s">
        <v>3473</v>
      </c>
      <c r="F22" s="399"/>
      <c r="G22" s="397" t="s">
        <v>3473</v>
      </c>
      <c r="H22" s="398"/>
      <c r="I22" s="397" t="s">
        <v>3473</v>
      </c>
      <c r="J22" s="398"/>
      <c r="K22" s="1129"/>
      <c r="L22" s="2719"/>
      <c r="M22" s="2713"/>
      <c r="N22" s="2713"/>
      <c r="O22" s="2713"/>
      <c r="P22" s="3694"/>
      <c r="Q22" s="1350"/>
      <c r="R22" s="704"/>
      <c r="S22" s="705"/>
      <c r="T22" s="704"/>
      <c r="U22" s="705"/>
      <c r="V22" s="704"/>
      <c r="W22" s="705"/>
      <c r="X22" s="1353"/>
      <c r="Y22" s="3696"/>
      <c r="Z22" s="1354"/>
      <c r="AA22" s="1351">
        <v>1</v>
      </c>
      <c r="AB22" s="1351">
        <v>1</v>
      </c>
      <c r="AC22" s="1351">
        <v>1</v>
      </c>
    </row>
    <row r="23" spans="1:29" ht="57">
      <c r="A23" s="378"/>
      <c r="B23" s="401" t="s">
        <v>1261</v>
      </c>
      <c r="C23" s="1953" t="str">
        <f>估价对象房地状况!C9</f>
        <v>区域自然环境：；人文环境；综合评价环境状况一般</v>
      </c>
      <c r="D23" s="400">
        <v>100</v>
      </c>
      <c r="E23" s="3500" t="s">
        <v>3879</v>
      </c>
      <c r="F23" s="403">
        <f>SUMIF(84:84,E24,85:85)-SUMIF(84:84,C24,85:85)+100</f>
        <v>97</v>
      </c>
      <c r="G23" s="404"/>
      <c r="H23" s="400">
        <f>SUMIF(84:84,G24,85:85)-SUMIF(84:84,C24,85:85)+100</f>
        <v>97</v>
      </c>
      <c r="I23" s="402"/>
      <c r="J23" s="400">
        <f>SUMIF(84:84,I24,85:85)-SUMIF(84:84,C24,85:85)+100</f>
        <v>97</v>
      </c>
      <c r="K23" s="562">
        <v>3</v>
      </c>
      <c r="L23" s="2719"/>
      <c r="M23" s="2713"/>
      <c r="N23" s="2713"/>
      <c r="O23" s="2713"/>
      <c r="P23" s="3694"/>
      <c r="Q23" s="1350" t="str">
        <f>B23</f>
        <v>自然及人文环境</v>
      </c>
      <c r="R23" s="704" t="s">
        <v>14</v>
      </c>
      <c r="S23" s="705">
        <f>F23</f>
        <v>97</v>
      </c>
      <c r="T23" s="704" t="s">
        <v>14</v>
      </c>
      <c r="U23" s="705">
        <f>H23</f>
        <v>97</v>
      </c>
      <c r="V23" s="704" t="s">
        <v>14</v>
      </c>
      <c r="W23" s="705">
        <f>J23</f>
        <v>97</v>
      </c>
      <c r="X23" s="1353"/>
      <c r="Y23" s="3696"/>
      <c r="Z23" s="1354" t="str">
        <f>Q23</f>
        <v>自然及人文环境</v>
      </c>
      <c r="AA23" s="1351">
        <f t="shared" si="3"/>
        <v>1.0309278350515463</v>
      </c>
      <c r="AB23" s="1351">
        <f t="shared" si="4"/>
        <v>1.0309278350515463</v>
      </c>
      <c r="AC23" s="1351">
        <f t="shared" si="5"/>
        <v>1.0309278350515463</v>
      </c>
    </row>
    <row r="24" spans="1:29" ht="15">
      <c r="A24" s="378"/>
      <c r="B24" s="406"/>
      <c r="C24" s="3847" t="s">
        <v>3406</v>
      </c>
      <c r="D24" s="398"/>
      <c r="E24" s="1896" t="s">
        <v>3407</v>
      </c>
      <c r="F24" s="399"/>
      <c r="G24" s="1895" t="s">
        <v>3407</v>
      </c>
      <c r="H24" s="398"/>
      <c r="I24" s="3854" t="s">
        <v>3407</v>
      </c>
      <c r="J24" s="398"/>
      <c r="K24" s="563"/>
      <c r="L24" s="2719"/>
      <c r="M24" s="2713"/>
      <c r="N24" s="2713"/>
      <c r="O24" s="2713"/>
      <c r="P24" s="3694"/>
      <c r="Q24" s="1350"/>
      <c r="R24" s="704"/>
      <c r="S24" s="705"/>
      <c r="T24" s="704"/>
      <c r="U24" s="705"/>
      <c r="V24" s="704"/>
      <c r="W24" s="705"/>
      <c r="X24" s="1353"/>
      <c r="Y24" s="3696"/>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694"/>
      <c r="Q25" s="1350" t="str">
        <f t="shared" ref="Q25:Q46" si="11">B25</f>
        <v>临街状况</v>
      </c>
      <c r="R25" s="704" t="s">
        <v>14</v>
      </c>
      <c r="S25" s="705">
        <f>F25</f>
        <v>100</v>
      </c>
      <c r="T25" s="704" t="s">
        <v>14</v>
      </c>
      <c r="U25" s="705">
        <f>H25</f>
        <v>100</v>
      </c>
      <c r="V25" s="704" t="s">
        <v>14</v>
      </c>
      <c r="W25" s="705">
        <f>J25</f>
        <v>100</v>
      </c>
      <c r="X25" s="1353"/>
      <c r="Y25" s="3696"/>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694"/>
      <c r="Q26" s="1350" t="str">
        <f t="shared" si="11"/>
        <v>平面位置/可视性</v>
      </c>
      <c r="R26" s="704" t="s">
        <v>14</v>
      </c>
      <c r="S26" s="705">
        <f>F26</f>
        <v>100</v>
      </c>
      <c r="T26" s="704" t="s">
        <v>14</v>
      </c>
      <c r="U26" s="705">
        <f>H26</f>
        <v>100</v>
      </c>
      <c r="V26" s="704" t="s">
        <v>14</v>
      </c>
      <c r="W26" s="705">
        <f>J26</f>
        <v>100</v>
      </c>
      <c r="X26" s="1353"/>
      <c r="Y26" s="3696"/>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694"/>
      <c r="Q27" s="1341" t="str">
        <f t="shared" si="11"/>
        <v>人流量</v>
      </c>
      <c r="R27" s="700" t="s">
        <v>14</v>
      </c>
      <c r="S27" s="701">
        <f>F27</f>
        <v>100</v>
      </c>
      <c r="T27" s="700" t="s">
        <v>14</v>
      </c>
      <c r="U27" s="701">
        <f>H27</f>
        <v>100</v>
      </c>
      <c r="V27" s="700" t="s">
        <v>14</v>
      </c>
      <c r="W27" s="701">
        <f>J27</f>
        <v>100</v>
      </c>
      <c r="X27" s="702"/>
      <c r="Y27" s="3696"/>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69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6"/>
      <c r="Z28" s="1354" t="str">
        <f t="shared" ref="Z28:Z46" si="15">Q28</f>
        <v>楼层</v>
      </c>
      <c r="AA28" s="1351">
        <f t="shared" si="3"/>
        <v>1</v>
      </c>
      <c r="AB28" s="1351">
        <f t="shared" si="4"/>
        <v>1</v>
      </c>
      <c r="AC28" s="1351">
        <f t="shared" si="5"/>
        <v>1</v>
      </c>
    </row>
    <row r="29" spans="1:29" ht="15">
      <c r="A29" s="378"/>
      <c r="B29" s="3481" t="s">
        <v>3898</v>
      </c>
      <c r="C29" s="384"/>
      <c r="D29" s="385">
        <v>100</v>
      </c>
      <c r="E29" s="3480"/>
      <c r="F29" s="411">
        <f>SUMIF(94:94,E29,95:95)-SUMIF(94:94,C29,95:95)+100</f>
        <v>100</v>
      </c>
      <c r="G29" s="384"/>
      <c r="H29" s="385">
        <f>SUMIF(94:94,G29,95:95)-SUMIF(94:94,C29,95:95)+100</f>
        <v>100</v>
      </c>
      <c r="I29" s="384"/>
      <c r="J29" s="385">
        <f>SUMIF(94:94,I29,95:95)-SUMIF(94:94,C29,95:95)+100</f>
        <v>100</v>
      </c>
      <c r="K29" s="561"/>
      <c r="L29" s="2719"/>
      <c r="M29" s="2713"/>
      <c r="N29" s="2713"/>
      <c r="O29" s="2713"/>
      <c r="P29" s="3694"/>
      <c r="Q29" s="1350" t="str">
        <f t="shared" si="11"/>
        <v>消费人群</v>
      </c>
      <c r="R29" s="704" t="s">
        <v>14</v>
      </c>
      <c r="S29" s="705">
        <f t="shared" si="12"/>
        <v>100</v>
      </c>
      <c r="T29" s="704" t="s">
        <v>14</v>
      </c>
      <c r="U29" s="705">
        <f t="shared" si="13"/>
        <v>100</v>
      </c>
      <c r="V29" s="704" t="s">
        <v>14</v>
      </c>
      <c r="W29" s="705">
        <f t="shared" si="14"/>
        <v>100</v>
      </c>
      <c r="X29" s="1353"/>
      <c r="Y29" s="3696"/>
      <c r="Z29" s="1354" t="str">
        <f t="shared" si="15"/>
        <v>消费人群</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694"/>
      <c r="Q30" s="1350">
        <f t="shared" si="11"/>
        <v>111</v>
      </c>
      <c r="R30" s="704" t="s">
        <v>14</v>
      </c>
      <c r="S30" s="705">
        <f t="shared" si="12"/>
        <v>100</v>
      </c>
      <c r="T30" s="704" t="s">
        <v>14</v>
      </c>
      <c r="U30" s="705">
        <f t="shared" si="13"/>
        <v>100</v>
      </c>
      <c r="V30" s="704" t="s">
        <v>14</v>
      </c>
      <c r="W30" s="705">
        <f t="shared" si="14"/>
        <v>100</v>
      </c>
      <c r="X30" s="1353"/>
      <c r="Y30" s="3696"/>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694"/>
      <c r="Q31" s="1350">
        <f t="shared" si="11"/>
        <v>111</v>
      </c>
      <c r="R31" s="704" t="s">
        <v>14</v>
      </c>
      <c r="S31" s="705">
        <f t="shared" si="12"/>
        <v>100</v>
      </c>
      <c r="T31" s="704" t="s">
        <v>14</v>
      </c>
      <c r="U31" s="705">
        <f t="shared" si="13"/>
        <v>100</v>
      </c>
      <c r="V31" s="704" t="s">
        <v>14</v>
      </c>
      <c r="W31" s="705">
        <f t="shared" si="14"/>
        <v>100</v>
      </c>
      <c r="X31" s="1353"/>
      <c r="Y31" s="3696"/>
      <c r="Z31" s="1354">
        <f t="shared" si="15"/>
        <v>111</v>
      </c>
      <c r="AA31" s="1351">
        <f t="shared" si="3"/>
        <v>1</v>
      </c>
      <c r="AB31" s="1351">
        <f t="shared" si="4"/>
        <v>1</v>
      </c>
      <c r="AC31" s="1351">
        <f t="shared" si="5"/>
        <v>1</v>
      </c>
    </row>
    <row r="32" spans="1:29" ht="15">
      <c r="A32" s="390" t="s">
        <v>1694</v>
      </c>
      <c r="B32" s="63" t="s">
        <v>1784</v>
      </c>
      <c r="C32" s="3853"/>
      <c r="D32" s="417">
        <v>100</v>
      </c>
      <c r="E32" s="3853"/>
      <c r="F32" s="411">
        <f>SUMIF(100:100,E32,101:101)-SUMIF(100:100,C32,101:101)+100</f>
        <v>100</v>
      </c>
      <c r="G32" s="3853"/>
      <c r="H32" s="385">
        <f>SUMIF(100:100,G32,101:101)-SUMIF(100:100,C32,101:101)+100</f>
        <v>100</v>
      </c>
      <c r="I32" s="3853"/>
      <c r="J32" s="417">
        <f>SUMIF(100:100,I32,101:101)-SUMIF(100:100,C32,101:101)+100</f>
        <v>100</v>
      </c>
      <c r="K32" s="560"/>
      <c r="L32" s="2719"/>
      <c r="M32" s="2713"/>
      <c r="N32" s="2713"/>
      <c r="O32" s="2713"/>
      <c r="P32" s="3697" t="s">
        <v>1696</v>
      </c>
      <c r="Q32" s="1350" t="str">
        <f t="shared" si="11"/>
        <v>商业类型</v>
      </c>
      <c r="R32" s="704" t="s">
        <v>14</v>
      </c>
      <c r="S32" s="705">
        <f t="shared" si="12"/>
        <v>100</v>
      </c>
      <c r="T32" s="704" t="s">
        <v>14</v>
      </c>
      <c r="U32" s="705">
        <f t="shared" si="13"/>
        <v>100</v>
      </c>
      <c r="V32" s="704" t="s">
        <v>14</v>
      </c>
      <c r="W32" s="705">
        <f t="shared" si="14"/>
        <v>100</v>
      </c>
      <c r="X32" s="1353"/>
      <c r="Y32" s="3700"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18"/>
      <c r="M33" s="2720"/>
      <c r="N33" s="2720"/>
      <c r="O33" s="2720"/>
      <c r="P33" s="3698"/>
      <c r="Q33" s="706" t="str">
        <f t="shared" si="11"/>
        <v>项目建筑规模</v>
      </c>
      <c r="R33" s="707" t="s">
        <v>14</v>
      </c>
      <c r="S33" s="708">
        <f t="shared" si="12"/>
        <v>100</v>
      </c>
      <c r="T33" s="707" t="s">
        <v>14</v>
      </c>
      <c r="U33" s="708">
        <f t="shared" si="13"/>
        <v>100</v>
      </c>
      <c r="V33" s="707" t="s">
        <v>14</v>
      </c>
      <c r="W33" s="708">
        <f t="shared" si="14"/>
        <v>100</v>
      </c>
      <c r="X33" s="709"/>
      <c r="Y33" s="3700"/>
      <c r="Z33" s="710" t="str">
        <f t="shared" si="15"/>
        <v>项目建筑规模</v>
      </c>
      <c r="AA33" s="1351">
        <f t="shared" si="3"/>
        <v>1</v>
      </c>
      <c r="AB33" s="1351">
        <f t="shared" si="4"/>
        <v>1</v>
      </c>
      <c r="AC33" s="1351">
        <f t="shared" si="5"/>
        <v>1</v>
      </c>
    </row>
    <row r="34" spans="1:29" ht="15">
      <c r="A34" s="422"/>
      <c r="B34" s="374" t="s">
        <v>1698</v>
      </c>
      <c r="C34" s="1910" t="s">
        <v>3508</v>
      </c>
      <c r="D34" s="385">
        <v>100</v>
      </c>
      <c r="E34" s="1910" t="s">
        <v>3484</v>
      </c>
      <c r="F34" s="411">
        <f>SUMIF(105:105,E34,106:106)-SUMIF(105:105,C34,106:106)+100</f>
        <v>102</v>
      </c>
      <c r="G34" s="1910" t="s">
        <v>3484</v>
      </c>
      <c r="H34" s="385">
        <f>SUMIF(105:105,G34,106:106)-SUMIF(105:105,C34,106:106)+100</f>
        <v>102</v>
      </c>
      <c r="I34" s="1910" t="s">
        <v>3484</v>
      </c>
      <c r="J34" s="385">
        <f>SUMIF(105:105,I34,106:106)-SUMIF(105:105,C34,106:106)+100</f>
        <v>102</v>
      </c>
      <c r="K34" s="560">
        <v>2</v>
      </c>
      <c r="L34" s="2719"/>
      <c r="M34" s="2713"/>
      <c r="N34" s="2713"/>
      <c r="O34" s="2713"/>
      <c r="P34" s="3698"/>
      <c r="Q34" s="1350" t="str">
        <f t="shared" si="11"/>
        <v>建筑结构</v>
      </c>
      <c r="R34" s="704" t="s">
        <v>14</v>
      </c>
      <c r="S34" s="705">
        <f t="shared" si="12"/>
        <v>102</v>
      </c>
      <c r="T34" s="704" t="s">
        <v>14</v>
      </c>
      <c r="U34" s="705">
        <f t="shared" si="13"/>
        <v>102</v>
      </c>
      <c r="V34" s="704" t="s">
        <v>14</v>
      </c>
      <c r="W34" s="705">
        <f t="shared" si="14"/>
        <v>102</v>
      </c>
      <c r="X34" s="1353"/>
      <c r="Y34" s="3700"/>
      <c r="Z34" s="1354" t="str">
        <f t="shared" si="15"/>
        <v>建筑结构</v>
      </c>
      <c r="AA34" s="1351">
        <f t="shared" si="3"/>
        <v>0.98039215686274506</v>
      </c>
      <c r="AB34" s="1351">
        <f t="shared" si="4"/>
        <v>0.98039215686274506</v>
      </c>
      <c r="AC34" s="1351">
        <f t="shared" si="5"/>
        <v>0.98039215686274506</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v>2</v>
      </c>
      <c r="L35" s="2719"/>
      <c r="M35" s="2713"/>
      <c r="N35" s="2713"/>
      <c r="O35" s="2713"/>
      <c r="P35" s="3698"/>
      <c r="Q35" s="1350" t="str">
        <f t="shared" si="11"/>
        <v>公共部分装修</v>
      </c>
      <c r="R35" s="704" t="s">
        <v>14</v>
      </c>
      <c r="S35" s="705">
        <f t="shared" si="12"/>
        <v>100</v>
      </c>
      <c r="T35" s="704" t="s">
        <v>14</v>
      </c>
      <c r="U35" s="705">
        <f t="shared" si="13"/>
        <v>100</v>
      </c>
      <c r="V35" s="704" t="s">
        <v>14</v>
      </c>
      <c r="W35" s="705">
        <f t="shared" si="14"/>
        <v>100</v>
      </c>
      <c r="X35" s="1353"/>
      <c r="Y35" s="3700"/>
      <c r="Z35" s="1354" t="str">
        <f t="shared" si="15"/>
        <v>公共部分装修</v>
      </c>
      <c r="AA35" s="1351">
        <f t="shared" si="3"/>
        <v>1</v>
      </c>
      <c r="AB35" s="1351">
        <f t="shared" si="4"/>
        <v>1</v>
      </c>
      <c r="AC35" s="1351">
        <f t="shared" si="5"/>
        <v>1</v>
      </c>
    </row>
    <row r="36" spans="1:29" ht="15">
      <c r="A36" s="422"/>
      <c r="B36" s="374" t="s">
        <v>1786</v>
      </c>
      <c r="C36" s="3851">
        <f>'数据-取费表'!N6</f>
        <v>0.9</v>
      </c>
      <c r="D36" s="385">
        <v>100</v>
      </c>
      <c r="E36" s="3851">
        <f>E13</f>
        <v>0.73</v>
      </c>
      <c r="F36" s="411">
        <f>LOOKUP(E36,110:110,111:111)-LOOKUP(C36,110:110,111:111)+100</f>
        <v>98</v>
      </c>
      <c r="G36" s="3851">
        <f>G13</f>
        <v>0.68</v>
      </c>
      <c r="H36" s="411">
        <f>LOOKUP(G36,110:110,111:111)-LOOKUP(C36,110:110,111:111)+100</f>
        <v>97</v>
      </c>
      <c r="I36" s="3851">
        <f>I13</f>
        <v>0.75</v>
      </c>
      <c r="J36" s="385">
        <f>LOOKUP(I36,110:110,111:111)-LOOKUP(C36,110:110,111:111)+100</f>
        <v>98</v>
      </c>
      <c r="K36" s="560">
        <v>1</v>
      </c>
      <c r="L36" s="2719"/>
      <c r="M36" s="2713"/>
      <c r="N36" s="2713"/>
      <c r="O36" s="2713"/>
      <c r="P36" s="3698"/>
      <c r="Q36" s="1350" t="str">
        <f t="shared" si="11"/>
        <v>成新度</v>
      </c>
      <c r="R36" s="704" t="s">
        <v>14</v>
      </c>
      <c r="S36" s="705">
        <f t="shared" si="12"/>
        <v>98</v>
      </c>
      <c r="T36" s="704" t="s">
        <v>14</v>
      </c>
      <c r="U36" s="705">
        <f t="shared" si="13"/>
        <v>97</v>
      </c>
      <c r="V36" s="704" t="s">
        <v>14</v>
      </c>
      <c r="W36" s="705">
        <f t="shared" si="14"/>
        <v>98</v>
      </c>
      <c r="X36" s="1353"/>
      <c r="Y36" s="3700"/>
      <c r="Z36" s="1354" t="str">
        <f t="shared" si="15"/>
        <v>成新度</v>
      </c>
      <c r="AA36" s="1351">
        <f t="shared" si="3"/>
        <v>1.0204081632653061</v>
      </c>
      <c r="AB36" s="1351">
        <f t="shared" si="4"/>
        <v>1.0309278350515463</v>
      </c>
      <c r="AC36" s="1351">
        <f t="shared" si="5"/>
        <v>1.0204081632653061</v>
      </c>
    </row>
    <row r="37" spans="1:29" s="107" customFormat="1" ht="15">
      <c r="A37" s="423"/>
      <c r="B37" s="374" t="s">
        <v>1787</v>
      </c>
      <c r="C37" s="1904" t="s">
        <v>3505</v>
      </c>
      <c r="D37" s="126">
        <v>100</v>
      </c>
      <c r="E37" s="1904" t="s">
        <v>3505</v>
      </c>
      <c r="F37" s="411">
        <f>SUMIF(112:112,E37,113:113)-SUMIF(112:112,C37,113:113)+100</f>
        <v>100</v>
      </c>
      <c r="G37" s="1904" t="s">
        <v>3505</v>
      </c>
      <c r="H37" s="385">
        <f>SUMIF(112:112,G37,113:113)-SUMIF(112:112,C37,113:113)+100</f>
        <v>100</v>
      </c>
      <c r="I37" s="1904" t="s">
        <v>3505</v>
      </c>
      <c r="J37" s="385">
        <f>SUMIF(112:112,I37,113:113)-SUMIF(112:112,C37,113:113)+100</f>
        <v>100</v>
      </c>
      <c r="K37" s="560">
        <v>1</v>
      </c>
      <c r="L37" s="2714"/>
      <c r="M37" s="2715"/>
      <c r="N37" s="2715"/>
      <c r="O37" s="2715"/>
      <c r="P37" s="3698"/>
      <c r="Q37" s="1341"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v>3</v>
      </c>
      <c r="L38" s="2719"/>
      <c r="M38" s="2713"/>
      <c r="N38" s="2713"/>
      <c r="O38" s="2713"/>
      <c r="P38" s="3698" t="s">
        <v>1696</v>
      </c>
      <c r="Q38" s="1350" t="str">
        <f t="shared" si="11"/>
        <v>业态</v>
      </c>
      <c r="R38" s="704" t="s">
        <v>14</v>
      </c>
      <c r="S38" s="705">
        <f t="shared" si="12"/>
        <v>100</v>
      </c>
      <c r="T38" s="704" t="s">
        <v>14</v>
      </c>
      <c r="U38" s="705">
        <f t="shared" si="13"/>
        <v>100</v>
      </c>
      <c r="V38" s="704" t="s">
        <v>14</v>
      </c>
      <c r="W38" s="705">
        <f t="shared" si="14"/>
        <v>100</v>
      </c>
      <c r="X38" s="1353"/>
      <c r="Y38" s="3700"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698"/>
      <c r="Q39" s="1350" t="str">
        <f t="shared" si="11"/>
        <v>层高</v>
      </c>
      <c r="R39" s="704" t="s">
        <v>14</v>
      </c>
      <c r="S39" s="705">
        <f t="shared" si="12"/>
        <v>100</v>
      </c>
      <c r="T39" s="704" t="s">
        <v>14</v>
      </c>
      <c r="U39" s="705">
        <f t="shared" si="13"/>
        <v>100</v>
      </c>
      <c r="V39" s="704" t="s">
        <v>14</v>
      </c>
      <c r="W39" s="705">
        <f t="shared" si="14"/>
        <v>100</v>
      </c>
      <c r="X39" s="1353"/>
      <c r="Y39" s="3700"/>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698"/>
      <c r="Q40" s="1350" t="str">
        <f t="shared" si="11"/>
        <v>单套建筑面积</v>
      </c>
      <c r="R40" s="704" t="s">
        <v>14</v>
      </c>
      <c r="S40" s="705">
        <f t="shared" si="12"/>
        <v>100</v>
      </c>
      <c r="T40" s="704" t="s">
        <v>14</v>
      </c>
      <c r="U40" s="705">
        <f t="shared" si="13"/>
        <v>100</v>
      </c>
      <c r="V40" s="704" t="s">
        <v>14</v>
      </c>
      <c r="W40" s="705">
        <f t="shared" si="14"/>
        <v>100</v>
      </c>
      <c r="X40" s="1353"/>
      <c r="Y40" s="3700"/>
      <c r="Z40" s="1354" t="str">
        <f t="shared" si="15"/>
        <v>单套建筑面积</v>
      </c>
      <c r="AA40" s="1351">
        <f t="shared" si="3"/>
        <v>1</v>
      </c>
      <c r="AB40" s="1351">
        <f t="shared" si="4"/>
        <v>1</v>
      </c>
      <c r="AC40" s="1351">
        <f t="shared" si="5"/>
        <v>1</v>
      </c>
    </row>
    <row r="41" spans="1:29" s="421" customFormat="1" ht="15">
      <c r="A41" s="418"/>
      <c r="B41" s="1352" t="s">
        <v>1791</v>
      </c>
      <c r="C41" s="564" t="s">
        <v>3492</v>
      </c>
      <c r="D41" s="385">
        <v>100</v>
      </c>
      <c r="E41" s="564" t="s">
        <v>3492</v>
      </c>
      <c r="F41" s="411">
        <f>SUMIF(120:120,E41,121:121)-SUMIF(120:120,C41,121:121)+100</f>
        <v>100</v>
      </c>
      <c r="G41" s="564" t="s">
        <v>3492</v>
      </c>
      <c r="H41" s="385">
        <f>SUMIF(120:120,G41,121:121)-SUMIF(120:120,C41,121:121)+100</f>
        <v>100</v>
      </c>
      <c r="I41" s="564" t="s">
        <v>3492</v>
      </c>
      <c r="J41" s="385">
        <f>SUMIF(120:120,I41,121:121)-SUMIF(120:120,C41,121:121)+100</f>
        <v>100</v>
      </c>
      <c r="K41" s="560">
        <v>2</v>
      </c>
      <c r="L41" s="2718"/>
      <c r="M41" s="2720"/>
      <c r="N41" s="2720"/>
      <c r="O41" s="2720"/>
      <c r="P41" s="3698"/>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1">
        <f t="shared" si="3"/>
        <v>1</v>
      </c>
      <c r="AB41" s="1351">
        <f t="shared" si="4"/>
        <v>1</v>
      </c>
      <c r="AC41" s="1351">
        <f t="shared" si="5"/>
        <v>1</v>
      </c>
    </row>
    <row r="42" spans="1:29" ht="15">
      <c r="A42" s="422"/>
      <c r="B42" s="374" t="s">
        <v>1792</v>
      </c>
      <c r="C42" s="3849" t="s">
        <v>3486</v>
      </c>
      <c r="D42" s="385">
        <v>100</v>
      </c>
      <c r="E42" s="3850" t="s">
        <v>3486</v>
      </c>
      <c r="F42" s="411">
        <f>SUMIF(122:122,E42,123:123)-SUMIF(122:122,C42,123:123)+100</f>
        <v>100</v>
      </c>
      <c r="G42" s="3850" t="s">
        <v>3486</v>
      </c>
      <c r="H42" s="385">
        <f>SUMIF(122:122,G42,123:123)-SUMIF(122:122,C42,123:123)+100</f>
        <v>100</v>
      </c>
      <c r="I42" s="3850" t="s">
        <v>3486</v>
      </c>
      <c r="J42" s="385">
        <f>SUMIF(122:122,I42,123:123)-SUMIF(122:122,C42,123:123)+100</f>
        <v>100</v>
      </c>
      <c r="K42" s="560">
        <v>2</v>
      </c>
      <c r="L42" s="2719"/>
      <c r="M42" s="2713"/>
      <c r="N42" s="2713"/>
      <c r="O42" s="2713"/>
      <c r="P42" s="3698"/>
      <c r="Q42" s="1350" t="str">
        <f t="shared" si="11"/>
        <v>内部装修</v>
      </c>
      <c r="R42" s="704" t="s">
        <v>14</v>
      </c>
      <c r="S42" s="705">
        <f t="shared" si="12"/>
        <v>100</v>
      </c>
      <c r="T42" s="704" t="s">
        <v>14</v>
      </c>
      <c r="U42" s="705">
        <f t="shared" si="13"/>
        <v>100</v>
      </c>
      <c r="V42" s="704" t="s">
        <v>14</v>
      </c>
      <c r="W42" s="705">
        <f t="shared" si="14"/>
        <v>100</v>
      </c>
      <c r="X42" s="1353"/>
      <c r="Y42" s="3700"/>
      <c r="Z42" s="1354" t="str">
        <f t="shared" si="15"/>
        <v>内部装修</v>
      </c>
      <c r="AA42" s="1351">
        <f t="shared" si="3"/>
        <v>1</v>
      </c>
      <c r="AB42" s="1351">
        <f t="shared" si="4"/>
        <v>1</v>
      </c>
      <c r="AC42" s="1351">
        <f t="shared" si="5"/>
        <v>1</v>
      </c>
    </row>
    <row r="43" spans="1:29" ht="15">
      <c r="A43" s="422"/>
      <c r="B43" s="374" t="s">
        <v>1707</v>
      </c>
      <c r="C43" s="3848"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2</v>
      </c>
      <c r="L43" s="2719"/>
      <c r="M43" s="2713"/>
      <c r="N43" s="2713"/>
      <c r="O43" s="2713"/>
      <c r="P43" s="3698"/>
      <c r="Q43" s="1350" t="str">
        <f t="shared" si="11"/>
        <v>内部装修维护情况</v>
      </c>
      <c r="R43" s="704" t="s">
        <v>14</v>
      </c>
      <c r="S43" s="705">
        <f t="shared" si="12"/>
        <v>100</v>
      </c>
      <c r="T43" s="704" t="s">
        <v>14</v>
      </c>
      <c r="U43" s="705">
        <f t="shared" si="13"/>
        <v>100</v>
      </c>
      <c r="V43" s="704" t="s">
        <v>14</v>
      </c>
      <c r="W43" s="705">
        <f t="shared" si="14"/>
        <v>100</v>
      </c>
      <c r="X43" s="1353"/>
      <c r="Y43" s="3700"/>
      <c r="Z43" s="1354" t="str">
        <f t="shared" si="15"/>
        <v>内部装修维护情况</v>
      </c>
      <c r="AA43" s="1351">
        <f t="shared" si="3"/>
        <v>1</v>
      </c>
      <c r="AB43" s="1351">
        <f t="shared" si="4"/>
        <v>1</v>
      </c>
      <c r="AC43" s="1351">
        <f t="shared" si="5"/>
        <v>1</v>
      </c>
    </row>
    <row r="44" spans="1:29" s="107" customFormat="1" ht="15">
      <c r="A44" s="423"/>
      <c r="B44" s="3481" t="s">
        <v>3501</v>
      </c>
      <c r="C44" s="384" t="s">
        <v>3502</v>
      </c>
      <c r="D44" s="126">
        <v>100</v>
      </c>
      <c r="E44" s="384" t="s">
        <v>3502</v>
      </c>
      <c r="F44" s="375">
        <f>SUMIF(126:126,E44,127:127)-SUMIF(126:126,C44,127:127)+100</f>
        <v>100</v>
      </c>
      <c r="G44" s="384" t="s">
        <v>3502</v>
      </c>
      <c r="H44" s="126">
        <f>SUMIF(126:126,G44,127:127)-SUMIF(126:126,C44,127:127)+100</f>
        <v>100</v>
      </c>
      <c r="I44" s="3497" t="s">
        <v>3502</v>
      </c>
      <c r="J44" s="126">
        <f>SUMIF(126:126,I44,127:127)-SUMIF(126:126,C44,127:127)+100</f>
        <v>100</v>
      </c>
      <c r="K44" s="561"/>
      <c r="L44" s="2714"/>
      <c r="M44" s="2715"/>
      <c r="N44" s="2715"/>
      <c r="O44" s="2715"/>
      <c r="P44" s="3698"/>
      <c r="Q44" s="1341" t="str">
        <f t="shared" si="11"/>
        <v>地下占比</v>
      </c>
      <c r="R44" s="700" t="s">
        <v>14</v>
      </c>
      <c r="S44" s="701">
        <f t="shared" si="12"/>
        <v>100</v>
      </c>
      <c r="T44" s="700" t="s">
        <v>14</v>
      </c>
      <c r="U44" s="701">
        <f t="shared" si="13"/>
        <v>100</v>
      </c>
      <c r="V44" s="700" t="s">
        <v>14</v>
      </c>
      <c r="W44" s="701">
        <f t="shared" si="14"/>
        <v>100</v>
      </c>
      <c r="X44" s="702"/>
      <c r="Y44" s="3700"/>
      <c r="Z44" s="52" t="str">
        <f t="shared" si="15"/>
        <v>地下占比</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698"/>
      <c r="Q45" s="1350">
        <f t="shared" si="11"/>
        <v>111</v>
      </c>
      <c r="R45" s="704" t="s">
        <v>14</v>
      </c>
      <c r="S45" s="705">
        <f t="shared" si="12"/>
        <v>100</v>
      </c>
      <c r="T45" s="704" t="s">
        <v>14</v>
      </c>
      <c r="U45" s="705">
        <f t="shared" si="13"/>
        <v>100</v>
      </c>
      <c r="V45" s="704" t="s">
        <v>14</v>
      </c>
      <c r="W45" s="705">
        <f t="shared" si="14"/>
        <v>100</v>
      </c>
      <c r="X45" s="1353"/>
      <c r="Y45" s="3700"/>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699"/>
      <c r="Q46" s="1350">
        <f t="shared" si="11"/>
        <v>111</v>
      </c>
      <c r="R46" s="704" t="s">
        <v>14</v>
      </c>
      <c r="S46" s="705">
        <f t="shared" si="12"/>
        <v>100</v>
      </c>
      <c r="T46" s="704" t="s">
        <v>14</v>
      </c>
      <c r="U46" s="705">
        <f t="shared" si="13"/>
        <v>100</v>
      </c>
      <c r="V46" s="704" t="s">
        <v>14</v>
      </c>
      <c r="W46" s="705">
        <f t="shared" si="14"/>
        <v>100</v>
      </c>
      <c r="X46" s="1353"/>
      <c r="Y46" s="3701"/>
      <c r="Z46" s="1354">
        <f t="shared" si="15"/>
        <v>111</v>
      </c>
      <c r="AA46" s="1351">
        <f t="shared" si="3"/>
        <v>1</v>
      </c>
      <c r="AB46" s="1351">
        <f t="shared" si="4"/>
        <v>1</v>
      </c>
      <c r="AC46" s="1351">
        <f t="shared" si="5"/>
        <v>1</v>
      </c>
    </row>
    <row r="47" spans="1:29" ht="15">
      <c r="A47" s="429" t="s">
        <v>1708</v>
      </c>
      <c r="B47" s="430"/>
      <c r="C47" s="1152" t="s">
        <v>0</v>
      </c>
      <c r="D47" s="1153"/>
      <c r="E47" s="1154">
        <v>41350</v>
      </c>
      <c r="F47" s="1155"/>
      <c r="G47" s="1156">
        <f>中指大宗交易案例!M2</f>
        <v>48568</v>
      </c>
      <c r="H47" s="1157"/>
      <c r="I47" s="1154">
        <f>中指大宗交易案例!M3</f>
        <v>47701</v>
      </c>
      <c r="J47" s="1157"/>
      <c r="K47" s="713"/>
      <c r="L47" s="2721"/>
      <c r="M47" s="2722"/>
      <c r="N47" s="2713"/>
      <c r="O47" s="2722"/>
      <c r="P47" s="3688" t="str">
        <f>A47</f>
        <v>成交单价（元/平方米）</v>
      </c>
      <c r="Q47" s="3688"/>
      <c r="R47" s="3702">
        <f>E47</f>
        <v>41350</v>
      </c>
      <c r="S47" s="3702"/>
      <c r="T47" s="3702">
        <f>G47</f>
        <v>48568</v>
      </c>
      <c r="U47" s="3702"/>
      <c r="V47" s="3702">
        <f>I47</f>
        <v>47701</v>
      </c>
      <c r="W47" s="3702"/>
      <c r="X47" s="689"/>
      <c r="Y47" s="711"/>
      <c r="Z47" s="689"/>
      <c r="AA47" s="689"/>
      <c r="AB47" s="689"/>
      <c r="AC47" s="689"/>
    </row>
    <row r="48" spans="1:29" ht="15.75" thickBot="1">
      <c r="A48" s="436" t="s">
        <v>1793</v>
      </c>
      <c r="B48" s="437"/>
      <c r="C48" s="1158">
        <f>R49</f>
        <v>49094</v>
      </c>
      <c r="D48" s="2315" t="s">
        <v>2138</v>
      </c>
      <c r="E48" s="1159">
        <f>R48</f>
        <v>44890</v>
      </c>
      <c r="F48" s="2316"/>
      <c r="G48" s="1158">
        <f>T48</f>
        <v>50607</v>
      </c>
      <c r="H48" s="2316"/>
      <c r="I48" s="1159">
        <f>V48</f>
        <v>51785</v>
      </c>
      <c r="J48" s="2316"/>
      <c r="K48" s="2318">
        <f>F48+H48+J48</f>
        <v>0</v>
      </c>
      <c r="L48" s="2721"/>
      <c r="M48" s="2722"/>
      <c r="N48" s="2713"/>
      <c r="O48" s="2722"/>
      <c r="P48" s="3688" t="str">
        <f>A48</f>
        <v>比较价值（元/平方米）</v>
      </c>
      <c r="Q48" s="3688"/>
      <c r="R48" s="3689">
        <f>IF(F1="售价",ROUND(PRODUCT(R47,AA7:AA46),0),ROUND(PRODUCT(R47,AA7:AA46),1))</f>
        <v>44890</v>
      </c>
      <c r="S48" s="3689"/>
      <c r="T48" s="3689">
        <f>IF(F1="售价",ROUND(PRODUCT(T47,AB7:AB46),0),ROUND(PRODUCT(T47,AB7:AB46),1))</f>
        <v>50607</v>
      </c>
      <c r="U48" s="3689"/>
      <c r="V48" s="3689">
        <f>IF(F1="售价",ROUND(PRODUCT(V47,AC7:AC46),0),ROUND(PRODUCT(V47,AC7:AC46),1))</f>
        <v>51785</v>
      </c>
      <c r="W48" s="3689"/>
      <c r="X48" s="689"/>
      <c r="Y48" s="689"/>
      <c r="Z48" s="689"/>
      <c r="AA48" s="689"/>
      <c r="AB48" s="689"/>
      <c r="AC48" s="689"/>
    </row>
    <row r="49" spans="1:29" ht="15.75" thickBot="1">
      <c r="A49" s="440" t="s">
        <v>1794</v>
      </c>
      <c r="B49" s="441"/>
      <c r="C49" s="1161">
        <f>R49</f>
        <v>49094</v>
      </c>
      <c r="D49" s="1161"/>
      <c r="E49" s="1161"/>
      <c r="F49" s="1161"/>
      <c r="G49" s="1161"/>
      <c r="H49" s="1161"/>
      <c r="I49" s="1161"/>
      <c r="J49" s="1161"/>
      <c r="K49" s="714"/>
      <c r="L49" s="2721"/>
      <c r="M49" s="2722"/>
      <c r="N49" s="2713"/>
      <c r="O49" s="2722"/>
      <c r="P49" s="3690" t="str">
        <f>A49</f>
        <v>估价对象XX用房的比较价值（楼面单价，元/平方米）</v>
      </c>
      <c r="Q49" s="3691"/>
      <c r="R49" s="3692">
        <f>IF(F1="售价",ROUND(IF(D48="简单平均",AVERAGE(R48:V48),R48*F48+T48*H48+V48*J48),0),ROUND(IF(D48="简单平均",AVERAGE(R48:V48),R48*F48+T48*H48+V48*J48),1))</f>
        <v>49094</v>
      </c>
      <c r="S49" s="3692"/>
      <c r="T49" s="3692"/>
      <c r="U49" s="3692"/>
      <c r="V49" s="3692"/>
      <c r="W49" s="369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8.5610640870616761E-2</v>
      </c>
      <c r="F52" s="448" t="str">
        <f>IF(OR(E52&gt;=0.3,E52&lt;=-0.3),"超过30%","")</f>
        <v/>
      </c>
      <c r="G52" s="447">
        <f>IF(G47&lt;G48,G48/G47-1,G47/G48-1)</f>
        <v>4.1982375226486512E-2</v>
      </c>
      <c r="H52" s="448" t="str">
        <f>IF(OR(G52&gt;=0.3,G52&lt;=-0.3),"超过30%","")</f>
        <v/>
      </c>
      <c r="I52" s="447">
        <f>IF(I47&lt;I48,I48/I47-1,I47/I48-1)</f>
        <v>8.561665373891536E-2</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0.1273557585208287</v>
      </c>
      <c r="F53" s="448" t="str">
        <f>IF(OR(E53&gt;=0.2,E53&lt;=-0.2),"超过20%","")</f>
        <v/>
      </c>
      <c r="G53" s="447">
        <f>IF(G48&lt;I48,I48/G48-1,G48/I48-1)</f>
        <v>2.3277412215701343E-2</v>
      </c>
      <c r="H53" s="448" t="str">
        <f>IF(OR(G53&gt;=0.2,G53&lt;=-0.2),"超过20%","")</f>
        <v/>
      </c>
      <c r="I53" s="447">
        <f>IF(I48&lt;E48,E48/I48-1,I48/E48-1)</f>
        <v>0.1535976832256627</v>
      </c>
      <c r="J53" s="448"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0.174558645707376</v>
      </c>
      <c r="F54" s="448" t="str">
        <f>IF(OR(E54&gt;=0.3,E54&lt;=-0.3),"超过30%","")</f>
        <v/>
      </c>
      <c r="G54" s="447">
        <f>IF(G47&lt;I47,I47/G47-1,G47/I47-1)</f>
        <v>1.8175719586591477E-2</v>
      </c>
      <c r="H54" s="448" t="str">
        <f>IF(OR(G54&gt;=0.3,G54&lt;=-0.3),"超过30%","")</f>
        <v/>
      </c>
      <c r="I54" s="447">
        <f>IF(I47&lt;E47,E47/I47-1,I47/E47-1)</f>
        <v>0.15359129383313186</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3498">
        <f t="shared" ref="P58:AC58" si="17">EDATE(O58,-1)</f>
        <v>45108</v>
      </c>
      <c r="Q58" s="3498">
        <f t="shared" si="17"/>
        <v>45078</v>
      </c>
      <c r="R58" s="3498">
        <f t="shared" si="17"/>
        <v>45047</v>
      </c>
      <c r="S58" s="3498">
        <f t="shared" si="17"/>
        <v>45017</v>
      </c>
      <c r="T58" s="3498">
        <f t="shared" si="17"/>
        <v>44986</v>
      </c>
      <c r="U58" s="3498">
        <f t="shared" si="17"/>
        <v>44958</v>
      </c>
      <c r="V58" s="3498">
        <f t="shared" si="17"/>
        <v>44927</v>
      </c>
      <c r="W58" s="3498">
        <f t="shared" si="17"/>
        <v>44896</v>
      </c>
      <c r="X58" s="3498">
        <f t="shared" si="17"/>
        <v>44866</v>
      </c>
      <c r="Y58" s="3498">
        <f t="shared" si="17"/>
        <v>44835</v>
      </c>
      <c r="Z58" s="3498">
        <f t="shared" si="17"/>
        <v>44805</v>
      </c>
      <c r="AA58" s="3498">
        <f t="shared" si="17"/>
        <v>44774</v>
      </c>
      <c r="AB58" s="3498">
        <f t="shared" si="17"/>
        <v>44743</v>
      </c>
      <c r="AC58" s="3498">
        <f t="shared" si="17"/>
        <v>44713</v>
      </c>
    </row>
    <row r="59" spans="1:29" s="107" customFormat="1" ht="15">
      <c r="A59" s="457"/>
      <c r="B59" s="458"/>
      <c r="C59" s="1181">
        <v>100</v>
      </c>
      <c r="D59" s="460">
        <v>100</v>
      </c>
      <c r="E59" s="460">
        <v>100</v>
      </c>
      <c r="F59" s="460">
        <v>100</v>
      </c>
      <c r="G59" s="460">
        <v>100</v>
      </c>
      <c r="H59" s="460">
        <v>100</v>
      </c>
      <c r="I59" s="460">
        <v>100</v>
      </c>
      <c r="J59" s="460">
        <v>100</v>
      </c>
      <c r="K59" s="460">
        <v>100</v>
      </c>
      <c r="L59" s="460">
        <v>100</v>
      </c>
      <c r="M59" s="460">
        <v>100</v>
      </c>
      <c r="N59" s="460">
        <v>100</v>
      </c>
      <c r="O59" s="460">
        <v>100</v>
      </c>
      <c r="P59" s="460">
        <v>100</v>
      </c>
      <c r="Q59" s="460">
        <v>100</v>
      </c>
      <c r="R59" s="460">
        <v>100</v>
      </c>
      <c r="S59" s="460">
        <v>100</v>
      </c>
      <c r="T59" s="460">
        <v>100</v>
      </c>
      <c r="U59" s="460">
        <v>100</v>
      </c>
      <c r="V59" s="460">
        <v>100</v>
      </c>
      <c r="W59" s="460">
        <v>100</v>
      </c>
      <c r="X59" s="460">
        <v>100</v>
      </c>
      <c r="Y59" s="460">
        <v>100</v>
      </c>
      <c r="Z59" s="460">
        <v>100</v>
      </c>
      <c r="AA59" s="460">
        <v>100</v>
      </c>
      <c r="AB59" s="460">
        <v>100</v>
      </c>
      <c r="AC59" s="460">
        <v>100</v>
      </c>
    </row>
    <row r="60" spans="1:29" s="107" customFormat="1" ht="15.75" thickBot="1">
      <c r="A60" s="463" t="s">
        <v>1716</v>
      </c>
      <c r="B60" s="464"/>
      <c r="C60" s="465"/>
      <c r="D60" s="466"/>
      <c r="E60" s="466"/>
      <c r="F60" s="466"/>
      <c r="G60" s="466"/>
      <c r="H60" s="466"/>
      <c r="I60" s="466"/>
      <c r="J60" s="466"/>
      <c r="K60" s="466"/>
      <c r="L60" s="466"/>
      <c r="M60" s="467"/>
      <c r="N60" s="466"/>
      <c r="O60" s="467"/>
      <c r="P60" s="2738"/>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8"/>
      <c r="O61" s="2748"/>
      <c r="P61" s="2739"/>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8"/>
      <c r="O62" s="2748"/>
      <c r="P62" s="2738"/>
      <c r="Q62" s="2736"/>
      <c r="R62" s="2658"/>
      <c r="S62" s="2658"/>
      <c r="T62" s="2658"/>
      <c r="U62" s="2658"/>
      <c r="V62" s="2658"/>
      <c r="W62" s="2658"/>
      <c r="X62" s="2658"/>
      <c r="Y62" s="2658"/>
      <c r="Z62" s="2658"/>
      <c r="AA62" s="2658"/>
      <c r="AB62" s="2658"/>
      <c r="AC62" s="2658"/>
    </row>
    <row r="63" spans="1:29">
      <c r="A63" s="475" t="s">
        <v>1719</v>
      </c>
      <c r="B63" s="476" t="s">
        <v>1685</v>
      </c>
      <c r="C63" s="477" t="str">
        <f>C9</f>
        <v>商业</v>
      </c>
      <c r="D63" s="478"/>
      <c r="E63" s="478"/>
      <c r="F63" s="478"/>
      <c r="G63" s="478"/>
      <c r="H63" s="478"/>
      <c r="I63" s="478"/>
      <c r="J63" s="478"/>
      <c r="K63" s="479"/>
      <c r="L63" s="480"/>
      <c r="M63" s="481"/>
      <c r="N63" s="2749"/>
      <c r="O63" s="2749"/>
      <c r="P63" s="2740"/>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0"/>
      <c r="O64" s="2750"/>
      <c r="P64" s="2740"/>
      <c r="Q64" s="2736"/>
      <c r="R64" s="2722"/>
      <c r="S64" s="2722"/>
      <c r="T64" s="2722"/>
      <c r="U64" s="2722"/>
      <c r="V64" s="2722"/>
      <c r="W64" s="2722"/>
      <c r="X64" s="2722"/>
      <c r="Y64" s="2722"/>
      <c r="Z64" s="2722"/>
      <c r="AA64" s="2722"/>
      <c r="AB64" s="2722"/>
      <c r="AC64" s="2722"/>
    </row>
    <row r="65" spans="1:29" ht="27.75" thickTop="1">
      <c r="A65" s="482"/>
      <c r="B65" s="486" t="s">
        <v>1688</v>
      </c>
      <c r="C65" s="531" t="s">
        <v>3476</v>
      </c>
      <c r="D65" s="531" t="s">
        <v>3477</v>
      </c>
      <c r="E65" s="531" t="s">
        <v>3470</v>
      </c>
      <c r="F65" s="3482" t="s">
        <v>3478</v>
      </c>
      <c r="G65" s="531" t="s">
        <v>3479</v>
      </c>
      <c r="H65" s="531"/>
      <c r="I65" s="531"/>
      <c r="J65" s="531"/>
      <c r="K65" s="532"/>
      <c r="L65" s="533"/>
      <c r="M65" s="534"/>
      <c r="N65" s="2749"/>
      <c r="O65" s="2749"/>
      <c r="P65" s="2740"/>
      <c r="Q65" s="2736"/>
      <c r="R65" s="2722"/>
      <c r="S65" s="2722"/>
      <c r="T65" s="2722"/>
      <c r="U65" s="2722"/>
      <c r="V65" s="2722"/>
      <c r="W65" s="2722"/>
      <c r="X65" s="2722"/>
      <c r="Y65" s="2722"/>
      <c r="Z65" s="2722"/>
      <c r="AA65" s="2722"/>
      <c r="AB65" s="2722"/>
      <c r="AC65" s="2722"/>
    </row>
    <row r="66" spans="1:29" ht="15.75" thickBot="1">
      <c r="A66" s="482"/>
      <c r="B66" s="491"/>
      <c r="C66" s="484">
        <v>100</v>
      </c>
      <c r="D66" s="484">
        <f>C66-1</f>
        <v>99</v>
      </c>
      <c r="E66" s="484">
        <f t="shared" ref="E66:G66" si="18">D66-1</f>
        <v>98</v>
      </c>
      <c r="F66" s="484">
        <f t="shared" si="18"/>
        <v>97</v>
      </c>
      <c r="G66" s="484">
        <f t="shared" si="18"/>
        <v>96</v>
      </c>
      <c r="H66" s="484"/>
      <c r="I66" s="484"/>
      <c r="J66" s="484"/>
      <c r="K66" s="484"/>
      <c r="L66" s="484"/>
      <c r="M66" s="485"/>
      <c r="N66" s="2750"/>
      <c r="O66" s="2750"/>
      <c r="P66" s="2740"/>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0（含）-1</v>
      </c>
      <c r="D67" s="495" t="str">
        <f t="shared" ref="D67:L67" si="19">D68&amp;"（含）"&amp;"-"&amp;E68</f>
        <v>1（含）-2</v>
      </c>
      <c r="E67" s="495" t="str">
        <f t="shared" si="19"/>
        <v>2（含）-3</v>
      </c>
      <c r="F67" s="495" t="str">
        <f t="shared" si="19"/>
        <v>3（含）-4</v>
      </c>
      <c r="G67" s="495" t="str">
        <f t="shared" si="19"/>
        <v>4（含）-5</v>
      </c>
      <c r="H67" s="495" t="str">
        <f t="shared" si="19"/>
        <v>5（含）-</v>
      </c>
      <c r="I67" s="495" t="str">
        <f t="shared" si="19"/>
        <v>（含）-</v>
      </c>
      <c r="J67" s="495" t="str">
        <f t="shared" si="19"/>
        <v>（含）-</v>
      </c>
      <c r="K67" s="495" t="str">
        <f t="shared" si="19"/>
        <v>（含）-</v>
      </c>
      <c r="L67" s="495" t="str">
        <f t="shared" si="19"/>
        <v>（含）-</v>
      </c>
      <c r="M67" s="398"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2"/>
      <c r="B68" s="496"/>
      <c r="C68" s="497">
        <v>0</v>
      </c>
      <c r="D68" s="497">
        <v>1</v>
      </c>
      <c r="E68" s="497">
        <v>2</v>
      </c>
      <c r="F68" s="497">
        <v>3</v>
      </c>
      <c r="G68" s="497">
        <v>4</v>
      </c>
      <c r="H68" s="497">
        <v>5</v>
      </c>
      <c r="I68" s="497"/>
      <c r="J68" s="497"/>
      <c r="K68" s="498"/>
      <c r="L68" s="499"/>
      <c r="M68" s="500"/>
      <c r="N68" s="2749"/>
      <c r="O68" s="2749"/>
      <c r="P68" s="2740"/>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20">C69-$K11</f>
        <v>100</v>
      </c>
      <c r="E69" s="492">
        <f t="shared" si="20"/>
        <v>100</v>
      </c>
      <c r="F69" s="492">
        <f t="shared" si="20"/>
        <v>100</v>
      </c>
      <c r="G69" s="492">
        <f t="shared" si="20"/>
        <v>100</v>
      </c>
      <c r="H69" s="492">
        <f t="shared" si="20"/>
        <v>100</v>
      </c>
      <c r="I69" s="492">
        <f t="shared" si="20"/>
        <v>100</v>
      </c>
      <c r="J69" s="492">
        <f t="shared" si="20"/>
        <v>100</v>
      </c>
      <c r="K69" s="492">
        <f t="shared" si="20"/>
        <v>100</v>
      </c>
      <c r="L69" s="492">
        <f t="shared" si="20"/>
        <v>100</v>
      </c>
      <c r="M69" s="493">
        <f t="shared" si="20"/>
        <v>100</v>
      </c>
      <c r="N69" s="2750"/>
      <c r="O69" s="2750"/>
      <c r="P69" s="2740"/>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6"/>
      <c r="R76" s="2722"/>
      <c r="S76" s="2722"/>
      <c r="T76" s="2722"/>
      <c r="U76" s="2722"/>
      <c r="V76" s="2722"/>
      <c r="W76" s="2722"/>
      <c r="X76" s="2722"/>
      <c r="Y76" s="2722"/>
      <c r="Z76" s="2722"/>
      <c r="AA76" s="2722"/>
      <c r="AB76" s="2722"/>
      <c r="AC76" s="2722"/>
    </row>
    <row r="77" spans="1:29" ht="15.75" thickBot="1">
      <c r="A77" s="482"/>
      <c r="B77" s="491"/>
      <c r="C77" s="492">
        <v>100</v>
      </c>
      <c r="D77" s="492">
        <f>C77-$K15</f>
        <v>95</v>
      </c>
      <c r="E77" s="492">
        <f>D77-$K15</f>
        <v>90</v>
      </c>
      <c r="F77" s="492">
        <f>E77-$K15</f>
        <v>85</v>
      </c>
      <c r="G77" s="492">
        <f>F77-$K15</f>
        <v>80</v>
      </c>
      <c r="H77" s="492"/>
      <c r="I77" s="492"/>
      <c r="J77" s="492"/>
      <c r="K77" s="492"/>
      <c r="L77" s="492"/>
      <c r="M77" s="493"/>
      <c r="N77" s="2750"/>
      <c r="O77" s="2750"/>
      <c r="P77" s="2740"/>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6"/>
      <c r="R78" s="2722"/>
      <c r="S78" s="2722"/>
      <c r="T78" s="2722"/>
      <c r="U78" s="2722"/>
      <c r="V78" s="2722"/>
      <c r="W78" s="2722"/>
      <c r="X78" s="2722"/>
      <c r="Y78" s="2722"/>
      <c r="Z78" s="2722"/>
      <c r="AA78" s="2722"/>
      <c r="AB78" s="2722"/>
      <c r="AC78" s="2722"/>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6"/>
      <c r="R80" s="2722"/>
      <c r="S80" s="2722"/>
      <c r="T80" s="2722"/>
      <c r="U80" s="2722"/>
      <c r="V80" s="2722"/>
      <c r="W80" s="2722"/>
      <c r="X80" s="2722"/>
      <c r="Y80" s="2722"/>
      <c r="Z80" s="2722"/>
      <c r="AA80" s="2722"/>
      <c r="AB80" s="2722"/>
      <c r="AC80" s="2722"/>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0"/>
      <c r="O82" s="2750"/>
      <c r="P82" s="2740"/>
      <c r="Q82" s="2736"/>
      <c r="R82" s="2722"/>
      <c r="S82" s="2722"/>
      <c r="T82" s="2722"/>
      <c r="U82" s="2722"/>
      <c r="V82" s="2722"/>
      <c r="W82" s="2722"/>
      <c r="X82" s="2722"/>
      <c r="Y82" s="2722"/>
      <c r="Z82" s="2722"/>
      <c r="AA82" s="2722"/>
      <c r="AB82" s="2722"/>
      <c r="AC82" s="2722"/>
    </row>
    <row r="83" spans="1:29" ht="15.75" thickBot="1">
      <c r="A83" s="482"/>
      <c r="B83" s="494"/>
      <c r="C83" s="492">
        <v>100</v>
      </c>
      <c r="D83" s="492">
        <f>C83-$K21</f>
        <v>99</v>
      </c>
      <c r="E83" s="492">
        <f t="shared" ref="E83:G83" si="21">D83-$K21</f>
        <v>98</v>
      </c>
      <c r="F83" s="492">
        <f t="shared" si="21"/>
        <v>97</v>
      </c>
      <c r="G83" s="492">
        <f t="shared" si="21"/>
        <v>96</v>
      </c>
      <c r="H83" s="607"/>
      <c r="I83" s="607"/>
      <c r="J83" s="607"/>
      <c r="K83" s="607"/>
      <c r="L83" s="607"/>
      <c r="M83" s="400"/>
      <c r="N83" s="2750"/>
      <c r="O83" s="2750"/>
      <c r="P83" s="2740"/>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6"/>
      <c r="R84" s="2722"/>
      <c r="S84" s="2722"/>
      <c r="T84" s="2722"/>
      <c r="U84" s="2722"/>
      <c r="V84" s="2722"/>
      <c r="W84" s="2722"/>
      <c r="X84" s="2722"/>
      <c r="Y84" s="2722"/>
      <c r="Z84" s="2722"/>
      <c r="AA84" s="2722"/>
      <c r="AB84" s="2722"/>
      <c r="AC84" s="2722"/>
    </row>
    <row r="85" spans="1:29" ht="15.75" thickBot="1">
      <c r="A85" s="482"/>
      <c r="B85" s="491"/>
      <c r="C85" s="492">
        <v>100</v>
      </c>
      <c r="D85" s="492">
        <f>C85-$K23</f>
        <v>97</v>
      </c>
      <c r="E85" s="492">
        <f>D85-$K23</f>
        <v>94</v>
      </c>
      <c r="F85" s="492">
        <f>E85-$K23</f>
        <v>91</v>
      </c>
      <c r="G85" s="492">
        <f>F85-$K23</f>
        <v>88</v>
      </c>
      <c r="H85" s="492"/>
      <c r="I85" s="492"/>
      <c r="J85" s="492"/>
      <c r="K85" s="492"/>
      <c r="L85" s="492"/>
      <c r="M85" s="493"/>
      <c r="N85" s="2750"/>
      <c r="O85" s="2750"/>
      <c r="P85" s="2740"/>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8"/>
      <c r="O86" s="2748"/>
      <c r="P86" s="2740"/>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2">C87-$K25</f>
        <v>100</v>
      </c>
      <c r="E87" s="492">
        <f t="shared" si="22"/>
        <v>100</v>
      </c>
      <c r="F87" s="492">
        <f t="shared" si="22"/>
        <v>100</v>
      </c>
      <c r="G87" s="492">
        <f t="shared" si="22"/>
        <v>100</v>
      </c>
      <c r="H87" s="492">
        <f t="shared" si="22"/>
        <v>100</v>
      </c>
      <c r="I87" s="492">
        <f t="shared" si="22"/>
        <v>100</v>
      </c>
      <c r="J87" s="492">
        <f t="shared" si="22"/>
        <v>100</v>
      </c>
      <c r="K87" s="492">
        <f t="shared" si="22"/>
        <v>100</v>
      </c>
      <c r="L87" s="492">
        <f t="shared" si="22"/>
        <v>100</v>
      </c>
      <c r="M87" s="492">
        <f t="shared" si="22"/>
        <v>100</v>
      </c>
      <c r="N87" s="2750"/>
      <c r="O87" s="2750"/>
      <c r="P87" s="2740"/>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5"/>
      <c r="G88" s="502"/>
      <c r="H88" s="502"/>
      <c r="I88" s="502"/>
      <c r="J88" s="502"/>
      <c r="K88" s="502"/>
      <c r="L88" s="502"/>
      <c r="M88" s="529"/>
      <c r="N88" s="2748"/>
      <c r="O88" s="2748"/>
      <c r="P88" s="2740"/>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0"/>
      <c r="O89" s="2750"/>
      <c r="P89" s="2740"/>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3">D91-$K27</f>
        <v>100</v>
      </c>
      <c r="F91" s="492">
        <f t="shared" si="23"/>
        <v>100</v>
      </c>
      <c r="G91" s="492">
        <f t="shared" si="23"/>
        <v>100</v>
      </c>
      <c r="H91" s="492">
        <f t="shared" si="23"/>
        <v>100</v>
      </c>
      <c r="I91" s="492">
        <f t="shared" si="23"/>
        <v>100</v>
      </c>
      <c r="J91" s="492">
        <f t="shared" si="23"/>
        <v>100</v>
      </c>
      <c r="K91" s="492">
        <f t="shared" si="23"/>
        <v>100</v>
      </c>
      <c r="L91" s="492">
        <f t="shared" si="23"/>
        <v>100</v>
      </c>
      <c r="M91" s="492">
        <f t="shared" si="23"/>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0"/>
      <c r="O93" s="2750"/>
      <c r="P93" s="2740"/>
      <c r="Q93" s="2736"/>
      <c r="R93" s="2722"/>
      <c r="S93" s="2722"/>
      <c r="T93" s="2722"/>
      <c r="U93" s="2722"/>
      <c r="V93" s="2722"/>
      <c r="W93" s="2722"/>
      <c r="X93" s="2722"/>
      <c r="Y93" s="2722"/>
      <c r="Z93" s="2722"/>
      <c r="AA93" s="2722"/>
      <c r="AB93" s="2722"/>
      <c r="AC93" s="2722"/>
    </row>
    <row r="94" spans="1:29" ht="27.75" thickTop="1">
      <c r="A94" s="482"/>
      <c r="B94" s="486" t="str">
        <f>B29</f>
        <v>消费人群</v>
      </c>
      <c r="C94" s="3483" t="s">
        <v>3480</v>
      </c>
      <c r="D94" s="3483" t="s">
        <v>3481</v>
      </c>
      <c r="E94" s="3483" t="s">
        <v>3482</v>
      </c>
      <c r="F94" s="3483" t="s">
        <v>3483</v>
      </c>
      <c r="G94" s="531"/>
      <c r="H94" s="531"/>
      <c r="I94" s="531"/>
      <c r="J94" s="531"/>
      <c r="K94" s="532"/>
      <c r="L94" s="533"/>
      <c r="M94" s="534"/>
      <c r="N94" s="2749"/>
      <c r="O94" s="2749"/>
      <c r="P94" s="2740"/>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0"/>
      <c r="O95" s="2750"/>
      <c r="P95" s="2740"/>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49"/>
      <c r="O96" s="2749"/>
      <c r="P96" s="2740"/>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0"/>
      <c r="O97" s="2750"/>
      <c r="P97" s="2740"/>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49"/>
      <c r="O98" s="2749"/>
      <c r="P98" s="2740"/>
      <c r="Q98" s="2736"/>
      <c r="R98" s="2722"/>
      <c r="S98" s="2722"/>
      <c r="T98" s="2722"/>
      <c r="U98" s="2722"/>
      <c r="V98" s="2722"/>
      <c r="W98" s="2722"/>
      <c r="X98" s="2722"/>
      <c r="Y98" s="2722"/>
      <c r="Z98" s="2722"/>
      <c r="AA98" s="2722"/>
      <c r="AB98" s="2722"/>
      <c r="AC98" s="2722"/>
    </row>
    <row r="99" spans="1:29" ht="15.75" thickBot="1">
      <c r="A99" s="1926"/>
      <c r="B99" s="517"/>
      <c r="C99" s="518"/>
      <c r="D99" s="518"/>
      <c r="E99" s="518"/>
      <c r="F99" s="518"/>
      <c r="G99" s="539"/>
      <c r="H99" s="539"/>
      <c r="I99" s="539"/>
      <c r="J99" s="539"/>
      <c r="K99" s="539"/>
      <c r="L99" s="539"/>
      <c r="M99" s="540"/>
      <c r="N99" s="2750"/>
      <c r="O99" s="2750"/>
      <c r="P99" s="2740"/>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49"/>
      <c r="O100" s="2749"/>
      <c r="P100" s="2740"/>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4">C101-$K32</f>
        <v>100</v>
      </c>
      <c r="E101" s="492">
        <f t="shared" si="24"/>
        <v>100</v>
      </c>
      <c r="F101" s="492">
        <f t="shared" si="24"/>
        <v>100</v>
      </c>
      <c r="G101" s="492">
        <f t="shared" si="24"/>
        <v>100</v>
      </c>
      <c r="H101" s="492">
        <f t="shared" si="24"/>
        <v>100</v>
      </c>
      <c r="I101" s="492">
        <f t="shared" si="24"/>
        <v>100</v>
      </c>
      <c r="J101" s="492">
        <f t="shared" si="24"/>
        <v>100</v>
      </c>
      <c r="K101" s="492">
        <f t="shared" si="24"/>
        <v>100</v>
      </c>
      <c r="L101" s="492">
        <f t="shared" si="24"/>
        <v>100</v>
      </c>
      <c r="M101" s="493">
        <f t="shared" si="24"/>
        <v>100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2"/>
      <c r="B102" s="486" t="s">
        <v>1737</v>
      </c>
      <c r="C102" s="526" t="str">
        <f>C103&amp;"(含)"&amp;"-"&amp;D103</f>
        <v>0(含)-5000</v>
      </c>
      <c r="D102" s="526" t="str">
        <f t="shared" ref="D102:L102" si="25">D103&amp;"(含)"&amp;"-"&amp;E103</f>
        <v>5000(含)-10000</v>
      </c>
      <c r="E102" s="526" t="str">
        <f t="shared" si="25"/>
        <v>10000(含)-20000</v>
      </c>
      <c r="F102" s="526" t="str">
        <f t="shared" si="25"/>
        <v>20000(含)-40000</v>
      </c>
      <c r="G102" s="526" t="str">
        <f t="shared" si="25"/>
        <v>40000(含)-60000</v>
      </c>
      <c r="H102" s="526" t="str">
        <f t="shared" si="25"/>
        <v>60000(含)-</v>
      </c>
      <c r="I102" s="526" t="str">
        <f t="shared" si="25"/>
        <v>(含)-</v>
      </c>
      <c r="J102" s="526" t="str">
        <f t="shared" si="25"/>
        <v>(含)-</v>
      </c>
      <c r="K102" s="526" t="str">
        <f t="shared" si="25"/>
        <v>(含)-</v>
      </c>
      <c r="L102" s="526" t="str">
        <f t="shared" si="25"/>
        <v>(含)-</v>
      </c>
      <c r="M102" s="569"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5000</v>
      </c>
      <c r="E103" s="543">
        <v>10000</v>
      </c>
      <c r="F103" s="543">
        <v>20000</v>
      </c>
      <c r="G103" s="543">
        <v>40000</v>
      </c>
      <c r="H103" s="543">
        <v>60000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C104-2</f>
        <v>98</v>
      </c>
      <c r="E104" s="484">
        <f>D104-2</f>
        <v>96</v>
      </c>
      <c r="F104" s="484">
        <f>E104-2</f>
        <v>94</v>
      </c>
      <c r="G104" s="484">
        <f>F104-2</f>
        <v>92</v>
      </c>
      <c r="H104" s="484">
        <f>G104-2</f>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83" t="s">
        <v>3484</v>
      </c>
      <c r="D105" s="3483" t="s">
        <v>3509</v>
      </c>
      <c r="E105" s="531"/>
      <c r="F105" s="531"/>
      <c r="G105" s="531"/>
      <c r="H105" s="531"/>
      <c r="I105" s="531"/>
      <c r="J105" s="531"/>
      <c r="K105" s="532"/>
      <c r="L105" s="533"/>
      <c r="M105" s="534"/>
      <c r="N105" s="2749"/>
      <c r="O105" s="2749"/>
      <c r="P105" s="2740"/>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6">C106-$K34</f>
        <v>98</v>
      </c>
      <c r="E106" s="492">
        <f t="shared" si="26"/>
        <v>96</v>
      </c>
      <c r="F106" s="492">
        <f t="shared" si="26"/>
        <v>94</v>
      </c>
      <c r="G106" s="492">
        <f t="shared" si="26"/>
        <v>92</v>
      </c>
      <c r="H106" s="492">
        <f t="shared" si="26"/>
        <v>90</v>
      </c>
      <c r="I106" s="492">
        <f t="shared" si="26"/>
        <v>88</v>
      </c>
      <c r="J106" s="492">
        <f t="shared" si="26"/>
        <v>86</v>
      </c>
      <c r="K106" s="492">
        <f t="shared" si="26"/>
        <v>84</v>
      </c>
      <c r="L106" s="492">
        <f t="shared" si="26"/>
        <v>82</v>
      </c>
      <c r="M106" s="493">
        <f t="shared" si="26"/>
        <v>80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7"/>
      <c r="B107" s="486" t="s">
        <v>1740</v>
      </c>
      <c r="C107" s="3483" t="s">
        <v>3485</v>
      </c>
      <c r="D107" s="3483" t="s">
        <v>3486</v>
      </c>
      <c r="E107" s="3483" t="s">
        <v>3487</v>
      </c>
      <c r="F107" s="3484" t="s">
        <v>3488</v>
      </c>
      <c r="G107" s="531"/>
      <c r="H107" s="531"/>
      <c r="I107" s="531"/>
      <c r="J107" s="531"/>
      <c r="K107" s="532"/>
      <c r="L107" s="533"/>
      <c r="M107" s="534"/>
      <c r="N107" s="2749"/>
      <c r="O107" s="2749"/>
      <c r="P107" s="2740"/>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7">C108-$K35</f>
        <v>98</v>
      </c>
      <c r="E108" s="492">
        <f t="shared" si="27"/>
        <v>96</v>
      </c>
      <c r="F108" s="492">
        <f t="shared" si="27"/>
        <v>94</v>
      </c>
      <c r="G108" s="492">
        <f t="shared" si="27"/>
        <v>92</v>
      </c>
      <c r="H108" s="492">
        <f t="shared" si="27"/>
        <v>90</v>
      </c>
      <c r="I108" s="492">
        <f t="shared" si="27"/>
        <v>88</v>
      </c>
      <c r="J108" s="492">
        <f t="shared" si="27"/>
        <v>86</v>
      </c>
      <c r="K108" s="492">
        <f t="shared" si="27"/>
        <v>84</v>
      </c>
      <c r="L108" s="492">
        <f t="shared" si="27"/>
        <v>82</v>
      </c>
      <c r="M108" s="493">
        <f t="shared" si="27"/>
        <v>80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101</v>
      </c>
      <c r="E111" s="492">
        <f t="shared" ref="E111:M111" si="28">D111+$K36</f>
        <v>102</v>
      </c>
      <c r="F111" s="492">
        <f t="shared" si="28"/>
        <v>103</v>
      </c>
      <c r="G111" s="492">
        <f t="shared" si="28"/>
        <v>104</v>
      </c>
      <c r="H111" s="492">
        <f t="shared" si="28"/>
        <v>105</v>
      </c>
      <c r="I111" s="492">
        <f t="shared" si="28"/>
        <v>106</v>
      </c>
      <c r="J111" s="492">
        <f t="shared" si="28"/>
        <v>107</v>
      </c>
      <c r="K111" s="492">
        <f t="shared" si="28"/>
        <v>108</v>
      </c>
      <c r="L111" s="492">
        <f t="shared" si="28"/>
        <v>109</v>
      </c>
      <c r="M111" s="492">
        <f t="shared" si="28"/>
        <v>110</v>
      </c>
      <c r="N111" s="2750"/>
      <c r="O111" s="2750"/>
      <c r="P111" s="2740"/>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t="str">
        <f>C82</f>
        <v>七通</v>
      </c>
      <c r="D112" s="502" t="str">
        <f>D82</f>
        <v>六通</v>
      </c>
      <c r="E112" s="502" t="str">
        <f>E82</f>
        <v>五通</v>
      </c>
      <c r="F112" s="502" t="str">
        <f>F82</f>
        <v>四通</v>
      </c>
      <c r="G112" s="502" t="str">
        <f>G82</f>
        <v>三通</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99</v>
      </c>
      <c r="E113" s="492">
        <f t="shared" ref="E113:M113" si="29">D113-$K37</f>
        <v>98</v>
      </c>
      <c r="F113" s="492">
        <f t="shared" si="29"/>
        <v>97</v>
      </c>
      <c r="G113" s="492">
        <f t="shared" si="29"/>
        <v>96</v>
      </c>
      <c r="H113" s="492">
        <f t="shared" si="29"/>
        <v>95</v>
      </c>
      <c r="I113" s="492">
        <f t="shared" si="29"/>
        <v>94</v>
      </c>
      <c r="J113" s="492">
        <f t="shared" si="29"/>
        <v>93</v>
      </c>
      <c r="K113" s="492">
        <f t="shared" si="29"/>
        <v>92</v>
      </c>
      <c r="L113" s="492">
        <f t="shared" si="29"/>
        <v>91</v>
      </c>
      <c r="M113" s="492">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83" t="s">
        <v>3489</v>
      </c>
      <c r="D114" s="3483" t="s">
        <v>3490</v>
      </c>
      <c r="E114" s="3484" t="s">
        <v>3543</v>
      </c>
      <c r="F114" s="531"/>
      <c r="G114" s="531"/>
      <c r="H114" s="531"/>
      <c r="I114" s="531"/>
      <c r="J114" s="531"/>
      <c r="K114" s="532"/>
      <c r="L114" s="533"/>
      <c r="M114" s="534"/>
      <c r="N114" s="2749"/>
      <c r="O114" s="2749"/>
      <c r="P114" s="2740"/>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30">C115-$K38</f>
        <v>97</v>
      </c>
      <c r="E115" s="492">
        <f t="shared" si="30"/>
        <v>94</v>
      </c>
      <c r="F115" s="492">
        <f t="shared" si="30"/>
        <v>91</v>
      </c>
      <c r="G115" s="492">
        <f t="shared" si="30"/>
        <v>88</v>
      </c>
      <c r="H115" s="492">
        <f t="shared" si="30"/>
        <v>85</v>
      </c>
      <c r="I115" s="492">
        <f t="shared" si="30"/>
        <v>82</v>
      </c>
      <c r="J115" s="492">
        <f t="shared" si="30"/>
        <v>79</v>
      </c>
      <c r="K115" s="492">
        <f t="shared" si="30"/>
        <v>76</v>
      </c>
      <c r="L115" s="492">
        <f t="shared" si="30"/>
        <v>73</v>
      </c>
      <c r="M115" s="493">
        <f t="shared" si="30"/>
        <v>70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49"/>
      <c r="O116" s="2749"/>
      <c r="P116" s="2740"/>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49"/>
      <c r="O118" s="2749"/>
      <c r="P118" s="2740"/>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0"/>
      <c r="O119" s="2750"/>
      <c r="P119" s="2740"/>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3484" t="s">
        <v>3491</v>
      </c>
      <c r="D120" s="3484" t="s">
        <v>3492</v>
      </c>
      <c r="E120" s="3484" t="s">
        <v>3472</v>
      </c>
      <c r="F120" s="3484" t="s">
        <v>3493</v>
      </c>
      <c r="G120" s="3485" t="s">
        <v>3494</v>
      </c>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98</v>
      </c>
      <c r="E121" s="492">
        <f t="shared" ref="E121:M121" si="31">D121-$K41</f>
        <v>96</v>
      </c>
      <c r="F121" s="492">
        <f t="shared" si="31"/>
        <v>94</v>
      </c>
      <c r="G121" s="492">
        <f t="shared" si="31"/>
        <v>92</v>
      </c>
      <c r="H121" s="492">
        <f t="shared" si="31"/>
        <v>90</v>
      </c>
      <c r="I121" s="492">
        <f t="shared" si="31"/>
        <v>88</v>
      </c>
      <c r="J121" s="492">
        <f t="shared" si="31"/>
        <v>86</v>
      </c>
      <c r="K121" s="492">
        <f t="shared" si="31"/>
        <v>84</v>
      </c>
      <c r="L121" s="492">
        <f t="shared" si="31"/>
        <v>82</v>
      </c>
      <c r="M121" s="493">
        <f t="shared" si="31"/>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83" t="s">
        <v>3485</v>
      </c>
      <c r="D122" s="3483" t="s">
        <v>3486</v>
      </c>
      <c r="E122" s="3483" t="s">
        <v>3495</v>
      </c>
      <c r="F122" s="3484" t="s">
        <v>3488</v>
      </c>
      <c r="G122" s="531"/>
      <c r="H122" s="531"/>
      <c r="I122" s="531"/>
      <c r="J122" s="531"/>
      <c r="K122" s="532"/>
      <c r="L122" s="533"/>
      <c r="M122" s="534"/>
      <c r="N122" s="2749"/>
      <c r="O122" s="2749"/>
      <c r="P122" s="2740"/>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3">
        <f t="shared" si="32"/>
        <v>80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50"/>
      <c r="O125" s="2750"/>
      <c r="P125" s="2740"/>
      <c r="Q125" s="2736"/>
      <c r="R125" s="2722"/>
      <c r="S125" s="2722"/>
      <c r="T125" s="2722"/>
      <c r="U125" s="2722"/>
      <c r="V125" s="2722"/>
      <c r="W125" s="2722"/>
      <c r="X125" s="2722"/>
      <c r="Y125" s="2722"/>
      <c r="Z125" s="2722"/>
      <c r="AA125" s="2722"/>
      <c r="AB125" s="2722"/>
      <c r="AC125" s="2722"/>
    </row>
    <row r="126" spans="1:29" s="421" customFormat="1" ht="15" thickTop="1">
      <c r="A126" s="541"/>
      <c r="B126" s="486" t="str">
        <f>B44</f>
        <v>地下占比</v>
      </c>
      <c r="C126" s="502" t="s">
        <v>3496</v>
      </c>
      <c r="D126" s="502" t="s">
        <v>3497</v>
      </c>
      <c r="E126" s="502" t="s">
        <v>3498</v>
      </c>
      <c r="F126" s="502" t="s">
        <v>3499</v>
      </c>
      <c r="G126" s="502" t="s">
        <v>3500</v>
      </c>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96</v>
      </c>
      <c r="E127" s="484">
        <v>92</v>
      </c>
      <c r="F127" s="484">
        <v>88</v>
      </c>
      <c r="G127" s="484">
        <v>80</v>
      </c>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0"/>
      <c r="O129" s="2750"/>
      <c r="P129" s="2740"/>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7"/>
      <c r="C131" s="518"/>
      <c r="D131" s="518"/>
      <c r="E131" s="518"/>
      <c r="F131" s="518"/>
      <c r="G131" s="539"/>
      <c r="H131" s="539"/>
      <c r="I131" s="539"/>
      <c r="J131" s="539"/>
      <c r="K131" s="539"/>
      <c r="L131" s="539"/>
      <c r="M131" s="540"/>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3" sqref="K53:L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673</v>
      </c>
      <c r="D1" s="1360" t="s">
        <v>43</v>
      </c>
      <c r="E1" s="1361" t="s">
        <v>678</v>
      </c>
      <c r="F1" s="1061">
        <f ca="1">J53</f>
        <v>24.81</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16201</v>
      </c>
      <c r="C2" s="1385" t="s">
        <v>805</v>
      </c>
      <c r="D2" s="1385"/>
      <c r="E2" s="1386"/>
      <c r="F2" s="1387"/>
      <c r="G2" s="2703"/>
      <c r="H2" s="2692"/>
      <c r="I2" s="2692"/>
      <c r="J2" s="2692"/>
      <c r="K2" s="2693"/>
      <c r="L2" s="2692"/>
      <c r="M2" s="2692"/>
    </row>
    <row r="3" spans="1:37" ht="18" customHeight="1" thickBot="1">
      <c r="A3" s="1388" t="s">
        <v>806</v>
      </c>
      <c r="B3" s="1389">
        <f ca="1">IF(ISERROR(B2*10000/F43),0,ROUND(B2*10000/F43,0))</f>
        <v>33780</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1243</v>
      </c>
      <c r="D5" s="1362" t="s">
        <v>693</v>
      </c>
      <c r="E5" s="1070"/>
      <c r="F5" s="1071"/>
      <c r="G5" s="1382"/>
      <c r="H5" s="298">
        <v>1</v>
      </c>
      <c r="I5" s="299" t="s">
        <v>692</v>
      </c>
      <c r="J5" s="1069">
        <f ca="1">J6+J10+J12</f>
        <v>1474</v>
      </c>
      <c r="K5" s="1362" t="s">
        <v>693</v>
      </c>
      <c r="L5" s="1070"/>
      <c r="M5" s="1071"/>
    </row>
    <row r="6" spans="1:37" ht="18" customHeight="1">
      <c r="A6" s="1068" t="s">
        <v>398</v>
      </c>
      <c r="B6" s="3737" t="s">
        <v>694</v>
      </c>
      <c r="C6" s="1073">
        <f ca="1">ROUND(F6*F8*F7*(1-F9)/10000,0)</f>
        <v>1241</v>
      </c>
      <c r="D6" s="154" t="s">
        <v>2109</v>
      </c>
      <c r="E6" s="301" t="s">
        <v>696</v>
      </c>
      <c r="F6" s="302">
        <f ca="1">INDIRECT("'数据-取费表'!u"&amp;$G$1)</f>
        <v>7.09</v>
      </c>
      <c r="G6" s="1382"/>
      <c r="H6" s="1068" t="s">
        <v>398</v>
      </c>
      <c r="I6" s="3737" t="s">
        <v>694</v>
      </c>
      <c r="J6" s="300">
        <f ca="1">ROUND(M6*M8*M7*(1-M9)/10000,0)</f>
        <v>1472</v>
      </c>
      <c r="K6" s="154" t="s">
        <v>2108</v>
      </c>
      <c r="L6" s="301" t="s">
        <v>696</v>
      </c>
      <c r="M6" s="302">
        <f ca="1">INDIRECT("'数据-取费表'!z"&amp;$G$1)</f>
        <v>8.85</v>
      </c>
    </row>
    <row r="7" spans="1:37" ht="18" customHeight="1">
      <c r="A7" s="1072"/>
      <c r="B7" s="3738"/>
      <c r="C7" s="1074"/>
      <c r="D7" s="306"/>
      <c r="E7" s="1075" t="s">
        <v>697</v>
      </c>
      <c r="F7" s="302">
        <f ca="1">IF(INDIRECT("'数据-取费表'!ah"&amp;$G$1)="",INDIRECT("'数据-取费表'!k"&amp;$G$1),INDIRECT("'数据-取费表'!ah"&amp;$G$1))</f>
        <v>4796.0099999999993</v>
      </c>
      <c r="G7" s="1382"/>
      <c r="H7" s="303"/>
      <c r="I7" s="3738"/>
      <c r="J7" s="305"/>
      <c r="K7" s="306"/>
      <c r="L7" s="301" t="s">
        <v>697</v>
      </c>
      <c r="M7" s="302">
        <f ca="1">F7</f>
        <v>4796.0099999999993</v>
      </c>
    </row>
    <row r="8" spans="1:37" ht="18" customHeight="1">
      <c r="A8" s="303"/>
      <c r="B8" s="3738"/>
      <c r="C8" s="305"/>
      <c r="D8" s="306"/>
      <c r="E8" s="301" t="s">
        <v>698</v>
      </c>
      <c r="F8" s="302">
        <f ca="1">INDIRECT("'数据-取费表'!ai"&amp;$G$1)</f>
        <v>365</v>
      </c>
      <c r="G8" s="1382"/>
      <c r="H8" s="303"/>
      <c r="I8" s="3738"/>
      <c r="J8" s="305"/>
      <c r="K8" s="306"/>
      <c r="L8" s="301" t="s">
        <v>698</v>
      </c>
      <c r="M8" s="302">
        <f ca="1">INDIRECT("'数据-取费表'!ai"&amp;$G$1)</f>
        <v>365</v>
      </c>
    </row>
    <row r="9" spans="1:37" ht="18" customHeight="1">
      <c r="A9" s="303"/>
      <c r="B9" s="3739"/>
      <c r="C9" s="305"/>
      <c r="D9" s="306"/>
      <c r="E9" s="301" t="s">
        <v>699</v>
      </c>
      <c r="F9" s="311">
        <f ca="1">INDIRECT("'数据-取费表'!w"&amp;$G$1)</f>
        <v>0</v>
      </c>
      <c r="G9" s="1382"/>
      <c r="H9" s="303"/>
      <c r="I9" s="3739"/>
      <c r="J9" s="305"/>
      <c r="K9" s="306"/>
      <c r="L9" s="312" t="s">
        <v>699</v>
      </c>
      <c r="M9" s="313">
        <f ca="1">INDIRECT("'数据-取费表'!ab"&amp;$G$1)</f>
        <v>0.05</v>
      </c>
    </row>
    <row r="10" spans="1:37" ht="18" customHeight="1">
      <c r="A10" s="1068" t="s">
        <v>402</v>
      </c>
      <c r="B10" s="1363" t="s">
        <v>700</v>
      </c>
      <c r="C10" s="315">
        <f ca="1">ROUND(IF(F10="押一",C6/12*F11,IF(F10="押二",C6/12*2*F11,IF(F10="押三",C6/12*3*F11,C11*F11))),0)</f>
        <v>2</v>
      </c>
      <c r="D10" s="1364" t="s">
        <v>2117</v>
      </c>
      <c r="E10" s="312" t="s">
        <v>701</v>
      </c>
      <c r="F10" s="1115" t="s">
        <v>3415</v>
      </c>
      <c r="G10" s="1382"/>
      <c r="H10" s="1068" t="s">
        <v>402</v>
      </c>
      <c r="I10" s="1363" t="s">
        <v>700</v>
      </c>
      <c r="J10" s="300">
        <f ca="1">ROUND(IF(M10="押一",J6/12*M11,IF(M10="押二",J6/12*2*M11,IF(M10="押三",J6/12*3*M11,J11*M11))),0)</f>
        <v>2</v>
      </c>
      <c r="K10" s="1364" t="s">
        <v>2116</v>
      </c>
      <c r="L10" s="312" t="s">
        <v>701</v>
      </c>
      <c r="M10" s="1115" t="s">
        <v>3415</v>
      </c>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2465</v>
      </c>
      <c r="D13" s="1080" t="s">
        <v>705</v>
      </c>
      <c r="E13" s="1080" t="s">
        <v>706</v>
      </c>
      <c r="F13" s="1081">
        <f ca="1">INDIRECT("'数据-取费表'!y"&amp;$G$1)</f>
        <v>0.9</v>
      </c>
      <c r="G13" s="1382"/>
      <c r="H13" s="1078">
        <v>2</v>
      </c>
      <c r="I13" s="1079" t="s">
        <v>704</v>
      </c>
      <c r="J13" s="1067">
        <f ca="1">ROUND(J14*J15,0)</f>
        <v>2054</v>
      </c>
      <c r="K13" s="1086" t="s">
        <v>705</v>
      </c>
      <c r="L13" s="1390"/>
      <c r="M13" s="1391"/>
    </row>
    <row r="14" spans="1:37" ht="18" customHeight="1">
      <c r="A14" s="981" t="s">
        <v>397</v>
      </c>
      <c r="B14" s="301" t="s">
        <v>707</v>
      </c>
      <c r="C14" s="317">
        <f ca="1">INDIRECT("'数据-取费表'!m"&amp;$G$1)+INDIRECT("'数据-取费表'!t"&amp;$G$1)</f>
        <v>1918</v>
      </c>
      <c r="D14" s="1343" t="s">
        <v>708</v>
      </c>
      <c r="E14" s="1340"/>
      <c r="F14" s="318"/>
      <c r="G14" s="1382"/>
      <c r="H14" s="981" t="s">
        <v>398</v>
      </c>
      <c r="I14" s="301" t="s">
        <v>709</v>
      </c>
      <c r="J14" s="21">
        <f ca="1">C29</f>
        <v>2739</v>
      </c>
      <c r="K14" s="12"/>
      <c r="L14" s="806"/>
      <c r="M14" s="807"/>
    </row>
    <row r="15" spans="1:37" s="1395" customFormat="1" ht="18" customHeight="1" thickBot="1">
      <c r="A15" s="981" t="s">
        <v>399</v>
      </c>
      <c r="B15" s="301" t="s">
        <v>710</v>
      </c>
      <c r="C15" s="21">
        <f ca="1">ROUND(C14*F15,0)</f>
        <v>58</v>
      </c>
      <c r="D15" s="319" t="s">
        <v>711</v>
      </c>
      <c r="E15" s="319" t="s">
        <v>712</v>
      </c>
      <c r="F15" s="320">
        <f>'数据-取费表'!B33</f>
        <v>0.03</v>
      </c>
      <c r="G15" s="1394"/>
      <c r="H15" s="1088" t="s">
        <v>402</v>
      </c>
      <c r="I15" s="1089" t="s">
        <v>706</v>
      </c>
      <c r="J15" s="1098">
        <f ca="1">INDIRECT("'数据-取费表'!ad"&amp;$G$1)</f>
        <v>0.75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277</v>
      </c>
      <c r="K16" s="1086" t="s">
        <v>715</v>
      </c>
      <c r="L16" s="1087"/>
      <c r="M16" s="1071"/>
    </row>
    <row r="17" spans="1:37" s="1395" customFormat="1" ht="18" customHeight="1">
      <c r="A17" s="981" t="s">
        <v>681</v>
      </c>
      <c r="B17" s="301" t="s">
        <v>716</v>
      </c>
      <c r="C17" s="21">
        <f ca="1">ROUND(F17*(F43+INDIRECT("'数据-取费表'!S"&amp;$G$1))/10000,0)</f>
        <v>96</v>
      </c>
      <c r="D17" s="301" t="s">
        <v>717</v>
      </c>
      <c r="E17" s="301" t="s">
        <v>718</v>
      </c>
      <c r="F17" s="23">
        <f>'数据-取费表'!B35</f>
        <v>200</v>
      </c>
      <c r="G17" s="1394"/>
      <c r="H17" s="981" t="s">
        <v>398</v>
      </c>
      <c r="I17" s="301" t="s">
        <v>719</v>
      </c>
      <c r="J17" s="2314">
        <f ca="1">ROUND(IF(AND(项目基本情况!B11="自然人",项目基本情况!B10="北京市"),J6*M17/(1+'数据-取费表'!C42),J18+J19+J20),2)</f>
        <v>253.73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38</v>
      </c>
      <c r="D18" s="301" t="s">
        <v>711</v>
      </c>
      <c r="E18" s="301" t="s">
        <v>712</v>
      </c>
      <c r="F18" s="321">
        <f>'数据-取费表'!B36</f>
        <v>0.02</v>
      </c>
      <c r="G18" s="1394"/>
      <c r="H18" s="981" t="s">
        <v>397</v>
      </c>
      <c r="I18" s="301" t="s">
        <v>723</v>
      </c>
      <c r="J18" s="21">
        <f ca="1">ROUND(J6*M18/(1+'数据-取费表'!C42),2)</f>
        <v>78.510000000000005</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2110</v>
      </c>
      <c r="D19" s="130" t="s">
        <v>726</v>
      </c>
      <c r="E19" s="1358"/>
      <c r="F19" s="23"/>
      <c r="G19" s="1382"/>
      <c r="H19" s="981" t="s">
        <v>399</v>
      </c>
      <c r="I19" s="301" t="s">
        <v>727</v>
      </c>
      <c r="J19" s="21">
        <f ca="1">IF(K19="按租金收入计税",ROUND(J6*M19/(1+'数据-取费表'!C42),2),ROUND(C29*M19*0.7,2))</f>
        <v>168.23</v>
      </c>
      <c r="K19" s="1368" t="s">
        <v>3339</v>
      </c>
      <c r="L19" s="301" t="s">
        <v>712</v>
      </c>
      <c r="M19" s="321">
        <f>IF(K19="按租金收入计税",'数据-取费表'!B51,'数据-取费表'!B50)</f>
        <v>0.12</v>
      </c>
    </row>
    <row r="20" spans="1:37" s="1395" customFormat="1" ht="18" customHeight="1">
      <c r="A20" s="981" t="s">
        <v>402</v>
      </c>
      <c r="B20" s="301" t="s">
        <v>728</v>
      </c>
      <c r="C20" s="21">
        <f ca="1">ROUND(C19*F20,0)</f>
        <v>42</v>
      </c>
      <c r="D20" s="322" t="s">
        <v>729</v>
      </c>
      <c r="E20" s="301" t="s">
        <v>712</v>
      </c>
      <c r="F20" s="321">
        <f>'数据-取费表'!B37</f>
        <v>0.02</v>
      </c>
      <c r="G20" s="1394"/>
      <c r="H20" s="981" t="s">
        <v>680</v>
      </c>
      <c r="I20" s="154" t="s">
        <v>730</v>
      </c>
      <c r="J20" s="22">
        <f ca="1">ROUND(M20*M21/10000,2)</f>
        <v>6.99</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2328.75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13.7</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54</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ROUND(J13*M23,2)</f>
        <v>2.0499999999999998</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ROUND(J5*M24,2)</f>
        <v>7.37</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1197</v>
      </c>
      <c r="K25" s="1094" t="s">
        <v>753</v>
      </c>
      <c r="L25" s="1095"/>
      <c r="M25" s="1096"/>
    </row>
    <row r="26" spans="1:37">
      <c r="A26" s="981" t="s">
        <v>397</v>
      </c>
      <c r="B26" s="301" t="s">
        <v>754</v>
      </c>
      <c r="C26" s="21">
        <f ca="1">ROUND((C19+C20)*F26,0)</f>
        <v>323</v>
      </c>
      <c r="D26" s="322" t="s">
        <v>755</v>
      </c>
      <c r="E26" s="312" t="s">
        <v>756</v>
      </c>
      <c r="F26" s="311">
        <f ca="1">INDIRECT("'数据-取费表'!q"&amp;$G$1)</f>
        <v>0.15</v>
      </c>
      <c r="G26" s="1382"/>
      <c r="H26" s="298" t="s">
        <v>395</v>
      </c>
      <c r="I26" s="299" t="s">
        <v>757</v>
      </c>
      <c r="J26" s="300">
        <f ca="1">IF(J5&lt;&gt;0,ROUND(J25*(1-((1+M28)/(1+M26))^M27)/(M26-M28),0),0)</f>
        <v>14613</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15.809999999999999</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2739</v>
      </c>
      <c r="D29" s="1091"/>
      <c r="E29" s="1089"/>
      <c r="F29" s="1092"/>
      <c r="G29" s="1394"/>
      <c r="H29" s="333" t="s">
        <v>396</v>
      </c>
      <c r="I29" s="334" t="s">
        <v>768</v>
      </c>
      <c r="J29" s="335">
        <f ca="1">ROUND(J26/(1+F40)^F41,0)</f>
        <v>9025</v>
      </c>
      <c r="K29" s="336" t="s">
        <v>769</v>
      </c>
      <c r="L29" s="337"/>
      <c r="M29" s="338">
        <f ca="1">INDIRECT("'数据-取费表'!k"&amp;$G$1)</f>
        <v>4796.0099999999993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237</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215.01</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IF(项目基本情况!B11="自然人","——",ROUND(C6*F32/(1+'数据-取费表'!C42),2))</f>
        <v>66.19</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141.83000000000001</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IF(项目基本情况!B11="自然人","——",ROUND(F34*F35/10000,2))</f>
        <v>6.99</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2328.75</v>
      </c>
      <c r="G35" s="1382"/>
      <c r="H35" s="2694"/>
      <c r="I35" s="1396"/>
      <c r="J35" s="1397"/>
      <c r="K35" s="2698"/>
      <c r="L35" s="2697"/>
      <c r="M35" s="2697"/>
    </row>
    <row r="36" spans="1:18" ht="18" customHeight="1">
      <c r="A36" s="1101" t="s">
        <v>402</v>
      </c>
      <c r="B36" s="301" t="s">
        <v>738</v>
      </c>
      <c r="C36" s="21">
        <f ca="1">ROUND(C29*F36,2)</f>
        <v>13.7</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ROUND(C13*F37,2)</f>
        <v>2.4700000000000002</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ROUND(C5*F38,2)</f>
        <v>6.22</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09">
        <f ca="1">C5-C30</f>
        <v>1006</v>
      </c>
      <c r="D39" s="1094" t="s">
        <v>773</v>
      </c>
      <c r="E39" s="1095"/>
      <c r="F39" s="1096"/>
      <c r="G39" s="1382"/>
      <c r="H39" s="2697">
        <f ca="1">C39/C5</f>
        <v>0.80933226065969432</v>
      </c>
      <c r="I39" s="1396"/>
      <c r="J39" s="1397"/>
      <c r="K39" s="2701"/>
      <c r="L39" s="2697"/>
      <c r="M39" s="2697"/>
    </row>
    <row r="40" spans="1:18" ht="18" customHeight="1">
      <c r="A40" s="298" t="s">
        <v>395</v>
      </c>
      <c r="B40" s="299" t="s">
        <v>774</v>
      </c>
      <c r="C40" s="300">
        <f ca="1">ROUND(C39*(1-((1+F42)/(1+F40))^F41)/(F40-F42),0)</f>
        <v>6994</v>
      </c>
      <c r="D40" s="323" t="s">
        <v>758</v>
      </c>
      <c r="E40" s="301" t="s">
        <v>759</v>
      </c>
      <c r="F40" s="311">
        <f ca="1">INDIRECT("'数据-取费表'!I"&amp;$G$1)</f>
        <v>5.5E-2</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9</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f ca="1">ROUND(C40*10000/F43,0)</f>
        <v>14583</v>
      </c>
      <c r="D43" s="336" t="s">
        <v>777</v>
      </c>
      <c r="E43" s="337" t="s">
        <v>778</v>
      </c>
      <c r="F43" s="338">
        <f ca="1">INDIRECT("'数据-取费表'!k"&amp;$G$1)</f>
        <v>4796.0099999999993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-7154</v>
      </c>
      <c r="D46" s="1404" t="str">
        <f>C2</f>
        <v>万元</v>
      </c>
      <c r="E46" s="1398"/>
      <c r="F46" s="1398"/>
      <c r="I46" s="1405" t="s">
        <v>810</v>
      </c>
      <c r="J46" s="1406"/>
      <c r="K46" s="1407"/>
      <c r="L46" s="1408">
        <f ca="1">IF(M47="住宅",0,IF(L48&gt;J51,L60,J60))</f>
        <v>182</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3413</v>
      </c>
      <c r="K47" s="1414" t="s">
        <v>816</v>
      </c>
      <c r="L47" s="1415">
        <f ca="1">INDIRECT("'数据-取费表'!d"&amp;$G$1)</f>
        <v>40</v>
      </c>
      <c r="M47" s="1378" t="str">
        <f>IF(ISNUMBER(FIND("住宅",C1)),"住宅","非住宅")</f>
        <v>非住宅</v>
      </c>
      <c r="O47" s="1416" t="s">
        <v>403</v>
      </c>
      <c r="P47" s="1417" t="s">
        <v>817</v>
      </c>
      <c r="Q47" s="1418">
        <f ca="1">C40+J29</f>
        <v>16019</v>
      </c>
      <c r="R47" s="1418" t="s">
        <v>818</v>
      </c>
    </row>
    <row r="48" spans="1:18" s="1382" customFormat="1" ht="28.5" thickBot="1">
      <c r="A48" s="1109" t="s">
        <v>438</v>
      </c>
      <c r="B48" s="299" t="s">
        <v>692</v>
      </c>
      <c r="C48" s="1357">
        <f ca="1">C49+C53+C55</f>
        <v>0</v>
      </c>
      <c r="D48" s="1111"/>
      <c r="E48" s="1112"/>
      <c r="F48" s="961"/>
      <c r="G48" s="721"/>
      <c r="H48" s="722"/>
      <c r="I48" s="1419" t="s">
        <v>819</v>
      </c>
      <c r="J48" s="1420" t="s">
        <v>3414</v>
      </c>
      <c r="K48" s="1421" t="s">
        <v>820</v>
      </c>
      <c r="L48" s="1422">
        <f ca="1">INDIRECT("'数据-取费表'!f"&amp;$G$1)</f>
        <v>24.81</v>
      </c>
      <c r="O48" s="1416" t="s">
        <v>404</v>
      </c>
      <c r="P48" s="1417" t="s">
        <v>821</v>
      </c>
      <c r="Q48" s="1418">
        <f ca="1">J60</f>
        <v>182</v>
      </c>
      <c r="R48" s="1418" t="s">
        <v>822</v>
      </c>
    </row>
    <row r="49" spans="1:18" s="1382" customFormat="1" ht="13.5" thickBot="1">
      <c r="A49" s="974" t="s">
        <v>439</v>
      </c>
      <c r="B49" s="1369" t="s">
        <v>779</v>
      </c>
      <c r="C49" s="1113">
        <f ca="1">ROUND(F49*F51*F50*(1-F52)/10000,0)</f>
        <v>0</v>
      </c>
      <c r="D49" s="1054" t="s">
        <v>2110</v>
      </c>
      <c r="E49" s="1370" t="s">
        <v>780</v>
      </c>
      <c r="F49" s="1059"/>
      <c r="G49" s="1423"/>
      <c r="H49" s="722"/>
      <c r="I49" s="1419" t="s">
        <v>823</v>
      </c>
      <c r="J49" s="1424">
        <v>2009</v>
      </c>
      <c r="K49" s="1421" t="s">
        <v>824</v>
      </c>
      <c r="L49" s="1425"/>
      <c r="O49" s="1426" t="s">
        <v>405</v>
      </c>
      <c r="P49" s="1417" t="s">
        <v>825</v>
      </c>
      <c r="Q49" s="1418">
        <f ca="1">C29</f>
        <v>2739</v>
      </c>
      <c r="R49" s="1418" t="s">
        <v>818</v>
      </c>
    </row>
    <row r="50" spans="1:18" s="1382" customFormat="1" ht="13.5" thickBot="1">
      <c r="A50" s="975"/>
      <c r="B50" s="978"/>
      <c r="C50" s="1117"/>
      <c r="D50" s="952"/>
      <c r="E50" s="1055" t="s">
        <v>697</v>
      </c>
      <c r="F50" s="1056">
        <f ca="1">F7</f>
        <v>4796.0099999999993</v>
      </c>
      <c r="H50" s="722"/>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35</v>
      </c>
      <c r="K51" s="1432" t="s">
        <v>830</v>
      </c>
      <c r="L51" s="1433">
        <f ca="1">ROUND(-PV(INDIRECT("'数据-取费表'!h"&amp;$G$1),J51,(C39-C13*C76),0),0)</f>
        <v>13647</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24.81</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24.81</v>
      </c>
      <c r="K53" s="3735" t="s">
        <v>837</v>
      </c>
      <c r="L53" s="3736"/>
      <c r="O53" s="1416" t="s">
        <v>409</v>
      </c>
      <c r="P53" s="1417" t="s">
        <v>838</v>
      </c>
      <c r="Q53" s="1418">
        <f ca="1">Q47+Q48</f>
        <v>16201</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0.22</v>
      </c>
      <c r="K55" s="1443" t="s">
        <v>841</v>
      </c>
      <c r="L55" s="1444"/>
      <c r="O55" s="1409" t="s">
        <v>811</v>
      </c>
      <c r="P55" s="1410" t="s">
        <v>812</v>
      </c>
      <c r="Q55" s="1411" t="s">
        <v>813</v>
      </c>
      <c r="R55" s="1411" t="s">
        <v>814</v>
      </c>
    </row>
    <row r="56" spans="1:18" s="1382" customFormat="1" ht="25.5" thickTop="1" thickBot="1">
      <c r="A56" s="956">
        <v>2</v>
      </c>
      <c r="B56" s="957" t="s">
        <v>704</v>
      </c>
      <c r="C56" s="231">
        <f ca="1">C13</f>
        <v>2465</v>
      </c>
      <c r="D56" s="1445"/>
      <c r="E56" s="1446"/>
      <c r="F56" s="1438"/>
      <c r="I56" s="1447" t="s">
        <v>842</v>
      </c>
      <c r="J56" s="1448" t="s">
        <v>3897</v>
      </c>
      <c r="K56" s="1419" t="s">
        <v>843</v>
      </c>
      <c r="L56" s="1422" t="str">
        <f ca="1">IF(L48&lt;J51,"——",L48-J53)</f>
        <v>——</v>
      </c>
      <c r="O56" s="1416" t="s">
        <v>403</v>
      </c>
      <c r="P56" s="1417" t="s">
        <v>817</v>
      </c>
      <c r="Q56" s="1418">
        <f ca="1">C40+J29</f>
        <v>16019</v>
      </c>
      <c r="R56" s="1418" t="s">
        <v>818</v>
      </c>
    </row>
    <row r="57" spans="1:18" s="1382" customFormat="1" ht="24.75" thickBot="1">
      <c r="A57" s="1449"/>
      <c r="B57" s="949" t="s">
        <v>767</v>
      </c>
      <c r="C57" s="237">
        <f ca="1">C29</f>
        <v>2739</v>
      </c>
      <c r="D57" s="1450"/>
      <c r="E57" s="1451"/>
      <c r="F57" s="1452"/>
      <c r="I57" s="1453" t="s">
        <v>844</v>
      </c>
      <c r="J57" s="1454">
        <f ca="1">IF(OR(M47="住宅",J51&lt;L48,J56="是"),"——",J51-L48)</f>
        <v>10.190000000000001</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23</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7</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1096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f ca="1">IF(OR(M47="住宅",J51&lt;L48,J56="是"),"0",ROUND(J59/(1+J52)^J53,0))</f>
        <v>182</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6.99</v>
      </c>
      <c r="D62" s="964" t="s">
        <v>786</v>
      </c>
      <c r="E62" s="949" t="s">
        <v>787</v>
      </c>
      <c r="F62" s="324">
        <f t="shared" si="0"/>
        <v>30</v>
      </c>
      <c r="I62" s="1460" t="s">
        <v>858</v>
      </c>
      <c r="J62" s="1461" t="s">
        <v>859</v>
      </c>
      <c r="K62" s="1461" t="s">
        <v>860</v>
      </c>
      <c r="L62" s="1461" t="s">
        <v>861</v>
      </c>
      <c r="M62" s="1462" t="s">
        <v>862</v>
      </c>
      <c r="O62" s="1416" t="s">
        <v>409</v>
      </c>
      <c r="P62" s="1417" t="s">
        <v>863</v>
      </c>
      <c r="Q62" s="1418">
        <f ca="1">Q56+Q57</f>
        <v>16019</v>
      </c>
      <c r="R62" s="1418" t="s">
        <v>410</v>
      </c>
    </row>
    <row r="63" spans="1:18" s="1382" customFormat="1" ht="13.5" thickBot="1">
      <c r="A63" s="325"/>
      <c r="B63" s="955"/>
      <c r="C63" s="26"/>
      <c r="D63" s="965"/>
      <c r="E63" s="949" t="s">
        <v>788</v>
      </c>
      <c r="F63" s="302">
        <f t="shared" ca="1" si="0"/>
        <v>2328.75</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13.7</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2.4700000000000002</v>
      </c>
      <c r="D65" s="963" t="s">
        <v>743</v>
      </c>
      <c r="E65" s="949" t="s">
        <v>744</v>
      </c>
      <c r="F65" s="329">
        <f t="shared" ca="1" si="0"/>
        <v>1E-3</v>
      </c>
      <c r="I65" s="1460" t="s">
        <v>867</v>
      </c>
      <c r="J65" s="1461">
        <v>40</v>
      </c>
      <c r="K65" s="1461">
        <v>30</v>
      </c>
      <c r="L65" s="1461">
        <v>50</v>
      </c>
      <c r="M65" s="1463">
        <v>0.02</v>
      </c>
      <c r="O65" s="1416" t="s">
        <v>403</v>
      </c>
      <c r="P65" s="1417" t="s">
        <v>868</v>
      </c>
      <c r="Q65" s="1418">
        <f ca="1">C40+J29</f>
        <v>16019</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-23</v>
      </c>
      <c r="D67" s="962" t="s">
        <v>753</v>
      </c>
      <c r="E67" s="967"/>
      <c r="F67" s="968"/>
      <c r="O67" s="1426" t="s">
        <v>405</v>
      </c>
      <c r="P67" s="1417" t="s">
        <v>850</v>
      </c>
      <c r="Q67" s="1464">
        <f ca="1">L51</f>
        <v>13647</v>
      </c>
      <c r="R67" s="1418" t="s">
        <v>870</v>
      </c>
    </row>
    <row r="68" spans="1:18" s="1382" customFormat="1" ht="16.5" thickBot="1">
      <c r="A68" s="946" t="s">
        <v>395</v>
      </c>
      <c r="B68" s="947" t="s">
        <v>774</v>
      </c>
      <c r="C68" s="300">
        <f ca="1">ROUND(C67*(1-((1+F70)/(1+F68))^F69)/(F68-F70),0)</f>
        <v>-160</v>
      </c>
      <c r="D68" s="964" t="s">
        <v>758</v>
      </c>
      <c r="E68" s="949" t="s">
        <v>759</v>
      </c>
      <c r="F68" s="311">
        <f ca="1">F40</f>
        <v>5.5E-2</v>
      </c>
      <c r="O68" s="1426" t="s">
        <v>406</v>
      </c>
      <c r="P68" s="1465" t="s">
        <v>871</v>
      </c>
      <c r="Q68" s="1418">
        <f ca="1">ROUND(Q69-Q70*Q71,0)</f>
        <v>833</v>
      </c>
      <c r="R68" s="1418" t="s">
        <v>414</v>
      </c>
    </row>
    <row r="69" spans="1:18" s="1382" customFormat="1" ht="13.5" thickBot="1">
      <c r="A69" s="950"/>
      <c r="B69" s="951"/>
      <c r="C69" s="305"/>
      <c r="D69" s="969" t="s">
        <v>762</v>
      </c>
      <c r="E69" s="949" t="s">
        <v>763</v>
      </c>
      <c r="F69" s="332">
        <f ca="1">F41</f>
        <v>9</v>
      </c>
      <c r="O69" s="1426" t="s">
        <v>411</v>
      </c>
      <c r="P69" s="1465" t="s">
        <v>872</v>
      </c>
      <c r="Q69" s="1418">
        <f ca="1">C39</f>
        <v>1006</v>
      </c>
      <c r="R69" s="1418" t="s">
        <v>818</v>
      </c>
    </row>
    <row r="70" spans="1:18" s="1382" customFormat="1" ht="13.5" thickBot="1">
      <c r="A70" s="953"/>
      <c r="B70" s="954"/>
      <c r="C70" s="309"/>
      <c r="D70" s="965"/>
      <c r="E70" s="949" t="s">
        <v>766</v>
      </c>
      <c r="F70" s="1053"/>
      <c r="O70" s="1426" t="s">
        <v>412</v>
      </c>
      <c r="P70" s="1465" t="s">
        <v>873</v>
      </c>
      <c r="Q70" s="1418">
        <f ca="1">C13</f>
        <v>2465</v>
      </c>
      <c r="R70" s="1418" t="s">
        <v>818</v>
      </c>
    </row>
    <row r="71" spans="1:18" s="1382" customFormat="1" ht="13.5" thickBot="1">
      <c r="A71" s="970" t="s">
        <v>396</v>
      </c>
      <c r="B71" s="971" t="s">
        <v>776</v>
      </c>
      <c r="C71" s="335">
        <f ca="1">ROUND(C68*10000/F71,0)</f>
        <v>-334</v>
      </c>
      <c r="D71" s="972" t="s">
        <v>777</v>
      </c>
      <c r="E71" s="973" t="s">
        <v>778</v>
      </c>
      <c r="F71" s="338">
        <f ca="1">F43</f>
        <v>4796.0099999999993</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173</v>
      </c>
      <c r="D75" s="1382"/>
      <c r="E75" s="1382"/>
      <c r="F75" s="1382"/>
      <c r="K75" s="1400"/>
      <c r="L75" s="1382"/>
      <c r="O75" s="1416" t="s">
        <v>409</v>
      </c>
      <c r="P75" s="1417" t="s">
        <v>838</v>
      </c>
      <c r="Q75" s="1418">
        <f ca="1">Q65+Q66</f>
        <v>16019</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0.82800000000000007</v>
      </c>
    </row>
    <row r="80" spans="1:18">
      <c r="B80" s="339" t="s">
        <v>800</v>
      </c>
      <c r="C80" s="273">
        <f ca="1">ROUND(C75/C39,3)</f>
        <v>0.17199999999999999</v>
      </c>
    </row>
    <row r="81" spans="2:3">
      <c r="B81" s="269" t="s">
        <v>801</v>
      </c>
      <c r="C81" s="237"/>
    </row>
    <row r="82" spans="2:3">
      <c r="B82" s="272" t="s">
        <v>802</v>
      </c>
      <c r="C82" s="274">
        <f ca="1">1-C83</f>
        <v>0.64800000000000002</v>
      </c>
    </row>
    <row r="83" spans="2:3">
      <c r="B83" s="272" t="s">
        <v>803</v>
      </c>
      <c r="C83" s="273">
        <f ca="1">ROUND(C13/C40,3)</f>
        <v>0.35199999999999998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37" t="s">
        <v>694</v>
      </c>
      <c r="C6" s="1073">
        <f ca="1">ROUND(F6*F8*F7*(1-F9),0)</f>
        <v>0</v>
      </c>
      <c r="D6" s="154" t="s">
        <v>2106</v>
      </c>
      <c r="E6" s="301" t="s">
        <v>696</v>
      </c>
      <c r="F6" s="302">
        <f ca="1">INDIRECT("'数据-取费表'!u"&amp;$G$1)</f>
        <v>0</v>
      </c>
      <c r="G6" s="1382"/>
      <c r="H6" s="1068" t="s">
        <v>398</v>
      </c>
      <c r="I6" s="3737" t="s">
        <v>694</v>
      </c>
      <c r="J6" s="300">
        <f ca="1">ROUND(M6*M8*M7*(1-M9),0)</f>
        <v>0</v>
      </c>
      <c r="K6" s="1374" t="s">
        <v>2107</v>
      </c>
      <c r="L6" s="301" t="s">
        <v>696</v>
      </c>
      <c r="M6" s="302">
        <f ca="1">INDIRECT("'数据-取费表'!z"&amp;$G$1)</f>
        <v>0</v>
      </c>
    </row>
    <row r="7" spans="1:37" ht="18" customHeight="1">
      <c r="A7" s="1072"/>
      <c r="B7" s="3738"/>
      <c r="C7" s="1074"/>
      <c r="D7" s="306"/>
      <c r="E7" s="1075" t="s">
        <v>697</v>
      </c>
      <c r="F7" s="302">
        <f ca="1">IF(INDIRECT("'数据-取费表'!ah"&amp;$G$1)="",INDIRECT("'数据-取费表'!k"&amp;$G$1),INDIRECT("'数据-取费表'!ah"&amp;$G$1))</f>
        <v>0</v>
      </c>
      <c r="G7" s="1382"/>
      <c r="H7" s="303"/>
      <c r="I7" s="3738"/>
      <c r="J7" s="305"/>
      <c r="K7" s="306"/>
      <c r="L7" s="301" t="s">
        <v>697</v>
      </c>
      <c r="M7" s="302">
        <f ca="1">F7</f>
        <v>0</v>
      </c>
    </row>
    <row r="8" spans="1:37" ht="18" customHeight="1">
      <c r="A8" s="303"/>
      <c r="B8" s="3738"/>
      <c r="C8" s="305"/>
      <c r="D8" s="306"/>
      <c r="E8" s="301" t="s">
        <v>698</v>
      </c>
      <c r="F8" s="302">
        <f ca="1">INDIRECT("'数据-取费表'!ai"&amp;$G$1)</f>
        <v>0</v>
      </c>
      <c r="G8" s="1382"/>
      <c r="H8" s="303"/>
      <c r="I8" s="3738"/>
      <c r="J8" s="305"/>
      <c r="K8" s="306"/>
      <c r="L8" s="301" t="s">
        <v>698</v>
      </c>
      <c r="M8" s="302">
        <f ca="1">INDIRECT("'数据-取费表'!ai"&amp;$G$1)</f>
        <v>0</v>
      </c>
    </row>
    <row r="9" spans="1:37" ht="18" customHeight="1">
      <c r="A9" s="303"/>
      <c r="B9" s="3739"/>
      <c r="C9" s="305"/>
      <c r="D9" s="306"/>
      <c r="E9" s="301" t="s">
        <v>699</v>
      </c>
      <c r="F9" s="311">
        <f ca="1">INDIRECT("'数据-取费表'!w"&amp;$G$1)</f>
        <v>0</v>
      </c>
      <c r="G9" s="1382"/>
      <c r="H9" s="303"/>
      <c r="I9" s="3739"/>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IF(项目基本情况!B11="自然人","——",ROUND(F34*F35,0))</f>
        <v>0</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0</v>
      </c>
      <c r="G35" s="1382"/>
      <c r="H35" s="2694"/>
      <c r="I35" s="1396"/>
      <c r="J35" s="1397"/>
      <c r="K35" s="2698"/>
      <c r="L35" s="2697"/>
      <c r="M35" s="2697"/>
    </row>
    <row r="36" spans="1:18" ht="18" customHeight="1">
      <c r="A36" s="1101"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1"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09">
        <f ca="1">C5-C30</f>
        <v>0</v>
      </c>
      <c r="D39" s="1094" t="s">
        <v>773</v>
      </c>
      <c r="E39" s="1095"/>
      <c r="F39" s="1096"/>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3355</v>
      </c>
      <c r="B45" s="1398"/>
      <c r="C45" s="1470" t="e">
        <f ca="1">ROUND((C68-C40)/10000,4)</f>
        <v>#DIV/0!</v>
      </c>
      <c r="D45" s="3428" t="s">
        <v>3356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0</v>
      </c>
      <c r="K53" s="3735" t="s">
        <v>837</v>
      </c>
      <c r="L53" s="373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3" t="s">
        <v>2319</v>
      </c>
      <c r="B2" s="2839" t="e">
        <f>IF(D2="——",C40,C40+E2)</f>
        <v>#DIV/0!</v>
      </c>
      <c r="C2" s="2840" t="s">
        <v>2320</v>
      </c>
      <c r="D2" s="3439" t="s">
        <v>3362</v>
      </c>
      <c r="E2" s="3440"/>
      <c r="F2" s="2842"/>
      <c r="G2" s="2843"/>
      <c r="H2" s="2844"/>
      <c r="I2" s="2845"/>
      <c r="J2" s="3746" t="s">
        <v>2321</v>
      </c>
      <c r="K2" s="3747"/>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48" t="s">
        <v>2331</v>
      </c>
      <c r="K3" s="3749"/>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48" t="s">
        <v>2333</v>
      </c>
      <c r="K4" s="3749"/>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54" t="s">
        <v>2337</v>
      </c>
      <c r="B6" s="3755"/>
      <c r="C6" s="3756"/>
      <c r="D6" s="2866"/>
      <c r="E6" s="2867"/>
      <c r="F6" s="2868"/>
      <c r="G6" s="2869"/>
      <c r="H6" s="2844"/>
      <c r="I6" s="2845"/>
      <c r="J6" s="3740">
        <v>1</v>
      </c>
      <c r="K6" s="3741"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40"/>
      <c r="K7" s="3742"/>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57" t="s">
        <v>2351</v>
      </c>
      <c r="C8" s="3758"/>
      <c r="D8" s="2885" t="s">
        <v>2352</v>
      </c>
      <c r="E8" s="2886" t="s">
        <v>2353</v>
      </c>
      <c r="F8" s="2887" t="s">
        <v>2354</v>
      </c>
      <c r="G8" s="2888"/>
      <c r="H8" s="2844"/>
      <c r="I8" s="2845"/>
      <c r="J8" s="3740"/>
      <c r="K8" s="3742"/>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57" t="s">
        <v>2357</v>
      </c>
      <c r="C9" s="3758"/>
      <c r="D9" s="2885">
        <f>ROUND(D6*E9,0)</f>
        <v>0</v>
      </c>
      <c r="E9" s="2889"/>
      <c r="F9" s="2890" t="s">
        <v>2358</v>
      </c>
      <c r="G9" s="2869"/>
      <c r="H9" s="2844"/>
      <c r="I9" s="2845"/>
      <c r="J9" s="3740"/>
      <c r="K9" s="3742"/>
      <c r="L9" s="2879" t="s">
        <v>2359</v>
      </c>
      <c r="M9" s="2880"/>
      <c r="N9" s="2856"/>
      <c r="O9" s="2881"/>
      <c r="P9" s="2881"/>
      <c r="Q9" s="2882">
        <v>365</v>
      </c>
      <c r="R9" s="2883">
        <f t="shared" si="0"/>
        <v>0</v>
      </c>
      <c r="S9" s="2837"/>
      <c r="T9" s="2837"/>
      <c r="U9" s="2837"/>
      <c r="V9" s="2845"/>
    </row>
    <row r="10" spans="1:22" s="2849" customFormat="1" ht="13.15" customHeight="1">
      <c r="A10" s="2884">
        <v>2</v>
      </c>
      <c r="B10" s="3757" t="s">
        <v>2360</v>
      </c>
      <c r="C10" s="3758"/>
      <c r="D10" s="2885">
        <f>ROUND(D6*E10,0)</f>
        <v>0</v>
      </c>
      <c r="E10" s="2889"/>
      <c r="F10" s="2890" t="s">
        <v>2361</v>
      </c>
      <c r="G10" s="2869"/>
      <c r="H10" s="2844"/>
      <c r="I10" s="2845"/>
      <c r="J10" s="3740"/>
      <c r="K10" s="3742"/>
      <c r="L10" s="2879" t="s">
        <v>2362</v>
      </c>
      <c r="M10" s="2880"/>
      <c r="N10" s="2856"/>
      <c r="O10" s="2881"/>
      <c r="P10" s="2881"/>
      <c r="Q10" s="2882">
        <v>365</v>
      </c>
      <c r="R10" s="2883">
        <f t="shared" si="0"/>
        <v>0</v>
      </c>
      <c r="S10" s="2837"/>
      <c r="T10" s="2837"/>
      <c r="U10" s="2837"/>
      <c r="V10" s="2845"/>
    </row>
    <row r="11" spans="1:22" s="2849" customFormat="1" ht="13.15" customHeight="1">
      <c r="A11" s="2884">
        <v>3</v>
      </c>
      <c r="B11" s="3757" t="s">
        <v>2363</v>
      </c>
      <c r="C11" s="3758"/>
      <c r="D11" s="2885">
        <f>D12+D14+D15+D16</f>
        <v>0</v>
      </c>
      <c r="E11" s="2891" t="e">
        <f>D11/D6</f>
        <v>#DIV/0!</v>
      </c>
      <c r="F11" s="2887"/>
      <c r="G11" s="2888"/>
      <c r="H11" s="2844"/>
      <c r="I11" s="2845"/>
      <c r="J11" s="3740"/>
      <c r="K11" s="3742"/>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50" t="s">
        <v>2366</v>
      </c>
      <c r="C12" s="3751"/>
      <c r="D12" s="2893">
        <f>ROUND(D13*1.2%*(1-30%),0)</f>
        <v>0</v>
      </c>
      <c r="E12" s="2894">
        <v>1.2E-2</v>
      </c>
      <c r="F12" s="2887" t="s">
        <v>2367</v>
      </c>
      <c r="G12" s="2888"/>
      <c r="H12" s="2844"/>
      <c r="I12" s="2845"/>
      <c r="J12" s="3740"/>
      <c r="K12" s="3742"/>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40"/>
      <c r="K13" s="3742"/>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50" t="s">
        <v>2372</v>
      </c>
      <c r="C14" s="3751"/>
      <c r="D14" s="2893">
        <f>ROUND(E14*B5/10000,0)</f>
        <v>0</v>
      </c>
      <c r="E14" s="2882"/>
      <c r="F14" s="2887" t="s">
        <v>2373</v>
      </c>
      <c r="G14" s="2888"/>
      <c r="H14" s="2844"/>
      <c r="I14" s="2845"/>
      <c r="J14" s="3740"/>
      <c r="K14" s="3743"/>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50" t="s">
        <v>2376</v>
      </c>
      <c r="C15" s="3751"/>
      <c r="D15" s="2893">
        <f>ROUND(D6*E15,0)</f>
        <v>0</v>
      </c>
      <c r="E15" s="2894">
        <v>5.5E-2</v>
      </c>
      <c r="F15" s="2887" t="s">
        <v>2377</v>
      </c>
      <c r="G15" s="2869"/>
      <c r="H15" s="2844"/>
      <c r="I15" s="2845"/>
      <c r="J15" s="3740">
        <v>2</v>
      </c>
      <c r="K15" s="3741"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50" t="s">
        <v>2385</v>
      </c>
      <c r="C16" s="3751"/>
      <c r="D16" s="2904">
        <f>D6*E16</f>
        <v>0</v>
      </c>
      <c r="E16" s="2905"/>
      <c r="F16" s="2890" t="s">
        <v>2386</v>
      </c>
      <c r="G16" s="2869"/>
      <c r="H16" s="2844"/>
      <c r="I16" s="2845"/>
      <c r="J16" s="3740"/>
      <c r="K16" s="3742"/>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52" t="s">
        <v>2388</v>
      </c>
      <c r="C17" s="3753"/>
      <c r="D17" s="2907">
        <f>ROUND(D6*E17,0)</f>
        <v>0</v>
      </c>
      <c r="E17" s="2908"/>
      <c r="F17" s="2909" t="s">
        <v>2389</v>
      </c>
      <c r="G17" s="2869"/>
      <c r="H17" s="2844"/>
      <c r="I17" s="2845"/>
      <c r="J17" s="3740"/>
      <c r="K17" s="3742"/>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40"/>
      <c r="K18" s="3742"/>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40"/>
      <c r="K19" s="3743"/>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0">
        <v>3</v>
      </c>
      <c r="K20" s="3741"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40"/>
      <c r="K21" s="3742"/>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40"/>
      <c r="K22" s="3742"/>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40"/>
      <c r="K23" s="3742"/>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40"/>
      <c r="K24" s="3743"/>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44">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4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46" t="s">
        <v>2321</v>
      </c>
      <c r="K32" s="3747"/>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48" t="s">
        <v>2331</v>
      </c>
      <c r="K33" s="3749"/>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48" t="s">
        <v>2333</v>
      </c>
      <c r="K34" s="374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40">
        <v>1</v>
      </c>
      <c r="K36" s="3741"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40"/>
      <c r="K37" s="3742"/>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0"/>
      <c r="K38" s="3742"/>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40"/>
      <c r="K39" s="3742"/>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40"/>
      <c r="K40" s="3743"/>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4">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4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16201</v>
      </c>
      <c r="C2" s="1870" t="s">
        <v>1651</v>
      </c>
      <c r="D2" s="1871" t="s">
        <v>1652</v>
      </c>
      <c r="E2" s="2604">
        <f>SUM(E6:E13)</f>
        <v>4796.0099999999993</v>
      </c>
      <c r="F2" s="2704"/>
      <c r="G2" s="1487"/>
      <c r="H2" s="1487"/>
      <c r="I2" s="1487"/>
      <c r="J2" s="1487"/>
      <c r="K2" s="1487"/>
      <c r="L2" s="1487"/>
      <c r="M2" s="1487"/>
      <c r="N2" s="1487"/>
      <c r="O2" s="1487"/>
      <c r="P2" s="1487"/>
      <c r="Q2" s="1487"/>
      <c r="R2" s="1487"/>
      <c r="S2" s="1487"/>
    </row>
    <row r="3" spans="1:22" ht="15.75">
      <c r="A3" s="1868" t="s">
        <v>686</v>
      </c>
      <c r="B3" s="2598">
        <f ca="1">ROUND(B2*10000/E2,0)</f>
        <v>33780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59" t="s">
        <v>1654</v>
      </c>
      <c r="C5" s="3760"/>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16201</v>
      </c>
      <c r="C6" s="1870" t="s">
        <v>1651</v>
      </c>
      <c r="D6" s="2706"/>
      <c r="E6" s="2603">
        <f>IF(OR(A6=0,F6="否"),0,'数据-取费表'!K6+'数据-取费表'!S6)</f>
        <v>4796.0099999999993</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4796.0100000000011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4" t="s">
        <v>1666</v>
      </c>
      <c r="B4" s="355"/>
      <c r="C4" s="3707" t="s">
        <v>1667</v>
      </c>
      <c r="D4" s="3708"/>
      <c r="E4" s="3709" t="s">
        <v>1668</v>
      </c>
      <c r="F4" s="3710"/>
      <c r="G4" s="3707" t="s">
        <v>1669</v>
      </c>
      <c r="H4" s="3708"/>
      <c r="I4" s="3707" t="s">
        <v>1670</v>
      </c>
      <c r="J4" s="3708"/>
      <c r="K4" s="1887" t="s">
        <v>1671</v>
      </c>
      <c r="L4" s="2712"/>
      <c r="M4" s="2713"/>
      <c r="N4" s="2713"/>
      <c r="O4" s="2713"/>
      <c r="P4" s="3711" t="s">
        <v>1672</v>
      </c>
      <c r="Q4" s="3712"/>
      <c r="R4" s="3717" t="s">
        <v>1668</v>
      </c>
      <c r="S4" s="3718"/>
      <c r="T4" s="3717" t="s">
        <v>1669</v>
      </c>
      <c r="U4" s="3718"/>
      <c r="V4" s="3702" t="s">
        <v>1670</v>
      </c>
      <c r="W4" s="3702"/>
      <c r="X4" s="1353"/>
      <c r="Y4" s="3717" t="s">
        <v>1672</v>
      </c>
      <c r="Z4" s="3718"/>
      <c r="AA4" s="3704" t="s">
        <v>1668</v>
      </c>
      <c r="AB4" s="3704" t="s">
        <v>1669</v>
      </c>
      <c r="AC4" s="3704" t="s">
        <v>1670</v>
      </c>
    </row>
    <row r="5" spans="1:29" ht="15">
      <c r="A5" s="357"/>
      <c r="B5" s="358"/>
      <c r="C5" s="3725" t="s">
        <v>1673</v>
      </c>
      <c r="D5" s="3726"/>
      <c r="E5" s="3762" t="s">
        <v>1674</v>
      </c>
      <c r="F5" s="3734"/>
      <c r="G5" s="3725" t="s">
        <v>1675</v>
      </c>
      <c r="H5" s="3726"/>
      <c r="I5" s="3725" t="s">
        <v>1676</v>
      </c>
      <c r="J5" s="3726"/>
      <c r="K5" s="1888"/>
      <c r="L5" s="2712"/>
      <c r="M5" s="2713"/>
      <c r="N5" s="2713"/>
      <c r="O5" s="2713"/>
      <c r="P5" s="3713"/>
      <c r="Q5" s="3714"/>
      <c r="R5" s="3719"/>
      <c r="S5" s="3720"/>
      <c r="T5" s="3719"/>
      <c r="U5" s="3720"/>
      <c r="V5" s="3702"/>
      <c r="W5" s="3702"/>
      <c r="X5" s="1353"/>
      <c r="Y5" s="3719"/>
      <c r="Z5" s="3720"/>
      <c r="AA5" s="3705"/>
      <c r="AB5" s="3705"/>
      <c r="AC5" s="3705"/>
    </row>
    <row r="6" spans="1:29" ht="15.75" thickBot="1">
      <c r="A6" s="359"/>
      <c r="B6" s="360"/>
      <c r="C6" s="3730" t="s">
        <v>1677</v>
      </c>
      <c r="D6" s="3724"/>
      <c r="E6" s="3761" t="s">
        <v>1677</v>
      </c>
      <c r="F6" s="3732"/>
      <c r="G6" s="3730" t="s">
        <v>1677</v>
      </c>
      <c r="H6" s="3724"/>
      <c r="I6" s="3730" t="s">
        <v>1677</v>
      </c>
      <c r="J6" s="3724"/>
      <c r="K6" s="1888" t="s">
        <v>1678</v>
      </c>
      <c r="L6" s="2712"/>
      <c r="M6" s="2713"/>
      <c r="N6" s="2713"/>
      <c r="O6" s="2713"/>
      <c r="P6" s="3715"/>
      <c r="Q6" s="3716"/>
      <c r="R6" s="3719"/>
      <c r="S6" s="3720"/>
      <c r="T6" s="3721"/>
      <c r="U6" s="3722"/>
      <c r="V6" s="3702"/>
      <c r="W6" s="3702"/>
      <c r="X6" s="1353"/>
      <c r="Y6" s="3721"/>
      <c r="Z6" s="3722"/>
      <c r="AA6" s="3706"/>
      <c r="AB6" s="3706"/>
      <c r="AC6" s="3706"/>
    </row>
    <row r="7" spans="1:29" s="107" customFormat="1" ht="15.75" thickBot="1">
      <c r="A7" s="361" t="s">
        <v>1679</v>
      </c>
      <c r="B7" s="362"/>
      <c r="C7" s="363">
        <f>'数据-取费表'!B2</f>
        <v>45512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27" t="s">
        <v>1680</v>
      </c>
      <c r="Q7" s="3729"/>
      <c r="R7" s="700" t="s">
        <v>20</v>
      </c>
      <c r="S7" s="701">
        <f t="shared" ref="S7:S15" si="0">F7</f>
        <v>0</v>
      </c>
      <c r="T7" s="700" t="s">
        <v>20</v>
      </c>
      <c r="U7" s="701">
        <f t="shared" ref="U7:U15" si="1">H7</f>
        <v>0</v>
      </c>
      <c r="V7" s="700" t="s">
        <v>20</v>
      </c>
      <c r="W7" s="701">
        <f t="shared" ref="W7:W15" si="2">J7</f>
        <v>0</v>
      </c>
      <c r="X7" s="702"/>
      <c r="Y7" s="3727" t="s">
        <v>1680</v>
      </c>
      <c r="Z7" s="3728"/>
      <c r="AA7" s="703" t="e">
        <f>D7/F7</f>
        <v>#DIV/0!</v>
      </c>
      <c r="AB7" s="703" t="e">
        <f>D7/H7</f>
        <v>#DIV/0!</v>
      </c>
      <c r="AC7" s="703"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27" t="s">
        <v>1683</v>
      </c>
      <c r="Q8" s="3728"/>
      <c r="R8" s="700" t="s">
        <v>20</v>
      </c>
      <c r="S8" s="701">
        <f t="shared" si="0"/>
        <v>100</v>
      </c>
      <c r="T8" s="700" t="s">
        <v>20</v>
      </c>
      <c r="U8" s="701">
        <f t="shared" si="1"/>
        <v>100</v>
      </c>
      <c r="V8" s="700" t="s">
        <v>20</v>
      </c>
      <c r="W8" s="701">
        <f t="shared" si="2"/>
        <v>100</v>
      </c>
      <c r="X8" s="702"/>
      <c r="Y8" s="3727" t="s">
        <v>1683</v>
      </c>
      <c r="Z8" s="3728"/>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03"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9"/>
      <c r="L10" s="2716"/>
      <c r="M10" s="2717"/>
      <c r="N10" s="2717"/>
      <c r="O10" s="2717"/>
      <c r="P10" s="3703"/>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3"/>
      <c r="Q11" s="1341" t="str">
        <f t="shared" si="6"/>
        <v>容积率</v>
      </c>
      <c r="R11" s="700" t="s">
        <v>18</v>
      </c>
      <c r="S11" s="701" t="e">
        <f t="shared" si="0"/>
        <v>#N/A</v>
      </c>
      <c r="T11" s="700" t="s">
        <v>18</v>
      </c>
      <c r="U11" s="701" t="e">
        <f t="shared" si="1"/>
        <v>#N/A</v>
      </c>
      <c r="V11" s="700" t="s">
        <v>18</v>
      </c>
      <c r="W11" s="701" t="e">
        <f t="shared" si="2"/>
        <v>#N/A</v>
      </c>
      <c r="X11" s="702"/>
      <c r="Y11" s="3592"/>
      <c r="Z11" s="52"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03"/>
      <c r="Q12" s="1341">
        <f t="shared" si="6"/>
        <v>111</v>
      </c>
      <c r="R12" s="700" t="s">
        <v>18</v>
      </c>
      <c r="S12" s="701">
        <f t="shared" si="0"/>
        <v>100</v>
      </c>
      <c r="T12" s="700" t="s">
        <v>18</v>
      </c>
      <c r="U12" s="701">
        <f t="shared" si="1"/>
        <v>100</v>
      </c>
      <c r="V12" s="700" t="s">
        <v>18</v>
      </c>
      <c r="W12" s="701">
        <f t="shared" si="2"/>
        <v>100</v>
      </c>
      <c r="X12" s="702"/>
      <c r="Y12" s="3592"/>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03"/>
      <c r="Q13" s="1341">
        <f t="shared" si="6"/>
        <v>111</v>
      </c>
      <c r="R13" s="700" t="s">
        <v>18</v>
      </c>
      <c r="S13" s="701">
        <f t="shared" si="0"/>
        <v>100</v>
      </c>
      <c r="T13" s="700" t="s">
        <v>18</v>
      </c>
      <c r="U13" s="701">
        <f t="shared" si="1"/>
        <v>100</v>
      </c>
      <c r="V13" s="700" t="s">
        <v>18</v>
      </c>
      <c r="W13" s="701">
        <f t="shared" si="2"/>
        <v>100</v>
      </c>
      <c r="X13" s="702"/>
      <c r="Y13" s="3592"/>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03"/>
      <c r="Q14" s="1341">
        <f t="shared" si="6"/>
        <v>111</v>
      </c>
      <c r="R14" s="700" t="s">
        <v>18</v>
      </c>
      <c r="S14" s="701">
        <f t="shared" si="0"/>
        <v>100</v>
      </c>
      <c r="T14" s="700" t="s">
        <v>18</v>
      </c>
      <c r="U14" s="701">
        <f t="shared" si="1"/>
        <v>100</v>
      </c>
      <c r="V14" s="700" t="s">
        <v>18</v>
      </c>
      <c r="W14" s="701">
        <f t="shared" si="2"/>
        <v>100</v>
      </c>
      <c r="X14" s="702"/>
      <c r="Y14" s="3592"/>
      <c r="Z14" s="52">
        <f t="shared" si="7"/>
        <v>111</v>
      </c>
      <c r="AA14" s="703">
        <f t="shared" si="3"/>
        <v>1</v>
      </c>
      <c r="AB14" s="703">
        <f t="shared" si="4"/>
        <v>1</v>
      </c>
      <c r="AC14" s="703">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693" t="s">
        <v>1691</v>
      </c>
      <c r="Q15" s="1350" t="str">
        <f t="shared" si="6"/>
        <v>居住社区成熟度</v>
      </c>
      <c r="R15" s="704" t="s">
        <v>18</v>
      </c>
      <c r="S15" s="705">
        <f t="shared" si="0"/>
        <v>100</v>
      </c>
      <c r="T15" s="704" t="s">
        <v>18</v>
      </c>
      <c r="U15" s="705">
        <f t="shared" si="1"/>
        <v>100</v>
      </c>
      <c r="V15" s="704" t="s">
        <v>18</v>
      </c>
      <c r="W15" s="705">
        <f t="shared" si="2"/>
        <v>100</v>
      </c>
      <c r="X15" s="1353"/>
      <c r="Y15" s="369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694"/>
      <c r="Q16" s="1350"/>
      <c r="R16" s="704"/>
      <c r="S16" s="705"/>
      <c r="T16" s="704"/>
      <c r="U16" s="705"/>
      <c r="V16" s="704"/>
      <c r="W16" s="705"/>
      <c r="X16" s="1353"/>
      <c r="Y16" s="369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694"/>
      <c r="Q17" s="1350" t="str">
        <f>B17</f>
        <v>交通便捷度</v>
      </c>
      <c r="R17" s="704" t="s">
        <v>18</v>
      </c>
      <c r="S17" s="705">
        <f>F17</f>
        <v>100</v>
      </c>
      <c r="T17" s="704" t="s">
        <v>18</v>
      </c>
      <c r="U17" s="705">
        <f>H17</f>
        <v>100</v>
      </c>
      <c r="V17" s="704" t="s">
        <v>18</v>
      </c>
      <c r="W17" s="705">
        <f>J17</f>
        <v>100</v>
      </c>
      <c r="X17" s="1353"/>
      <c r="Y17" s="369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694"/>
      <c r="Q18" s="1350"/>
      <c r="R18" s="704"/>
      <c r="S18" s="705"/>
      <c r="T18" s="704"/>
      <c r="U18" s="705"/>
      <c r="V18" s="704"/>
      <c r="W18" s="705"/>
      <c r="X18" s="1353"/>
      <c r="Y18" s="369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694"/>
      <c r="Q19" s="1350" t="str">
        <f>B19</f>
        <v>公共配套设施</v>
      </c>
      <c r="R19" s="704" t="s">
        <v>18</v>
      </c>
      <c r="S19" s="705">
        <f>F19</f>
        <v>100</v>
      </c>
      <c r="T19" s="704" t="s">
        <v>18</v>
      </c>
      <c r="U19" s="705">
        <f>H19</f>
        <v>100</v>
      </c>
      <c r="V19" s="704" t="s">
        <v>18</v>
      </c>
      <c r="W19" s="705">
        <f>J19</f>
        <v>100</v>
      </c>
      <c r="X19" s="1353"/>
      <c r="Y19" s="369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694"/>
      <c r="Q20" s="1350"/>
      <c r="R20" s="704"/>
      <c r="S20" s="705"/>
      <c r="T20" s="704"/>
      <c r="U20" s="705"/>
      <c r="V20" s="704"/>
      <c r="W20" s="705"/>
      <c r="X20" s="1353"/>
      <c r="Y20" s="3696"/>
      <c r="Z20" s="1354"/>
      <c r="AA20" s="1351">
        <v>1</v>
      </c>
      <c r="AB20" s="1351">
        <v>1</v>
      </c>
      <c r="AC20" s="1351">
        <v>1</v>
      </c>
    </row>
    <row r="21" spans="1:29" ht="28.5">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694"/>
      <c r="Q22" s="1350"/>
      <c r="R22" s="704"/>
      <c r="S22" s="705"/>
      <c r="T22" s="704"/>
      <c r="U22" s="705"/>
      <c r="V22" s="704"/>
      <c r="W22" s="705"/>
      <c r="X22" s="1353"/>
      <c r="Y22" s="369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694"/>
      <c r="Q23" s="1350" t="str">
        <f>B23</f>
        <v>自然及人文环境</v>
      </c>
      <c r="R23" s="704" t="s">
        <v>18</v>
      </c>
      <c r="S23" s="705">
        <f>F23</f>
        <v>100</v>
      </c>
      <c r="T23" s="704" t="s">
        <v>18</v>
      </c>
      <c r="U23" s="705">
        <f>H23</f>
        <v>100</v>
      </c>
      <c r="V23" s="704" t="s">
        <v>18</v>
      </c>
      <c r="W23" s="705">
        <f>J23</f>
        <v>100</v>
      </c>
      <c r="X23" s="1353"/>
      <c r="Y23" s="369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694"/>
      <c r="Q24" s="1350"/>
      <c r="R24" s="704"/>
      <c r="S24" s="705"/>
      <c r="T24" s="704"/>
      <c r="U24" s="705"/>
      <c r="V24" s="704"/>
      <c r="W24" s="705"/>
      <c r="X24" s="1353"/>
      <c r="Y24" s="369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69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694"/>
      <c r="Q26" s="1350" t="str">
        <f t="shared" si="11"/>
        <v>朝向</v>
      </c>
      <c r="R26" s="704" t="s">
        <v>18</v>
      </c>
      <c r="S26" s="705">
        <f t="shared" si="12"/>
        <v>100</v>
      </c>
      <c r="T26" s="704" t="s">
        <v>18</v>
      </c>
      <c r="U26" s="705">
        <f t="shared" si="13"/>
        <v>100</v>
      </c>
      <c r="V26" s="704" t="s">
        <v>18</v>
      </c>
      <c r="W26" s="705">
        <f t="shared" si="14"/>
        <v>100</v>
      </c>
      <c r="X26" s="1353"/>
      <c r="Y26" s="3696"/>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694"/>
      <c r="Q27" s="1341">
        <f t="shared" si="11"/>
        <v>111</v>
      </c>
      <c r="R27" s="700" t="s">
        <v>18</v>
      </c>
      <c r="S27" s="701">
        <f t="shared" si="12"/>
        <v>100</v>
      </c>
      <c r="T27" s="700" t="s">
        <v>18</v>
      </c>
      <c r="U27" s="701">
        <f t="shared" si="13"/>
        <v>100</v>
      </c>
      <c r="V27" s="700" t="s">
        <v>18</v>
      </c>
      <c r="W27" s="701">
        <f t="shared" si="14"/>
        <v>100</v>
      </c>
      <c r="X27" s="702"/>
      <c r="Y27" s="3696"/>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694"/>
      <c r="Q28" s="1350">
        <f t="shared" si="11"/>
        <v>111</v>
      </c>
      <c r="R28" s="704" t="s">
        <v>18</v>
      </c>
      <c r="S28" s="705">
        <f t="shared" si="12"/>
        <v>100</v>
      </c>
      <c r="T28" s="704" t="s">
        <v>18</v>
      </c>
      <c r="U28" s="705">
        <f t="shared" si="13"/>
        <v>100</v>
      </c>
      <c r="V28" s="704" t="s">
        <v>18</v>
      </c>
      <c r="W28" s="705">
        <f t="shared" si="14"/>
        <v>100</v>
      </c>
      <c r="X28" s="1353"/>
      <c r="Y28" s="3696"/>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694"/>
      <c r="Q29" s="1350">
        <f t="shared" si="11"/>
        <v>111</v>
      </c>
      <c r="R29" s="704" t="s">
        <v>18</v>
      </c>
      <c r="S29" s="705">
        <f t="shared" si="12"/>
        <v>100</v>
      </c>
      <c r="T29" s="704" t="s">
        <v>18</v>
      </c>
      <c r="U29" s="705">
        <f t="shared" si="13"/>
        <v>100</v>
      </c>
      <c r="V29" s="704" t="s">
        <v>18</v>
      </c>
      <c r="W29" s="705">
        <f t="shared" si="14"/>
        <v>100</v>
      </c>
      <c r="X29" s="1353"/>
      <c r="Y29" s="3696"/>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694"/>
      <c r="Q30" s="1350">
        <f t="shared" si="11"/>
        <v>111</v>
      </c>
      <c r="R30" s="704" t="s">
        <v>18</v>
      </c>
      <c r="S30" s="705">
        <f t="shared" si="12"/>
        <v>100</v>
      </c>
      <c r="T30" s="704" t="s">
        <v>18</v>
      </c>
      <c r="U30" s="705">
        <f t="shared" si="13"/>
        <v>100</v>
      </c>
      <c r="V30" s="704" t="s">
        <v>18</v>
      </c>
      <c r="W30" s="705">
        <f t="shared" si="14"/>
        <v>100</v>
      </c>
      <c r="X30" s="1353"/>
      <c r="Y30" s="3696"/>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694"/>
      <c r="Q31" s="1350">
        <f t="shared" si="11"/>
        <v>111</v>
      </c>
      <c r="R31" s="704" t="s">
        <v>18</v>
      </c>
      <c r="S31" s="705">
        <f t="shared" si="12"/>
        <v>100</v>
      </c>
      <c r="T31" s="704" t="s">
        <v>18</v>
      </c>
      <c r="U31" s="705">
        <f t="shared" si="13"/>
        <v>100</v>
      </c>
      <c r="V31" s="704" t="s">
        <v>18</v>
      </c>
      <c r="W31" s="705">
        <f t="shared" si="14"/>
        <v>100</v>
      </c>
      <c r="X31" s="1353"/>
      <c r="Y31" s="369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697" t="s">
        <v>1696</v>
      </c>
      <c r="Q32" s="1350" t="str">
        <f t="shared" si="11"/>
        <v>建筑类型</v>
      </c>
      <c r="R32" s="704" t="s">
        <v>18</v>
      </c>
      <c r="S32" s="705">
        <f t="shared" si="12"/>
        <v>100</v>
      </c>
      <c r="T32" s="704" t="s">
        <v>18</v>
      </c>
      <c r="U32" s="705">
        <f t="shared" si="13"/>
        <v>100</v>
      </c>
      <c r="V32" s="704" t="s">
        <v>18</v>
      </c>
      <c r="W32" s="705">
        <f t="shared" si="14"/>
        <v>100</v>
      </c>
      <c r="X32" s="1353"/>
      <c r="Y32" s="370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698"/>
      <c r="Q33" s="706" t="str">
        <f t="shared" si="11"/>
        <v>项目建筑规模</v>
      </c>
      <c r="R33" s="707" t="s">
        <v>18</v>
      </c>
      <c r="S33" s="708" t="e">
        <f t="shared" si="12"/>
        <v>#N/A</v>
      </c>
      <c r="T33" s="707" t="s">
        <v>18</v>
      </c>
      <c r="U33" s="708" t="e">
        <f t="shared" si="13"/>
        <v>#N/A</v>
      </c>
      <c r="V33" s="707" t="s">
        <v>18</v>
      </c>
      <c r="W33" s="708" t="e">
        <f t="shared" si="14"/>
        <v>#N/A</v>
      </c>
      <c r="X33" s="709"/>
      <c r="Y33" s="3700"/>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698"/>
      <c r="Q34" s="1350" t="str">
        <f t="shared" si="11"/>
        <v>建筑结构</v>
      </c>
      <c r="R34" s="704" t="s">
        <v>18</v>
      </c>
      <c r="S34" s="705">
        <f t="shared" si="12"/>
        <v>100</v>
      </c>
      <c r="T34" s="704" t="s">
        <v>18</v>
      </c>
      <c r="U34" s="705">
        <f t="shared" si="13"/>
        <v>100</v>
      </c>
      <c r="V34" s="704" t="s">
        <v>18</v>
      </c>
      <c r="W34" s="705">
        <f t="shared" si="14"/>
        <v>100</v>
      </c>
      <c r="X34" s="1353"/>
      <c r="Y34" s="370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698"/>
      <c r="Q35" s="1350" t="str">
        <f t="shared" si="11"/>
        <v>建筑品质</v>
      </c>
      <c r="R35" s="704" t="s">
        <v>18</v>
      </c>
      <c r="S35" s="705">
        <f t="shared" si="12"/>
        <v>100</v>
      </c>
      <c r="T35" s="704" t="s">
        <v>18</v>
      </c>
      <c r="U35" s="705">
        <f t="shared" si="13"/>
        <v>100</v>
      </c>
      <c r="V35" s="704" t="s">
        <v>18</v>
      </c>
      <c r="W35" s="705">
        <f t="shared" si="14"/>
        <v>100</v>
      </c>
      <c r="X35" s="1353"/>
      <c r="Y35" s="370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698"/>
      <c r="Q36" s="1350" t="str">
        <f t="shared" si="11"/>
        <v>公共部分装修</v>
      </c>
      <c r="R36" s="704" t="s">
        <v>18</v>
      </c>
      <c r="S36" s="705">
        <f t="shared" si="12"/>
        <v>100</v>
      </c>
      <c r="T36" s="704" t="s">
        <v>18</v>
      </c>
      <c r="U36" s="705">
        <f t="shared" si="13"/>
        <v>100</v>
      </c>
      <c r="V36" s="704" t="s">
        <v>18</v>
      </c>
      <c r="W36" s="705">
        <f t="shared" si="14"/>
        <v>100</v>
      </c>
      <c r="X36" s="1353"/>
      <c r="Y36" s="370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698"/>
      <c r="Q37" s="1341" t="str">
        <f t="shared" si="11"/>
        <v>成新度</v>
      </c>
      <c r="R37" s="700" t="s">
        <v>18</v>
      </c>
      <c r="S37" s="701" t="e">
        <f t="shared" si="12"/>
        <v>#N/A</v>
      </c>
      <c r="T37" s="700" t="s">
        <v>18</v>
      </c>
      <c r="U37" s="701" t="e">
        <f t="shared" si="13"/>
        <v>#N/A</v>
      </c>
      <c r="V37" s="700" t="s">
        <v>18</v>
      </c>
      <c r="W37" s="701" t="e">
        <f t="shared" si="14"/>
        <v>#N/A</v>
      </c>
      <c r="X37" s="702"/>
      <c r="Y37" s="3700"/>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698" t="s">
        <v>1696</v>
      </c>
      <c r="Q38" s="1350" t="str">
        <f t="shared" si="11"/>
        <v>物业管理</v>
      </c>
      <c r="R38" s="704" t="s">
        <v>18</v>
      </c>
      <c r="S38" s="705">
        <f t="shared" si="12"/>
        <v>100</v>
      </c>
      <c r="T38" s="704" t="s">
        <v>18</v>
      </c>
      <c r="U38" s="705">
        <f t="shared" si="13"/>
        <v>100</v>
      </c>
      <c r="V38" s="704" t="s">
        <v>18</v>
      </c>
      <c r="W38" s="705">
        <f t="shared" si="14"/>
        <v>100</v>
      </c>
      <c r="X38" s="1353"/>
      <c r="Y38" s="370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698"/>
      <c r="Q39" s="1350" t="str">
        <f t="shared" si="11"/>
        <v>市政基础设施</v>
      </c>
      <c r="R39" s="704" t="s">
        <v>18</v>
      </c>
      <c r="S39" s="705">
        <f t="shared" si="12"/>
        <v>100</v>
      </c>
      <c r="T39" s="704" t="s">
        <v>18</v>
      </c>
      <c r="U39" s="705">
        <f t="shared" si="13"/>
        <v>100</v>
      </c>
      <c r="V39" s="704" t="s">
        <v>18</v>
      </c>
      <c r="W39" s="705">
        <f t="shared" si="14"/>
        <v>100</v>
      </c>
      <c r="X39" s="1353"/>
      <c r="Y39" s="370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698"/>
      <c r="Q40" s="1350" t="str">
        <f t="shared" si="11"/>
        <v>房型</v>
      </c>
      <c r="R40" s="704" t="s">
        <v>18</v>
      </c>
      <c r="S40" s="705">
        <f t="shared" si="12"/>
        <v>100</v>
      </c>
      <c r="T40" s="704" t="s">
        <v>18</v>
      </c>
      <c r="U40" s="705">
        <f t="shared" si="13"/>
        <v>100</v>
      </c>
      <c r="V40" s="704" t="s">
        <v>18</v>
      </c>
      <c r="W40" s="705">
        <f t="shared" si="14"/>
        <v>100</v>
      </c>
      <c r="X40" s="1353"/>
      <c r="Y40" s="370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698"/>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698"/>
      <c r="Q42" s="1350" t="str">
        <f t="shared" si="11"/>
        <v>内部装修</v>
      </c>
      <c r="R42" s="704" t="s">
        <v>18</v>
      </c>
      <c r="S42" s="705">
        <f t="shared" si="12"/>
        <v>100</v>
      </c>
      <c r="T42" s="704" t="s">
        <v>18</v>
      </c>
      <c r="U42" s="705">
        <f t="shared" si="13"/>
        <v>100</v>
      </c>
      <c r="V42" s="704" t="s">
        <v>18</v>
      </c>
      <c r="W42" s="705">
        <f t="shared" si="14"/>
        <v>100</v>
      </c>
      <c r="X42" s="1353"/>
      <c r="Y42" s="370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698"/>
      <c r="Q43" s="1350" t="str">
        <f t="shared" si="11"/>
        <v>内部装修维护情况</v>
      </c>
      <c r="R43" s="704" t="s">
        <v>18</v>
      </c>
      <c r="S43" s="705">
        <f t="shared" si="12"/>
        <v>100</v>
      </c>
      <c r="T43" s="704" t="s">
        <v>18</v>
      </c>
      <c r="U43" s="705">
        <f t="shared" si="13"/>
        <v>100</v>
      </c>
      <c r="V43" s="704" t="s">
        <v>18</v>
      </c>
      <c r="W43" s="705">
        <f t="shared" si="14"/>
        <v>100</v>
      </c>
      <c r="X43" s="1353"/>
      <c r="Y43" s="3700"/>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698"/>
      <c r="Q44" s="1341">
        <f t="shared" si="11"/>
        <v>111</v>
      </c>
      <c r="R44" s="700" t="s">
        <v>18</v>
      </c>
      <c r="S44" s="701">
        <f t="shared" si="12"/>
        <v>100</v>
      </c>
      <c r="T44" s="700" t="s">
        <v>18</v>
      </c>
      <c r="U44" s="701">
        <f t="shared" si="13"/>
        <v>100</v>
      </c>
      <c r="V44" s="700" t="s">
        <v>18</v>
      </c>
      <c r="W44" s="701">
        <f t="shared" si="14"/>
        <v>100</v>
      </c>
      <c r="X44" s="702"/>
      <c r="Y44" s="370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698"/>
      <c r="Q45" s="1350">
        <f t="shared" si="11"/>
        <v>111</v>
      </c>
      <c r="R45" s="704" t="s">
        <v>18</v>
      </c>
      <c r="S45" s="705">
        <f t="shared" si="12"/>
        <v>100</v>
      </c>
      <c r="T45" s="704" t="s">
        <v>18</v>
      </c>
      <c r="U45" s="705">
        <f t="shared" si="13"/>
        <v>100</v>
      </c>
      <c r="V45" s="704" t="s">
        <v>18</v>
      </c>
      <c r="W45" s="705">
        <f t="shared" si="14"/>
        <v>100</v>
      </c>
      <c r="X45" s="1353"/>
      <c r="Y45" s="370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699"/>
      <c r="Q46" s="1350">
        <f t="shared" si="11"/>
        <v>111</v>
      </c>
      <c r="R46" s="704" t="s">
        <v>17</v>
      </c>
      <c r="S46" s="705">
        <f t="shared" si="12"/>
        <v>100</v>
      </c>
      <c r="T46" s="704" t="s">
        <v>17</v>
      </c>
      <c r="U46" s="705">
        <f t="shared" si="13"/>
        <v>100</v>
      </c>
      <c r="V46" s="704" t="s">
        <v>17</v>
      </c>
      <c r="W46" s="705">
        <f t="shared" si="14"/>
        <v>100</v>
      </c>
      <c r="X46" s="1353"/>
      <c r="Y46" s="370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1"/>
      <c r="M47" s="2722"/>
      <c r="N47" s="2713"/>
      <c r="O47" s="2722"/>
      <c r="P47" s="3688" t="str">
        <f>A47</f>
        <v>成交单价（元/平方米）</v>
      </c>
      <c r="Q47" s="3688"/>
      <c r="R47" s="3689">
        <f>E47</f>
        <v>0</v>
      </c>
      <c r="S47" s="3689"/>
      <c r="T47" s="3689">
        <f>G47</f>
        <v>0</v>
      </c>
      <c r="U47" s="3689"/>
      <c r="V47" s="3689">
        <f>I47</f>
        <v>0</v>
      </c>
      <c r="W47" s="3689"/>
      <c r="X47" s="689"/>
      <c r="Y47" s="711"/>
      <c r="Z47" s="689"/>
      <c r="AA47" s="689"/>
      <c r="AB47" s="689"/>
      <c r="AC47" s="689"/>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1"/>
      <c r="M48" s="2722"/>
      <c r="N48" s="2722"/>
      <c r="O48" s="2722"/>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9"/>
      <c r="Y48" s="689"/>
      <c r="Z48" s="689"/>
      <c r="AA48" s="689"/>
      <c r="AB48" s="689"/>
      <c r="AC48" s="689"/>
    </row>
    <row r="49" spans="1:29" ht="15.75" thickBot="1">
      <c r="A49" s="440" t="s">
        <v>1710</v>
      </c>
      <c r="B49" s="441"/>
      <c r="C49" s="1160" t="e">
        <f>R49</f>
        <v>#DIV/0!</v>
      </c>
      <c r="D49" s="1161"/>
      <c r="E49" s="1161"/>
      <c r="F49" s="1161"/>
      <c r="G49" s="1161"/>
      <c r="H49" s="1161"/>
      <c r="I49" s="1161"/>
      <c r="J49" s="1161"/>
      <c r="K49" s="1913"/>
      <c r="L49" s="2721"/>
      <c r="M49" s="2722"/>
      <c r="N49" s="2722"/>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2"/>
    </row>
    <row r="58" spans="1:29" s="456" customFormat="1" ht="15">
      <c r="A58" s="453" t="s">
        <v>1715</v>
      </c>
      <c r="B58" s="454"/>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1"/>
      <c r="O61" s="931"/>
      <c r="P61" s="1919"/>
      <c r="Q61" s="452"/>
    </row>
    <row r="62" spans="1:29" s="107"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1719</v>
      </c>
      <c r="B63" s="476" t="s">
        <v>1685</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1688</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75" thickTop="1">
      <c r="A86" s="527"/>
      <c r="B86" s="486" t="s">
        <v>1734</v>
      </c>
      <c r="C86" s="502"/>
      <c r="D86" s="502"/>
      <c r="E86" s="502"/>
      <c r="F86" s="502"/>
      <c r="G86" s="502"/>
      <c r="H86" s="502"/>
      <c r="I86" s="502"/>
      <c r="J86" s="502"/>
      <c r="K86" s="502"/>
      <c r="L86" s="528"/>
      <c r="M86" s="529"/>
      <c r="N86" s="931"/>
      <c r="O86" s="931"/>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75" thickTop="1">
      <c r="A88" s="527"/>
      <c r="B88" s="486" t="s">
        <v>1735</v>
      </c>
      <c r="C88" s="502"/>
      <c r="D88" s="502"/>
      <c r="E88" s="502"/>
      <c r="F88" s="1925"/>
      <c r="G88" s="502"/>
      <c r="H88" s="502"/>
      <c r="I88" s="502"/>
      <c r="J88" s="502"/>
      <c r="K88" s="502"/>
      <c r="L88" s="502"/>
      <c r="M88" s="529"/>
      <c r="N88" s="931"/>
      <c r="O88" s="931"/>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1694</v>
      </c>
      <c r="B100" s="476" t="s">
        <v>1736</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4796.0100000000011</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07" t="s">
        <v>1770</v>
      </c>
      <c r="D4" s="3708"/>
      <c r="E4" s="3709" t="s">
        <v>1771</v>
      </c>
      <c r="F4" s="3710"/>
      <c r="G4" s="3707" t="s">
        <v>1772</v>
      </c>
      <c r="H4" s="3708"/>
      <c r="I4" s="3707" t="s">
        <v>1773</v>
      </c>
      <c r="J4" s="3708"/>
      <c r="K4" s="558" t="s">
        <v>1774</v>
      </c>
      <c r="L4" s="2712"/>
      <c r="M4" s="2713"/>
      <c r="N4" s="2713"/>
      <c r="O4" s="2713"/>
      <c r="P4" s="3769" t="s">
        <v>1775</v>
      </c>
      <c r="Q4" s="3770"/>
      <c r="R4" s="3773" t="s">
        <v>1771</v>
      </c>
      <c r="S4" s="3774"/>
      <c r="T4" s="3773" t="s">
        <v>1772</v>
      </c>
      <c r="U4" s="3774"/>
      <c r="V4" s="3775" t="s">
        <v>1773</v>
      </c>
      <c r="W4" s="3775"/>
      <c r="X4" s="1956"/>
      <c r="Y4" s="3773" t="s">
        <v>1775</v>
      </c>
      <c r="Z4" s="3774"/>
      <c r="AA4" s="3777" t="s">
        <v>1771</v>
      </c>
      <c r="AB4" s="3777" t="s">
        <v>1772</v>
      </c>
      <c r="AC4" s="3766" t="s">
        <v>1773</v>
      </c>
    </row>
    <row r="5" spans="1:29" ht="15">
      <c r="A5" s="357"/>
      <c r="B5" s="358"/>
      <c r="C5" s="3725" t="s">
        <v>1673</v>
      </c>
      <c r="D5" s="3726"/>
      <c r="E5" s="3762" t="s">
        <v>1674</v>
      </c>
      <c r="F5" s="3734"/>
      <c r="G5" s="3725" t="s">
        <v>1675</v>
      </c>
      <c r="H5" s="3726"/>
      <c r="I5" s="3725" t="s">
        <v>1676</v>
      </c>
      <c r="J5" s="3726"/>
      <c r="K5" s="558"/>
      <c r="L5" s="2712"/>
      <c r="M5" s="2713"/>
      <c r="N5" s="2713"/>
      <c r="O5" s="2713"/>
      <c r="P5" s="3771"/>
      <c r="Q5" s="3714"/>
      <c r="R5" s="3719"/>
      <c r="S5" s="3720"/>
      <c r="T5" s="3719"/>
      <c r="U5" s="3720"/>
      <c r="V5" s="3702"/>
      <c r="W5" s="3702"/>
      <c r="X5" s="1353"/>
      <c r="Y5" s="3719"/>
      <c r="Z5" s="3720"/>
      <c r="AA5" s="3705"/>
      <c r="AB5" s="3705"/>
      <c r="AC5" s="3767"/>
    </row>
    <row r="6" spans="1:29" ht="15.75" thickBot="1">
      <c r="A6" s="359"/>
      <c r="B6" s="360"/>
      <c r="C6" s="3730" t="s">
        <v>1677</v>
      </c>
      <c r="D6" s="3724"/>
      <c r="E6" s="3761" t="s">
        <v>1677</v>
      </c>
      <c r="F6" s="3732"/>
      <c r="G6" s="3730" t="s">
        <v>1677</v>
      </c>
      <c r="H6" s="3724"/>
      <c r="I6" s="3730" t="s">
        <v>1677</v>
      </c>
      <c r="J6" s="3724"/>
      <c r="K6" s="558" t="s">
        <v>1678</v>
      </c>
      <c r="L6" s="2712"/>
      <c r="M6" s="2713"/>
      <c r="N6" s="2713"/>
      <c r="O6" s="2713"/>
      <c r="P6" s="3772"/>
      <c r="Q6" s="3716"/>
      <c r="R6" s="3719"/>
      <c r="S6" s="3720"/>
      <c r="T6" s="3721"/>
      <c r="U6" s="3722"/>
      <c r="V6" s="3702"/>
      <c r="W6" s="3702"/>
      <c r="X6" s="1353"/>
      <c r="Y6" s="3721"/>
      <c r="Z6" s="3722"/>
      <c r="AA6" s="3706"/>
      <c r="AB6" s="3706"/>
      <c r="AC6" s="3768"/>
    </row>
    <row r="7" spans="1:29" s="107" customFormat="1" ht="15.75" thickBot="1">
      <c r="A7" s="361" t="s">
        <v>1679</v>
      </c>
      <c r="B7" s="362"/>
      <c r="C7" s="363">
        <f>'数据-取费表'!B2</f>
        <v>45512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76"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76" t="s">
        <v>1683</v>
      </c>
      <c r="Q8" s="3728"/>
      <c r="R8" s="700" t="s">
        <v>14</v>
      </c>
      <c r="S8" s="701">
        <f t="shared" si="0"/>
        <v>100</v>
      </c>
      <c r="T8" s="700" t="s">
        <v>14</v>
      </c>
      <c r="U8" s="701">
        <f t="shared" si="1"/>
        <v>100</v>
      </c>
      <c r="V8" s="700" t="s">
        <v>14</v>
      </c>
      <c r="W8" s="701">
        <f t="shared" si="2"/>
        <v>100</v>
      </c>
      <c r="X8" s="702"/>
      <c r="Y8" s="3727" t="s">
        <v>1683</v>
      </c>
      <c r="Z8" s="3728"/>
      <c r="AA8" s="703">
        <f t="shared" ref="AA8:AA47" si="3">D8/F8</f>
        <v>1</v>
      </c>
      <c r="AB8" s="703">
        <f t="shared" ref="AB8:AB47" si="4">D8/H8</f>
        <v>1</v>
      </c>
      <c r="AC8" s="1957">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3"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1957">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03"/>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3"/>
      <c r="Q11" s="1341"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03"/>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03"/>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03"/>
      <c r="Q14" s="1341">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693" t="s">
        <v>1691</v>
      </c>
      <c r="Q15" s="1350" t="str">
        <f t="shared" si="6"/>
        <v>办公集聚程度</v>
      </c>
      <c r="R15" s="704" t="s">
        <v>14</v>
      </c>
      <c r="S15" s="705">
        <f t="shared" si="0"/>
        <v>100</v>
      </c>
      <c r="T15" s="704" t="s">
        <v>14</v>
      </c>
      <c r="U15" s="705">
        <f t="shared" si="1"/>
        <v>100</v>
      </c>
      <c r="V15" s="704" t="s">
        <v>14</v>
      </c>
      <c r="W15" s="705">
        <f t="shared" si="2"/>
        <v>100</v>
      </c>
      <c r="X15" s="1353"/>
      <c r="Y15" s="3695"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694"/>
      <c r="Q16" s="1350"/>
      <c r="R16" s="704"/>
      <c r="S16" s="705"/>
      <c r="T16" s="704"/>
      <c r="U16" s="705"/>
      <c r="V16" s="704"/>
      <c r="W16" s="705"/>
      <c r="X16" s="1353"/>
      <c r="Y16" s="369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694"/>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694"/>
      <c r="Q18" s="1350"/>
      <c r="R18" s="704"/>
      <c r="S18" s="705"/>
      <c r="T18" s="704"/>
      <c r="U18" s="705"/>
      <c r="V18" s="704"/>
      <c r="W18" s="705"/>
      <c r="X18" s="1353"/>
      <c r="Y18" s="369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694"/>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694"/>
      <c r="Q20" s="1350"/>
      <c r="R20" s="704"/>
      <c r="S20" s="705"/>
      <c r="T20" s="704"/>
      <c r="U20" s="705"/>
      <c r="V20" s="704"/>
      <c r="W20" s="705"/>
      <c r="X20" s="1353"/>
      <c r="Y20" s="369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694"/>
      <c r="Q22" s="1350"/>
      <c r="R22" s="704"/>
      <c r="S22" s="705"/>
      <c r="T22" s="704"/>
      <c r="U22" s="705"/>
      <c r="V22" s="704"/>
      <c r="W22" s="705"/>
      <c r="X22" s="1353"/>
      <c r="Y22" s="369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694"/>
      <c r="Q23" s="1350" t="str">
        <f>B23</f>
        <v>环境质量</v>
      </c>
      <c r="R23" s="704" t="s">
        <v>14</v>
      </c>
      <c r="S23" s="705">
        <f>F23</f>
        <v>100</v>
      </c>
      <c r="T23" s="704" t="s">
        <v>14</v>
      </c>
      <c r="U23" s="705">
        <f>H23</f>
        <v>100</v>
      </c>
      <c r="V23" s="704" t="s">
        <v>14</v>
      </c>
      <c r="W23" s="705">
        <f>J23</f>
        <v>100</v>
      </c>
      <c r="X23" s="1353"/>
      <c r="Y23" s="3696"/>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694"/>
      <c r="Q24" s="1350"/>
      <c r="R24" s="704"/>
      <c r="S24" s="705"/>
      <c r="T24" s="704"/>
      <c r="U24" s="705"/>
      <c r="V24" s="704"/>
      <c r="W24" s="705"/>
      <c r="X24" s="1353"/>
      <c r="Y24" s="369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694"/>
      <c r="Q25" s="1350" t="str">
        <f>B25</f>
        <v>毗邻道路的类型与等级</v>
      </c>
      <c r="R25" s="704" t="s">
        <v>14</v>
      </c>
      <c r="S25" s="705">
        <f>F25</f>
        <v>100</v>
      </c>
      <c r="T25" s="704" t="s">
        <v>14</v>
      </c>
      <c r="U25" s="705">
        <f>H25</f>
        <v>100</v>
      </c>
      <c r="V25" s="704" t="s">
        <v>14</v>
      </c>
      <c r="W25" s="705">
        <f>J25</f>
        <v>100</v>
      </c>
      <c r="X25" s="1353"/>
      <c r="Y25" s="369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694"/>
      <c r="Q26" s="1350"/>
      <c r="R26" s="704"/>
      <c r="S26" s="705"/>
      <c r="T26" s="704"/>
      <c r="U26" s="705"/>
      <c r="V26" s="704"/>
      <c r="W26" s="705"/>
      <c r="X26" s="1353"/>
      <c r="Y26" s="3696"/>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694"/>
      <c r="Q27" s="1350" t="str">
        <f t="shared" ref="Q27:Q47" si="11">B27</f>
        <v>楼层</v>
      </c>
      <c r="R27" s="704" t="s">
        <v>14</v>
      </c>
      <c r="S27" s="705">
        <f>F27</f>
        <v>100</v>
      </c>
      <c r="T27" s="704" t="s">
        <v>14</v>
      </c>
      <c r="U27" s="705">
        <f>H27</f>
        <v>100</v>
      </c>
      <c r="V27" s="704" t="s">
        <v>14</v>
      </c>
      <c r="W27" s="705">
        <f>J27</f>
        <v>100</v>
      </c>
      <c r="X27" s="1353"/>
      <c r="Y27" s="369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694"/>
      <c r="Q28" s="1341" t="str">
        <f t="shared" si="11"/>
        <v>朝向</v>
      </c>
      <c r="R28" s="700" t="s">
        <v>14</v>
      </c>
      <c r="S28" s="701">
        <f>F28</f>
        <v>100</v>
      </c>
      <c r="T28" s="700" t="s">
        <v>14</v>
      </c>
      <c r="U28" s="701">
        <f>H28</f>
        <v>100</v>
      </c>
      <c r="V28" s="700" t="s">
        <v>14</v>
      </c>
      <c r="W28" s="701">
        <f>J28</f>
        <v>100</v>
      </c>
      <c r="X28" s="702"/>
      <c r="Y28" s="369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694"/>
      <c r="Q29" s="1350">
        <f t="shared" si="11"/>
        <v>111</v>
      </c>
      <c r="R29" s="704" t="s">
        <v>14</v>
      </c>
      <c r="S29" s="705">
        <f t="shared" ref="S29:S47" si="12">F29</f>
        <v>100</v>
      </c>
      <c r="T29" s="704" t="s">
        <v>14</v>
      </c>
      <c r="U29" s="705">
        <f t="shared" ref="U29:U47" si="13">H29</f>
        <v>100</v>
      </c>
      <c r="V29" s="704" t="s">
        <v>14</v>
      </c>
      <c r="W29" s="705">
        <f t="shared" ref="W29:W47" si="14">J29</f>
        <v>100</v>
      </c>
      <c r="X29" s="1353"/>
      <c r="Y29" s="369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694"/>
      <c r="Q30" s="1350">
        <f t="shared" si="11"/>
        <v>111</v>
      </c>
      <c r="R30" s="704" t="s">
        <v>14</v>
      </c>
      <c r="S30" s="705">
        <f t="shared" si="12"/>
        <v>100</v>
      </c>
      <c r="T30" s="704" t="s">
        <v>14</v>
      </c>
      <c r="U30" s="705">
        <f t="shared" si="13"/>
        <v>100</v>
      </c>
      <c r="V30" s="704" t="s">
        <v>14</v>
      </c>
      <c r="W30" s="705">
        <f t="shared" si="14"/>
        <v>100</v>
      </c>
      <c r="X30" s="1353"/>
      <c r="Y30" s="369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694"/>
      <c r="Q31" s="1350">
        <f t="shared" si="11"/>
        <v>111</v>
      </c>
      <c r="R31" s="704" t="s">
        <v>14</v>
      </c>
      <c r="S31" s="705">
        <f t="shared" si="12"/>
        <v>100</v>
      </c>
      <c r="T31" s="704" t="s">
        <v>14</v>
      </c>
      <c r="U31" s="705">
        <f t="shared" si="13"/>
        <v>100</v>
      </c>
      <c r="V31" s="704" t="s">
        <v>14</v>
      </c>
      <c r="W31" s="705">
        <f t="shared" si="14"/>
        <v>100</v>
      </c>
      <c r="X31" s="1353"/>
      <c r="Y31" s="369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694"/>
      <c r="Q32" s="1350">
        <f t="shared" si="11"/>
        <v>111</v>
      </c>
      <c r="R32" s="704" t="s">
        <v>14</v>
      </c>
      <c r="S32" s="705">
        <f t="shared" si="12"/>
        <v>100</v>
      </c>
      <c r="T32" s="704" t="s">
        <v>14</v>
      </c>
      <c r="U32" s="705">
        <f t="shared" si="13"/>
        <v>100</v>
      </c>
      <c r="V32" s="704" t="s">
        <v>14</v>
      </c>
      <c r="W32" s="705">
        <f t="shared" si="14"/>
        <v>100</v>
      </c>
      <c r="X32" s="1353"/>
      <c r="Y32" s="3696"/>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697" t="s">
        <v>1696</v>
      </c>
      <c r="Q33" s="1350" t="str">
        <f t="shared" si="11"/>
        <v>建筑类型</v>
      </c>
      <c r="R33" s="704" t="s">
        <v>14</v>
      </c>
      <c r="S33" s="705">
        <f t="shared" si="12"/>
        <v>100</v>
      </c>
      <c r="T33" s="704" t="s">
        <v>14</v>
      </c>
      <c r="U33" s="705">
        <f t="shared" si="13"/>
        <v>100</v>
      </c>
      <c r="V33" s="704" t="s">
        <v>14</v>
      </c>
      <c r="W33" s="705">
        <f t="shared" si="14"/>
        <v>100</v>
      </c>
      <c r="X33" s="1353"/>
      <c r="Y33" s="3700"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698"/>
      <c r="Q34" s="706" t="str">
        <f t="shared" si="11"/>
        <v>项目建筑规模</v>
      </c>
      <c r="R34" s="707" t="s">
        <v>14</v>
      </c>
      <c r="S34" s="708" t="e">
        <f t="shared" si="12"/>
        <v>#N/A</v>
      </c>
      <c r="T34" s="707" t="s">
        <v>14</v>
      </c>
      <c r="U34" s="708" t="e">
        <f t="shared" si="13"/>
        <v>#N/A</v>
      </c>
      <c r="V34" s="707" t="s">
        <v>14</v>
      </c>
      <c r="W34" s="708" t="e">
        <f t="shared" si="14"/>
        <v>#N/A</v>
      </c>
      <c r="X34" s="709"/>
      <c r="Y34" s="3700"/>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698"/>
      <c r="Q35" s="1350" t="str">
        <f t="shared" si="11"/>
        <v>建筑结构</v>
      </c>
      <c r="R35" s="704" t="s">
        <v>14</v>
      </c>
      <c r="S35" s="705">
        <f t="shared" si="12"/>
        <v>100</v>
      </c>
      <c r="T35" s="704" t="s">
        <v>14</v>
      </c>
      <c r="U35" s="705">
        <f t="shared" si="13"/>
        <v>100</v>
      </c>
      <c r="V35" s="704" t="s">
        <v>14</v>
      </c>
      <c r="W35" s="705">
        <f t="shared" si="14"/>
        <v>100</v>
      </c>
      <c r="X35" s="1353"/>
      <c r="Y35" s="3700"/>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698"/>
      <c r="Q36" s="1350" t="str">
        <f t="shared" si="11"/>
        <v>公共部分装修</v>
      </c>
      <c r="R36" s="704" t="s">
        <v>14</v>
      </c>
      <c r="S36" s="705">
        <f t="shared" si="12"/>
        <v>100</v>
      </c>
      <c r="T36" s="704" t="s">
        <v>14</v>
      </c>
      <c r="U36" s="705">
        <f t="shared" si="13"/>
        <v>100</v>
      </c>
      <c r="V36" s="704" t="s">
        <v>14</v>
      </c>
      <c r="W36" s="705">
        <f t="shared" si="14"/>
        <v>100</v>
      </c>
      <c r="X36" s="1353"/>
      <c r="Y36" s="3700"/>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698"/>
      <c r="Q37" s="1350" t="str">
        <f t="shared" si="11"/>
        <v>成新度</v>
      </c>
      <c r="R37" s="704" t="s">
        <v>14</v>
      </c>
      <c r="S37" s="705" t="e">
        <f t="shared" si="12"/>
        <v>#N/A</v>
      </c>
      <c r="T37" s="704" t="s">
        <v>14</v>
      </c>
      <c r="U37" s="705" t="e">
        <f t="shared" si="13"/>
        <v>#N/A</v>
      </c>
      <c r="V37" s="704" t="s">
        <v>14</v>
      </c>
      <c r="W37" s="705" t="e">
        <f t="shared" si="14"/>
        <v>#N/A</v>
      </c>
      <c r="X37" s="1353"/>
      <c r="Y37" s="3700"/>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698"/>
      <c r="Q38" s="1341"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698" t="s">
        <v>1696</v>
      </c>
      <c r="Q39" s="1350" t="str">
        <f t="shared" si="11"/>
        <v>物业管理</v>
      </c>
      <c r="R39" s="704" t="s">
        <v>14</v>
      </c>
      <c r="S39" s="705">
        <f t="shared" si="12"/>
        <v>100</v>
      </c>
      <c r="T39" s="704" t="s">
        <v>14</v>
      </c>
      <c r="U39" s="705">
        <f t="shared" si="13"/>
        <v>100</v>
      </c>
      <c r="V39" s="704" t="s">
        <v>14</v>
      </c>
      <c r="W39" s="705">
        <f t="shared" si="14"/>
        <v>100</v>
      </c>
      <c r="X39" s="1353"/>
      <c r="Y39" s="3700"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698"/>
      <c r="Q40" s="1350" t="str">
        <f t="shared" si="11"/>
        <v>市政基础设施</v>
      </c>
      <c r="R40" s="704" t="s">
        <v>14</v>
      </c>
      <c r="S40" s="705">
        <f t="shared" si="12"/>
        <v>100</v>
      </c>
      <c r="T40" s="704" t="s">
        <v>14</v>
      </c>
      <c r="U40" s="705">
        <f t="shared" si="13"/>
        <v>100</v>
      </c>
      <c r="V40" s="704" t="s">
        <v>14</v>
      </c>
      <c r="W40" s="705">
        <f t="shared" si="14"/>
        <v>100</v>
      </c>
      <c r="X40" s="1353"/>
      <c r="Y40" s="3700"/>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698"/>
      <c r="Q41" s="1350" t="str">
        <f t="shared" si="11"/>
        <v>层高</v>
      </c>
      <c r="R41" s="704" t="s">
        <v>14</v>
      </c>
      <c r="S41" s="705">
        <f t="shared" si="12"/>
        <v>100</v>
      </c>
      <c r="T41" s="704" t="s">
        <v>14</v>
      </c>
      <c r="U41" s="705">
        <f t="shared" si="13"/>
        <v>100</v>
      </c>
      <c r="V41" s="704" t="s">
        <v>14</v>
      </c>
      <c r="W41" s="705">
        <f t="shared" si="14"/>
        <v>100</v>
      </c>
      <c r="X41" s="1353"/>
      <c r="Y41" s="3700"/>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698"/>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698"/>
      <c r="Q43" s="1350" t="str">
        <f t="shared" si="11"/>
        <v>内部装修</v>
      </c>
      <c r="R43" s="704" t="s">
        <v>14</v>
      </c>
      <c r="S43" s="705">
        <f t="shared" si="12"/>
        <v>100</v>
      </c>
      <c r="T43" s="704" t="s">
        <v>14</v>
      </c>
      <c r="U43" s="705">
        <f t="shared" si="13"/>
        <v>100</v>
      </c>
      <c r="V43" s="704" t="s">
        <v>14</v>
      </c>
      <c r="W43" s="705">
        <f t="shared" si="14"/>
        <v>100</v>
      </c>
      <c r="X43" s="1353"/>
      <c r="Y43" s="3700"/>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698"/>
      <c r="Q44" s="1350" t="str">
        <f t="shared" si="11"/>
        <v>内部装修维护情况</v>
      </c>
      <c r="R44" s="704" t="s">
        <v>14</v>
      </c>
      <c r="S44" s="705">
        <f t="shared" si="12"/>
        <v>100</v>
      </c>
      <c r="T44" s="704" t="s">
        <v>14</v>
      </c>
      <c r="U44" s="705">
        <f t="shared" si="13"/>
        <v>100</v>
      </c>
      <c r="V44" s="704" t="s">
        <v>14</v>
      </c>
      <c r="W44" s="705">
        <f t="shared" si="14"/>
        <v>100</v>
      </c>
      <c r="X44" s="1353"/>
      <c r="Y44" s="3700"/>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698"/>
      <c r="Q45" s="1341">
        <f t="shared" si="11"/>
        <v>111</v>
      </c>
      <c r="R45" s="700" t="s">
        <v>14</v>
      </c>
      <c r="S45" s="701">
        <f t="shared" si="12"/>
        <v>100</v>
      </c>
      <c r="T45" s="700" t="s">
        <v>14</v>
      </c>
      <c r="U45" s="701">
        <f t="shared" si="13"/>
        <v>100</v>
      </c>
      <c r="V45" s="700" t="s">
        <v>14</v>
      </c>
      <c r="W45" s="701">
        <f t="shared" si="14"/>
        <v>100</v>
      </c>
      <c r="X45" s="702"/>
      <c r="Y45" s="3700"/>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698"/>
      <c r="Q46" s="1350">
        <f t="shared" si="11"/>
        <v>111</v>
      </c>
      <c r="R46" s="704" t="s">
        <v>14</v>
      </c>
      <c r="S46" s="705">
        <f t="shared" si="12"/>
        <v>100</v>
      </c>
      <c r="T46" s="704" t="s">
        <v>14</v>
      </c>
      <c r="U46" s="705">
        <f t="shared" si="13"/>
        <v>100</v>
      </c>
      <c r="V46" s="704" t="s">
        <v>14</v>
      </c>
      <c r="W46" s="705">
        <f t="shared" si="14"/>
        <v>100</v>
      </c>
      <c r="X46" s="1353"/>
      <c r="Y46" s="3700"/>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699"/>
      <c r="Q47" s="1350">
        <f t="shared" si="11"/>
        <v>111</v>
      </c>
      <c r="R47" s="704" t="s">
        <v>14</v>
      </c>
      <c r="S47" s="705">
        <f t="shared" si="12"/>
        <v>100</v>
      </c>
      <c r="T47" s="704" t="s">
        <v>14</v>
      </c>
      <c r="U47" s="705">
        <f t="shared" si="13"/>
        <v>100</v>
      </c>
      <c r="V47" s="704" t="s">
        <v>14</v>
      </c>
      <c r="W47" s="705">
        <f t="shared" si="14"/>
        <v>100</v>
      </c>
      <c r="X47" s="1353"/>
      <c r="Y47" s="3701"/>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3"/>
      <c r="L48" s="2721"/>
      <c r="M48" s="2713"/>
      <c r="N48" s="2713"/>
      <c r="O48" s="2713"/>
      <c r="P48" s="3703" t="str">
        <f>A48</f>
        <v>成交单价（元/平方米）</v>
      </c>
      <c r="Q48" s="3688"/>
      <c r="R48" s="3689">
        <f>E48</f>
        <v>0</v>
      </c>
      <c r="S48" s="3689"/>
      <c r="T48" s="3689">
        <f>G48</f>
        <v>0</v>
      </c>
      <c r="U48" s="3689"/>
      <c r="V48" s="3689">
        <f>I48</f>
        <v>0</v>
      </c>
      <c r="W48" s="3689"/>
      <c r="X48" s="396"/>
      <c r="Y48" s="711"/>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1"/>
      <c r="M49" s="2713"/>
      <c r="N49" s="2713"/>
      <c r="O49" s="2713"/>
      <c r="P49" s="3703"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4"/>
      <c r="L50" s="2721"/>
      <c r="M50" s="2713"/>
      <c r="N50" s="2713"/>
      <c r="O50" s="2713"/>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2"/>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3"/>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6" customFormat="1" ht="15">
      <c r="A59" s="453" t="s">
        <v>1679</v>
      </c>
      <c r="B59" s="454"/>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5"/>
      <c r="Q59" s="2737"/>
      <c r="R59" s="2737"/>
      <c r="S59" s="2737"/>
      <c r="T59" s="2737"/>
      <c r="U59" s="2737"/>
      <c r="V59" s="2737"/>
      <c r="W59" s="2737"/>
      <c r="X59" s="2737"/>
      <c r="Y59" s="2737"/>
      <c r="Z59" s="2737"/>
      <c r="AA59" s="2737"/>
      <c r="AB59" s="2737"/>
      <c r="AC59" s="2737"/>
    </row>
    <row r="60" spans="1:29" s="107" customFormat="1" ht="15">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6"/>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8"/>
      <c r="O62" s="2748"/>
      <c r="P62" s="2757"/>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8"/>
      <c r="O63" s="2748"/>
      <c r="P63" s="2756"/>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49"/>
      <c r="O64" s="2749"/>
      <c r="P64" s="2758"/>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0"/>
      <c r="O65" s="2750"/>
      <c r="P65" s="2758"/>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49"/>
      <c r="O66" s="2749"/>
      <c r="P66" s="2758"/>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0"/>
      <c r="O67" s="2750"/>
      <c r="P67" s="2758"/>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49"/>
      <c r="O69" s="2749"/>
      <c r="P69" s="2758"/>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0"/>
      <c r="O83" s="2750"/>
      <c r="P83" s="2758"/>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8"/>
      <c r="O87" s="2748"/>
      <c r="P87" s="2758"/>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5"/>
      <c r="G89" s="502"/>
      <c r="H89" s="502"/>
      <c r="I89" s="502"/>
      <c r="J89" s="502"/>
      <c r="K89" s="502"/>
      <c r="L89" s="502"/>
      <c r="M89" s="529"/>
      <c r="N89" s="2748"/>
      <c r="O89" s="2748"/>
      <c r="P89" s="2758"/>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0"/>
      <c r="O94" s="2750"/>
      <c r="P94" s="2758"/>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49"/>
      <c r="O95" s="2749"/>
      <c r="P95" s="2758"/>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0"/>
      <c r="O96" s="2750"/>
      <c r="P96" s="2758"/>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49"/>
      <c r="O97" s="2749"/>
      <c r="P97" s="2758"/>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0"/>
      <c r="O98" s="2750"/>
      <c r="P98" s="2758"/>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49"/>
      <c r="O99" s="2749"/>
      <c r="P99" s="2758"/>
      <c r="Q99" s="2736"/>
      <c r="R99" s="2722"/>
      <c r="S99" s="2722"/>
      <c r="T99" s="2722"/>
      <c r="U99" s="2722"/>
      <c r="V99" s="2722"/>
      <c r="W99" s="2722"/>
      <c r="X99" s="2722"/>
      <c r="Y99" s="2722"/>
      <c r="Z99" s="2722"/>
      <c r="AA99" s="2722"/>
      <c r="AB99" s="2722"/>
      <c r="AC99" s="2722"/>
    </row>
    <row r="100" spans="1:29" ht="15.75" thickBot="1">
      <c r="A100" s="1926"/>
      <c r="B100" s="517"/>
      <c r="C100" s="518"/>
      <c r="D100" s="518"/>
      <c r="E100" s="518"/>
      <c r="F100" s="518"/>
      <c r="G100" s="539"/>
      <c r="H100" s="539"/>
      <c r="I100" s="539"/>
      <c r="J100" s="539"/>
      <c r="K100" s="539"/>
      <c r="L100" s="539"/>
      <c r="M100" s="540"/>
      <c r="N100" s="2750"/>
      <c r="O100" s="2750"/>
      <c r="P100" s="2758"/>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49"/>
      <c r="O101" s="2749"/>
      <c r="P101" s="2758"/>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49"/>
      <c r="O108" s="2749"/>
      <c r="P108" s="2758"/>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49"/>
      <c r="O117" s="2749"/>
      <c r="P117" s="2758"/>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0"/>
      <c r="O119" s="2750"/>
      <c r="P119" s="2763"/>
      <c r="Q119" s="2764"/>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0"/>
      <c r="O130" s="2750"/>
      <c r="P130" s="2758"/>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7"/>
      <c r="C132" s="518"/>
      <c r="D132" s="518"/>
      <c r="E132" s="518"/>
      <c r="F132" s="518"/>
      <c r="G132" s="539"/>
      <c r="H132" s="539"/>
      <c r="I132" s="539"/>
      <c r="J132" s="539"/>
      <c r="K132" s="539"/>
      <c r="L132" s="539"/>
      <c r="M132" s="540"/>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受贵公司委托，我公司对北京市东城区智德北巷5号房地产抵押价值进行了预评估。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估价对象为北京市东城区智德北巷5号房地产，为北京首华建设经营有限公司所有。根据《国有土地使用证》[]，估价对象（分摊）出让国有建设用地使用权面积为2328.75平方米，建筑面积为4796.01平方米。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2024年8月8日（评估专业人员实地查勘之日）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4796.0100000000011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912"/>
      <c r="M4" s="913"/>
      <c r="N4" s="913"/>
      <c r="O4" s="913"/>
      <c r="P4" s="3711" t="s">
        <v>1775</v>
      </c>
      <c r="Q4" s="3712"/>
      <c r="R4" s="3717" t="s">
        <v>1771</v>
      </c>
      <c r="S4" s="3718"/>
      <c r="T4" s="3717" t="s">
        <v>1772</v>
      </c>
      <c r="U4" s="3718"/>
      <c r="V4" s="3702" t="s">
        <v>1773</v>
      </c>
      <c r="W4" s="3702"/>
      <c r="X4" s="1353"/>
      <c r="Y4" s="3717" t="s">
        <v>1775</v>
      </c>
      <c r="Z4" s="3718"/>
      <c r="AA4" s="3704" t="s">
        <v>1771</v>
      </c>
      <c r="AB4" s="3705" t="s">
        <v>1772</v>
      </c>
      <c r="AC4" s="3704" t="s">
        <v>1773</v>
      </c>
    </row>
    <row r="5" spans="1:29" ht="15">
      <c r="A5" s="357"/>
      <c r="B5" s="358"/>
      <c r="C5" s="3725" t="s">
        <v>1673</v>
      </c>
      <c r="D5" s="3726"/>
      <c r="E5" s="3762" t="s">
        <v>1674</v>
      </c>
      <c r="F5" s="3734"/>
      <c r="G5" s="3725" t="s">
        <v>1675</v>
      </c>
      <c r="H5" s="3726"/>
      <c r="I5" s="3725" t="s">
        <v>1676</v>
      </c>
      <c r="J5" s="3726"/>
      <c r="K5" s="558"/>
      <c r="L5" s="912"/>
      <c r="M5" s="913"/>
      <c r="N5" s="913"/>
      <c r="O5" s="913"/>
      <c r="P5" s="3713"/>
      <c r="Q5" s="3714"/>
      <c r="R5" s="3719"/>
      <c r="S5" s="3720"/>
      <c r="T5" s="3719"/>
      <c r="U5" s="3720"/>
      <c r="V5" s="3702"/>
      <c r="W5" s="3702"/>
      <c r="X5" s="1353"/>
      <c r="Y5" s="3719"/>
      <c r="Z5" s="3720"/>
      <c r="AA5" s="3705"/>
      <c r="AB5" s="3705"/>
      <c r="AC5" s="3705"/>
    </row>
    <row r="6" spans="1:29" ht="15.75" thickBot="1">
      <c r="A6" s="359"/>
      <c r="B6" s="360"/>
      <c r="C6" s="3730" t="s">
        <v>1677</v>
      </c>
      <c r="D6" s="3724"/>
      <c r="E6" s="3761" t="s">
        <v>1677</v>
      </c>
      <c r="F6" s="3732"/>
      <c r="G6" s="3730" t="s">
        <v>1677</v>
      </c>
      <c r="H6" s="3724"/>
      <c r="I6" s="3730" t="s">
        <v>1677</v>
      </c>
      <c r="J6" s="3724"/>
      <c r="K6" s="558" t="s">
        <v>1678</v>
      </c>
      <c r="L6" s="912"/>
      <c r="M6" s="913"/>
      <c r="N6" s="913"/>
      <c r="O6" s="913"/>
      <c r="P6" s="3715"/>
      <c r="Q6" s="3716"/>
      <c r="R6" s="3719"/>
      <c r="S6" s="3720"/>
      <c r="T6" s="3721"/>
      <c r="U6" s="3722"/>
      <c r="V6" s="3702"/>
      <c r="W6" s="3702"/>
      <c r="X6" s="1353"/>
      <c r="Y6" s="3721"/>
      <c r="Z6" s="3722"/>
      <c r="AA6" s="3706"/>
      <c r="AB6" s="3706"/>
      <c r="AC6" s="3706"/>
    </row>
    <row r="7" spans="1:29" s="107" customFormat="1" ht="15.75" thickBot="1">
      <c r="A7" s="361" t="s">
        <v>1679</v>
      </c>
      <c r="B7" s="362"/>
      <c r="C7" s="363">
        <f>'数据-取费表'!B2</f>
        <v>45512</v>
      </c>
      <c r="D7" s="364">
        <v>100</v>
      </c>
      <c r="E7" s="365"/>
      <c r="F7" s="366">
        <f>SUMIF(52:52,YEAR(E7)&amp;"-"&amp;MONTH(E7),53:53)</f>
        <v>0</v>
      </c>
      <c r="G7" s="365"/>
      <c r="H7" s="364">
        <f>SUMIF(52:52,YEAR(G7)&amp;"-"&amp;MONTH(G7),53:53)</f>
        <v>0</v>
      </c>
      <c r="I7" s="365"/>
      <c r="J7" s="364">
        <f>SUMIF(52:52,YEAR(I7)&amp;"-"&amp;MONTH(I7),53:53)</f>
        <v>0</v>
      </c>
      <c r="K7" s="559"/>
      <c r="L7" s="914"/>
      <c r="M7" s="915"/>
      <c r="N7" s="915"/>
      <c r="O7" s="915"/>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7" t="s">
        <v>1683</v>
      </c>
      <c r="Q8" s="3728"/>
      <c r="R8" s="700" t="s">
        <v>14</v>
      </c>
      <c r="S8" s="701">
        <f t="shared" si="0"/>
        <v>100</v>
      </c>
      <c r="T8" s="700" t="s">
        <v>14</v>
      </c>
      <c r="U8" s="701">
        <f t="shared" si="1"/>
        <v>100</v>
      </c>
      <c r="V8" s="700" t="s">
        <v>14</v>
      </c>
      <c r="W8" s="701">
        <f t="shared" si="2"/>
        <v>100</v>
      </c>
      <c r="X8" s="702"/>
      <c r="Y8" s="3727" t="s">
        <v>1683</v>
      </c>
      <c r="Z8" s="3728"/>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8"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88"/>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8"/>
      <c r="Q11" s="1341"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688"/>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688"/>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688"/>
      <c r="Q14" s="1341">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5" t="s">
        <v>1691</v>
      </c>
      <c r="Q15" s="1350" t="str">
        <f t="shared" si="6"/>
        <v>产业集聚程度</v>
      </c>
      <c r="R15" s="704" t="s">
        <v>14</v>
      </c>
      <c r="S15" s="705">
        <f t="shared" si="0"/>
        <v>100</v>
      </c>
      <c r="T15" s="704" t="s">
        <v>14</v>
      </c>
      <c r="U15" s="705">
        <f t="shared" si="1"/>
        <v>100</v>
      </c>
      <c r="V15" s="704" t="s">
        <v>14</v>
      </c>
      <c r="W15" s="705">
        <f t="shared" si="2"/>
        <v>100</v>
      </c>
      <c r="X15" s="1353"/>
      <c r="Y15" s="369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696"/>
      <c r="Q16" s="1350"/>
      <c r="R16" s="704"/>
      <c r="S16" s="705"/>
      <c r="T16" s="704"/>
      <c r="U16" s="705"/>
      <c r="V16" s="704"/>
      <c r="W16" s="705"/>
      <c r="X16" s="1353"/>
      <c r="Y16" s="369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6"/>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696"/>
      <c r="Q18" s="1350"/>
      <c r="R18" s="704"/>
      <c r="S18" s="705"/>
      <c r="T18" s="704"/>
      <c r="U18" s="705"/>
      <c r="V18" s="704"/>
      <c r="W18" s="705"/>
      <c r="X18" s="1353"/>
      <c r="Y18" s="369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6"/>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696"/>
      <c r="Q20" s="1350"/>
      <c r="R20" s="704"/>
      <c r="S20" s="705"/>
      <c r="T20" s="704"/>
      <c r="U20" s="705"/>
      <c r="V20" s="704"/>
      <c r="W20" s="705"/>
      <c r="X20" s="1353"/>
      <c r="Y20" s="3696"/>
      <c r="Z20" s="1354"/>
      <c r="AA20" s="1351">
        <v>1</v>
      </c>
      <c r="AB20" s="1351">
        <v>1</v>
      </c>
      <c r="AC20" s="1351">
        <v>1</v>
      </c>
    </row>
    <row r="21" spans="1:29" ht="28.5">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6"/>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696"/>
      <c r="Q22" s="1350"/>
      <c r="R22" s="704"/>
      <c r="S22" s="705"/>
      <c r="T22" s="704"/>
      <c r="U22" s="705"/>
      <c r="V22" s="704"/>
      <c r="W22" s="705"/>
      <c r="X22" s="1353"/>
      <c r="Y22" s="369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6"/>
      <c r="Q23" s="1350" t="str">
        <f>B23</f>
        <v>环境质量</v>
      </c>
      <c r="R23" s="704" t="s">
        <v>14</v>
      </c>
      <c r="S23" s="705">
        <f>F23</f>
        <v>100</v>
      </c>
      <c r="T23" s="704" t="s">
        <v>14</v>
      </c>
      <c r="U23" s="705">
        <f>H23</f>
        <v>100</v>
      </c>
      <c r="V23" s="704" t="s">
        <v>14</v>
      </c>
      <c r="W23" s="705">
        <f>J23</f>
        <v>100</v>
      </c>
      <c r="X23" s="1353"/>
      <c r="Y23" s="3696"/>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696"/>
      <c r="Q24" s="1350"/>
      <c r="R24" s="704"/>
      <c r="S24" s="705"/>
      <c r="T24" s="704"/>
      <c r="U24" s="705"/>
      <c r="V24" s="704"/>
      <c r="W24" s="705"/>
      <c r="X24" s="1353"/>
      <c r="Y24" s="3696"/>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6"/>
      <c r="Q25" s="1350">
        <f>B25</f>
        <v>111</v>
      </c>
      <c r="R25" s="704" t="s">
        <v>14</v>
      </c>
      <c r="S25" s="705">
        <f>F25</f>
        <v>100</v>
      </c>
      <c r="T25" s="704" t="s">
        <v>14</v>
      </c>
      <c r="U25" s="705">
        <f>H25</f>
        <v>100</v>
      </c>
      <c r="V25" s="704" t="s">
        <v>14</v>
      </c>
      <c r="W25" s="705">
        <f>J25</f>
        <v>100</v>
      </c>
      <c r="X25" s="1353"/>
      <c r="Y25" s="3696"/>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6"/>
      <c r="Q26" s="1350">
        <f t="shared" ref="Q26:Q40" si="11">B26</f>
        <v>111</v>
      </c>
      <c r="R26" s="704" t="s">
        <v>14</v>
      </c>
      <c r="S26" s="705">
        <f>F26</f>
        <v>100</v>
      </c>
      <c r="T26" s="704" t="s">
        <v>14</v>
      </c>
      <c r="U26" s="705">
        <f>H26</f>
        <v>100</v>
      </c>
      <c r="V26" s="704" t="s">
        <v>14</v>
      </c>
      <c r="W26" s="705">
        <f>J26</f>
        <v>100</v>
      </c>
      <c r="X26" s="1353"/>
      <c r="Y26" s="3696"/>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6"/>
      <c r="Q27" s="1341">
        <f t="shared" si="11"/>
        <v>111</v>
      </c>
      <c r="R27" s="700" t="s">
        <v>14</v>
      </c>
      <c r="S27" s="701">
        <f>F27</f>
        <v>100</v>
      </c>
      <c r="T27" s="700" t="s">
        <v>14</v>
      </c>
      <c r="U27" s="701">
        <f>H27</f>
        <v>100</v>
      </c>
      <c r="V27" s="700" t="s">
        <v>14</v>
      </c>
      <c r="W27" s="701">
        <f>J27</f>
        <v>100</v>
      </c>
      <c r="X27" s="702"/>
      <c r="Y27" s="3696"/>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6"/>
      <c r="Q28" s="1350">
        <f t="shared" si="11"/>
        <v>111</v>
      </c>
      <c r="R28" s="704" t="s">
        <v>14</v>
      </c>
      <c r="S28" s="705">
        <f t="shared" ref="S28:S40" si="12">F28</f>
        <v>100</v>
      </c>
      <c r="T28" s="704" t="s">
        <v>14</v>
      </c>
      <c r="U28" s="705">
        <f t="shared" ref="U28:U40" si="13">H28</f>
        <v>100</v>
      </c>
      <c r="V28" s="704" t="s">
        <v>14</v>
      </c>
      <c r="W28" s="705">
        <f t="shared" ref="W28:W40" si="14">J28</f>
        <v>100</v>
      </c>
      <c r="X28" s="1353"/>
      <c r="Y28" s="369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78" t="s">
        <v>1696</v>
      </c>
      <c r="Q29" s="1350" t="str">
        <f t="shared" si="11"/>
        <v>建筑类型</v>
      </c>
      <c r="R29" s="704" t="s">
        <v>14</v>
      </c>
      <c r="S29" s="705">
        <f t="shared" si="12"/>
        <v>100</v>
      </c>
      <c r="T29" s="704" t="s">
        <v>14</v>
      </c>
      <c r="U29" s="705">
        <f t="shared" si="13"/>
        <v>100</v>
      </c>
      <c r="V29" s="704" t="s">
        <v>14</v>
      </c>
      <c r="W29" s="705">
        <f t="shared" si="14"/>
        <v>100</v>
      </c>
      <c r="X29" s="1353"/>
      <c r="Y29" s="370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0"/>
      <c r="Q31" s="1350" t="str">
        <f t="shared" si="11"/>
        <v>建筑结构</v>
      </c>
      <c r="R31" s="704" t="s">
        <v>14</v>
      </c>
      <c r="S31" s="705">
        <f t="shared" si="12"/>
        <v>100</v>
      </c>
      <c r="T31" s="704" t="s">
        <v>14</v>
      </c>
      <c r="U31" s="705">
        <f t="shared" si="13"/>
        <v>100</v>
      </c>
      <c r="V31" s="704" t="s">
        <v>14</v>
      </c>
      <c r="W31" s="705">
        <f t="shared" si="14"/>
        <v>100</v>
      </c>
      <c r="X31" s="1353"/>
      <c r="Y31" s="370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0"/>
      <c r="Q32" s="1350" t="str">
        <f t="shared" si="11"/>
        <v>公共部分装修</v>
      </c>
      <c r="R32" s="704" t="s">
        <v>14</v>
      </c>
      <c r="S32" s="705">
        <f t="shared" si="12"/>
        <v>100</v>
      </c>
      <c r="T32" s="704" t="s">
        <v>14</v>
      </c>
      <c r="U32" s="705">
        <f t="shared" si="13"/>
        <v>100</v>
      </c>
      <c r="V32" s="704" t="s">
        <v>14</v>
      </c>
      <c r="W32" s="705">
        <f t="shared" si="14"/>
        <v>100</v>
      </c>
      <c r="X32" s="1353"/>
      <c r="Y32" s="370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0"/>
      <c r="Q33" s="1350" t="str">
        <f t="shared" si="11"/>
        <v>成新度</v>
      </c>
      <c r="R33" s="704" t="s">
        <v>14</v>
      </c>
      <c r="S33" s="705" t="e">
        <f t="shared" si="12"/>
        <v>#N/A</v>
      </c>
      <c r="T33" s="704" t="s">
        <v>14</v>
      </c>
      <c r="U33" s="705" t="e">
        <f t="shared" si="13"/>
        <v>#N/A</v>
      </c>
      <c r="V33" s="704" t="s">
        <v>14</v>
      </c>
      <c r="W33" s="705" t="e">
        <f t="shared" si="14"/>
        <v>#N/A</v>
      </c>
      <c r="X33" s="1353"/>
      <c r="Y33" s="370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0"/>
      <c r="Q34" s="1341"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0" t="s">
        <v>1696</v>
      </c>
      <c r="Q35" s="1350" t="str">
        <f t="shared" si="11"/>
        <v>市政基础设施</v>
      </c>
      <c r="R35" s="704" t="s">
        <v>14</v>
      </c>
      <c r="S35" s="705">
        <f t="shared" si="12"/>
        <v>100</v>
      </c>
      <c r="T35" s="704" t="s">
        <v>14</v>
      </c>
      <c r="U35" s="705">
        <f t="shared" si="13"/>
        <v>100</v>
      </c>
      <c r="V35" s="704" t="s">
        <v>14</v>
      </c>
      <c r="W35" s="705">
        <f t="shared" si="14"/>
        <v>100</v>
      </c>
      <c r="X35" s="1353"/>
      <c r="Y35" s="370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0"/>
      <c r="Q36" s="1350" t="str">
        <f t="shared" si="11"/>
        <v>内部装修</v>
      </c>
      <c r="R36" s="704" t="s">
        <v>14</v>
      </c>
      <c r="S36" s="705">
        <f t="shared" si="12"/>
        <v>100</v>
      </c>
      <c r="T36" s="704" t="s">
        <v>14</v>
      </c>
      <c r="U36" s="705">
        <f t="shared" si="13"/>
        <v>100</v>
      </c>
      <c r="V36" s="704" t="s">
        <v>14</v>
      </c>
      <c r="W36" s="705">
        <f t="shared" si="14"/>
        <v>100</v>
      </c>
      <c r="X36" s="1353"/>
      <c r="Y36" s="370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0"/>
      <c r="Q37" s="1350" t="str">
        <f t="shared" si="11"/>
        <v>内部装修状况</v>
      </c>
      <c r="R37" s="704" t="s">
        <v>14</v>
      </c>
      <c r="S37" s="705">
        <f t="shared" si="12"/>
        <v>100</v>
      </c>
      <c r="T37" s="704" t="s">
        <v>14</v>
      </c>
      <c r="U37" s="705">
        <f t="shared" si="13"/>
        <v>100</v>
      </c>
      <c r="V37" s="704" t="s">
        <v>14</v>
      </c>
      <c r="W37" s="705">
        <f t="shared" si="14"/>
        <v>100</v>
      </c>
      <c r="X37" s="1353"/>
      <c r="Y37" s="3700"/>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0"/>
      <c r="Q39" s="1350">
        <f t="shared" si="11"/>
        <v>111</v>
      </c>
      <c r="R39" s="704" t="s">
        <v>14</v>
      </c>
      <c r="S39" s="705">
        <f t="shared" si="12"/>
        <v>100</v>
      </c>
      <c r="T39" s="704" t="s">
        <v>14</v>
      </c>
      <c r="U39" s="705">
        <f t="shared" si="13"/>
        <v>100</v>
      </c>
      <c r="V39" s="704" t="s">
        <v>14</v>
      </c>
      <c r="W39" s="705">
        <f t="shared" si="14"/>
        <v>100</v>
      </c>
      <c r="X39" s="1353"/>
      <c r="Y39" s="370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1"/>
      <c r="Q40" s="1350">
        <f t="shared" si="11"/>
        <v>111</v>
      </c>
      <c r="R40" s="704" t="s">
        <v>14</v>
      </c>
      <c r="S40" s="705">
        <f t="shared" si="12"/>
        <v>100</v>
      </c>
      <c r="T40" s="704" t="s">
        <v>14</v>
      </c>
      <c r="U40" s="705">
        <f t="shared" si="13"/>
        <v>100</v>
      </c>
      <c r="V40" s="704" t="s">
        <v>14</v>
      </c>
      <c r="W40" s="705">
        <f t="shared" si="14"/>
        <v>100</v>
      </c>
      <c r="X40" s="1353"/>
      <c r="Y40" s="370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3"/>
      <c r="L41" s="925"/>
      <c r="M41" s="926"/>
      <c r="N41" s="913"/>
      <c r="O41" s="926"/>
      <c r="P41" s="3688" t="str">
        <f>A41</f>
        <v>成交单价（元/平方米）</v>
      </c>
      <c r="Q41" s="3688"/>
      <c r="R41" s="3689">
        <f>E41</f>
        <v>0</v>
      </c>
      <c r="S41" s="3689"/>
      <c r="T41" s="3689">
        <f>G41</f>
        <v>0</v>
      </c>
      <c r="U41" s="3689"/>
      <c r="V41" s="3689">
        <f>I41</f>
        <v>0</v>
      </c>
      <c r="W41" s="3689"/>
      <c r="X41" s="689"/>
      <c r="Y41" s="711"/>
      <c r="Z41" s="689"/>
      <c r="AA41" s="689"/>
      <c r="AB41" s="689"/>
      <c r="AC41" s="689"/>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5"/>
      <c r="M42" s="926"/>
      <c r="N42" s="913"/>
      <c r="O42" s="926"/>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89"/>
      <c r="Y42" s="689"/>
      <c r="Z42" s="689"/>
      <c r="AA42" s="689"/>
      <c r="AB42" s="689"/>
      <c r="AC42" s="689"/>
    </row>
    <row r="43" spans="1:29" ht="15.75" thickBot="1">
      <c r="A43" s="440" t="s">
        <v>1794</v>
      </c>
      <c r="B43" s="441"/>
      <c r="C43" s="1161" t="e">
        <f>R43</f>
        <v>#DIV/0!</v>
      </c>
      <c r="D43" s="1161"/>
      <c r="E43" s="1161"/>
      <c r="F43" s="1161"/>
      <c r="G43" s="1161"/>
      <c r="H43" s="1161"/>
      <c r="I43" s="1161"/>
      <c r="J43" s="1161"/>
      <c r="K43" s="714"/>
      <c r="L43" s="925"/>
      <c r="M43" s="926"/>
      <c r="N43" s="926"/>
      <c r="O43" s="926"/>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2"/>
      <c r="M4" s="2713"/>
      <c r="N4" s="2713"/>
      <c r="O4" s="2713"/>
      <c r="P4" s="3711" t="s">
        <v>1775</v>
      </c>
      <c r="Q4" s="3712"/>
      <c r="R4" s="3717" t="s">
        <v>1771</v>
      </c>
      <c r="S4" s="3718"/>
      <c r="T4" s="3717" t="s">
        <v>1772</v>
      </c>
      <c r="U4" s="3718"/>
      <c r="V4" s="3702" t="s">
        <v>1773</v>
      </c>
      <c r="W4" s="3702"/>
      <c r="X4" s="1353"/>
      <c r="Y4" s="3717" t="s">
        <v>1775</v>
      </c>
      <c r="Z4" s="3718"/>
      <c r="AA4" s="3704" t="s">
        <v>1771</v>
      </c>
      <c r="AB4" s="3705" t="s">
        <v>1772</v>
      </c>
      <c r="AC4" s="3704" t="s">
        <v>1773</v>
      </c>
    </row>
    <row r="5" spans="1:29" ht="15">
      <c r="A5" s="357"/>
      <c r="B5" s="358"/>
      <c r="C5" s="3725" t="s">
        <v>1673</v>
      </c>
      <c r="D5" s="3726"/>
      <c r="E5" s="3762" t="s">
        <v>1674</v>
      </c>
      <c r="F5" s="3734"/>
      <c r="G5" s="3725" t="s">
        <v>1675</v>
      </c>
      <c r="H5" s="3726"/>
      <c r="I5" s="3725" t="s">
        <v>1676</v>
      </c>
      <c r="J5" s="3726"/>
      <c r="K5" s="558"/>
      <c r="L5" s="2712"/>
      <c r="M5" s="2713"/>
      <c r="N5" s="2713"/>
      <c r="O5" s="2713"/>
      <c r="P5" s="3713"/>
      <c r="Q5" s="3714"/>
      <c r="R5" s="3719"/>
      <c r="S5" s="3720"/>
      <c r="T5" s="3719"/>
      <c r="U5" s="3720"/>
      <c r="V5" s="3702"/>
      <c r="W5" s="3702"/>
      <c r="X5" s="1353"/>
      <c r="Y5" s="3719"/>
      <c r="Z5" s="3720"/>
      <c r="AA5" s="3705"/>
      <c r="AB5" s="3705"/>
      <c r="AC5" s="3705"/>
    </row>
    <row r="6" spans="1:29" ht="15.75" thickBot="1">
      <c r="A6" s="359"/>
      <c r="B6" s="360"/>
      <c r="C6" s="3730" t="s">
        <v>1677</v>
      </c>
      <c r="D6" s="3724"/>
      <c r="E6" s="3761" t="s">
        <v>1677</v>
      </c>
      <c r="F6" s="3732"/>
      <c r="G6" s="3730" t="s">
        <v>1677</v>
      </c>
      <c r="H6" s="3724"/>
      <c r="I6" s="3730" t="s">
        <v>1677</v>
      </c>
      <c r="J6" s="3724"/>
      <c r="K6" s="558" t="s">
        <v>1678</v>
      </c>
      <c r="L6" s="2712"/>
      <c r="M6" s="2713"/>
      <c r="N6" s="2713"/>
      <c r="O6" s="2713"/>
      <c r="P6" s="3715"/>
      <c r="Q6" s="3716"/>
      <c r="R6" s="3719"/>
      <c r="S6" s="3720"/>
      <c r="T6" s="3721"/>
      <c r="U6" s="3722"/>
      <c r="V6" s="3702"/>
      <c r="W6" s="3702"/>
      <c r="X6" s="1353"/>
      <c r="Y6" s="3721"/>
      <c r="Z6" s="3722"/>
      <c r="AA6" s="3706"/>
      <c r="AB6" s="3706"/>
      <c r="AC6" s="3706"/>
    </row>
    <row r="7" spans="1:29" s="107" customFormat="1" ht="15.75" thickBot="1">
      <c r="A7" s="361" t="s">
        <v>1679</v>
      </c>
      <c r="B7" s="362"/>
      <c r="C7" s="363">
        <f>'数据-取费表'!B2</f>
        <v>45512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27" t="s">
        <v>1680</v>
      </c>
      <c r="Q7" s="3729"/>
      <c r="R7" s="700" t="s">
        <v>14</v>
      </c>
      <c r="S7" s="701">
        <f t="shared" ref="S7:S14" si="0">F7</f>
        <v>0</v>
      </c>
      <c r="T7" s="700" t="s">
        <v>14</v>
      </c>
      <c r="U7" s="701">
        <f t="shared" ref="U7:U14" si="1">H7</f>
        <v>0</v>
      </c>
      <c r="V7" s="700" t="s">
        <v>14</v>
      </c>
      <c r="W7" s="701">
        <f t="shared" ref="W7:W14" si="2">J7</f>
        <v>0</v>
      </c>
      <c r="X7" s="702"/>
      <c r="Y7" s="3727" t="s">
        <v>1680</v>
      </c>
      <c r="Z7" s="3728"/>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27" t="s">
        <v>1683</v>
      </c>
      <c r="Q8" s="3728"/>
      <c r="R8" s="700" t="s">
        <v>14</v>
      </c>
      <c r="S8" s="701">
        <f t="shared" si="0"/>
        <v>100</v>
      </c>
      <c r="T8" s="700" t="s">
        <v>14</v>
      </c>
      <c r="U8" s="701">
        <f t="shared" si="1"/>
        <v>100</v>
      </c>
      <c r="V8" s="700" t="s">
        <v>14</v>
      </c>
      <c r="W8" s="701">
        <f t="shared" si="2"/>
        <v>100</v>
      </c>
      <c r="X8" s="702"/>
      <c r="Y8" s="3727" t="s">
        <v>1683</v>
      </c>
      <c r="Z8" s="3728"/>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88" t="s">
        <v>1686</v>
      </c>
      <c r="Q9" s="1341" t="str">
        <f t="shared" ref="Q9:Q14" si="6">B9</f>
        <v>用途</v>
      </c>
      <c r="R9" s="700" t="s">
        <v>14</v>
      </c>
      <c r="S9" s="701">
        <f t="shared" si="0"/>
        <v>100</v>
      </c>
      <c r="T9" s="700" t="s">
        <v>14</v>
      </c>
      <c r="U9" s="701">
        <f t="shared" si="1"/>
        <v>100</v>
      </c>
      <c r="V9" s="700" t="s">
        <v>14</v>
      </c>
      <c r="W9" s="701">
        <f t="shared" si="2"/>
        <v>100</v>
      </c>
      <c r="X9" s="702"/>
      <c r="Y9" s="3592" t="s">
        <v>1687</v>
      </c>
      <c r="Z9" s="52" t="str">
        <f t="shared" ref="Z9:Z14" si="7">Q9</f>
        <v>用途</v>
      </c>
      <c r="AA9" s="703">
        <f t="shared" si="3"/>
        <v>1</v>
      </c>
      <c r="AB9" s="703">
        <f t="shared" si="4"/>
        <v>1</v>
      </c>
      <c r="AC9" s="703">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688"/>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88"/>
      <c r="Q11" s="1341">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88"/>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88"/>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95" t="s">
        <v>1691</v>
      </c>
      <c r="Q14" s="1350" t="str">
        <f t="shared" si="6"/>
        <v>交通便捷度</v>
      </c>
      <c r="R14" s="704" t="s">
        <v>14</v>
      </c>
      <c r="S14" s="705">
        <f t="shared" si="0"/>
        <v>100</v>
      </c>
      <c r="T14" s="704" t="s">
        <v>14</v>
      </c>
      <c r="U14" s="705">
        <f t="shared" si="1"/>
        <v>100</v>
      </c>
      <c r="V14" s="704" t="s">
        <v>14</v>
      </c>
      <c r="W14" s="705">
        <f t="shared" si="2"/>
        <v>100</v>
      </c>
      <c r="X14" s="1353"/>
      <c r="Y14" s="369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696"/>
      <c r="Q15" s="1350"/>
      <c r="R15" s="704"/>
      <c r="S15" s="705"/>
      <c r="T15" s="704"/>
      <c r="U15" s="705"/>
      <c r="V15" s="704"/>
      <c r="W15" s="705"/>
      <c r="X15" s="1353"/>
      <c r="Y15" s="369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96"/>
      <c r="Q16" s="1350" t="str">
        <f>B16</f>
        <v>公共配套设施</v>
      </c>
      <c r="R16" s="704" t="s">
        <v>14</v>
      </c>
      <c r="S16" s="705">
        <f>F16</f>
        <v>100</v>
      </c>
      <c r="T16" s="704" t="s">
        <v>14</v>
      </c>
      <c r="U16" s="705">
        <f>H16</f>
        <v>100</v>
      </c>
      <c r="V16" s="704" t="s">
        <v>14</v>
      </c>
      <c r="W16" s="705">
        <f>J16</f>
        <v>100</v>
      </c>
      <c r="X16" s="1353"/>
      <c r="Y16" s="369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696"/>
      <c r="Q17" s="1350"/>
      <c r="R17" s="704"/>
      <c r="S17" s="705"/>
      <c r="T17" s="704"/>
      <c r="U17" s="705"/>
      <c r="V17" s="704"/>
      <c r="W17" s="705"/>
      <c r="X17" s="1353"/>
      <c r="Y17" s="369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96"/>
      <c r="Q18" s="1350" t="str">
        <f>B18</f>
        <v>基础设施水平</v>
      </c>
      <c r="R18" s="704" t="s">
        <v>14</v>
      </c>
      <c r="S18" s="705">
        <f>F18</f>
        <v>100</v>
      </c>
      <c r="T18" s="704" t="s">
        <v>14</v>
      </c>
      <c r="U18" s="705">
        <f>H18</f>
        <v>100</v>
      </c>
      <c r="V18" s="704" t="s">
        <v>14</v>
      </c>
      <c r="W18" s="705">
        <f>J18</f>
        <v>100</v>
      </c>
      <c r="X18" s="1353"/>
      <c r="Y18" s="369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696"/>
      <c r="Q19" s="1350"/>
      <c r="R19" s="704"/>
      <c r="S19" s="705"/>
      <c r="T19" s="704"/>
      <c r="U19" s="705"/>
      <c r="V19" s="704"/>
      <c r="W19" s="705"/>
      <c r="X19" s="1353"/>
      <c r="Y19" s="369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96"/>
      <c r="Q20" s="1350" t="str">
        <f>B20</f>
        <v>自然及人文环境</v>
      </c>
      <c r="R20" s="704" t="s">
        <v>14</v>
      </c>
      <c r="S20" s="705">
        <f>F20</f>
        <v>100</v>
      </c>
      <c r="T20" s="704" t="s">
        <v>14</v>
      </c>
      <c r="U20" s="705">
        <f>H20</f>
        <v>100</v>
      </c>
      <c r="V20" s="704" t="s">
        <v>14</v>
      </c>
      <c r="W20" s="705">
        <f>J20</f>
        <v>100</v>
      </c>
      <c r="X20" s="1353"/>
      <c r="Y20" s="369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696"/>
      <c r="Q21" s="1350"/>
      <c r="R21" s="704"/>
      <c r="S21" s="705"/>
      <c r="T21" s="704"/>
      <c r="U21" s="705"/>
      <c r="V21" s="704"/>
      <c r="W21" s="705"/>
      <c r="X21" s="1353"/>
      <c r="Y21" s="369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96"/>
      <c r="Q22" s="1350" t="str">
        <f>B22</f>
        <v>楼层</v>
      </c>
      <c r="R22" s="704" t="s">
        <v>14</v>
      </c>
      <c r="S22" s="705">
        <f>F22</f>
        <v>100</v>
      </c>
      <c r="T22" s="704" t="s">
        <v>14</v>
      </c>
      <c r="U22" s="705">
        <f>H22</f>
        <v>100</v>
      </c>
      <c r="V22" s="704" t="s">
        <v>14</v>
      </c>
      <c r="W22" s="705">
        <f>J22</f>
        <v>100</v>
      </c>
      <c r="X22" s="1353"/>
      <c r="Y22" s="369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96"/>
      <c r="Q23" s="1350">
        <f>B23</f>
        <v>111</v>
      </c>
      <c r="R23" s="704" t="s">
        <v>14</v>
      </c>
      <c r="S23" s="705">
        <f>F23</f>
        <v>100</v>
      </c>
      <c r="T23" s="704" t="s">
        <v>14</v>
      </c>
      <c r="U23" s="705">
        <f>H23</f>
        <v>100</v>
      </c>
      <c r="V23" s="704" t="s">
        <v>14</v>
      </c>
      <c r="W23" s="705">
        <f>J23</f>
        <v>100</v>
      </c>
      <c r="X23" s="1353"/>
      <c r="Y23" s="369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96"/>
      <c r="Q24" s="1350">
        <f t="shared" ref="Q24:Q36" si="11">B24</f>
        <v>111</v>
      </c>
      <c r="R24" s="704" t="s">
        <v>14</v>
      </c>
      <c r="S24" s="705">
        <f>F24</f>
        <v>100</v>
      </c>
      <c r="T24" s="704" t="s">
        <v>14</v>
      </c>
      <c r="U24" s="705">
        <f>H24</f>
        <v>100</v>
      </c>
      <c r="V24" s="704" t="s">
        <v>14</v>
      </c>
      <c r="W24" s="705">
        <f>J24</f>
        <v>100</v>
      </c>
      <c r="X24" s="1353"/>
      <c r="Y24" s="369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96"/>
      <c r="Q25" s="1341">
        <f t="shared" si="11"/>
        <v>111</v>
      </c>
      <c r="R25" s="700" t="s">
        <v>14</v>
      </c>
      <c r="S25" s="701">
        <f>F25</f>
        <v>100</v>
      </c>
      <c r="T25" s="700" t="s">
        <v>14</v>
      </c>
      <c r="U25" s="701">
        <f>H25</f>
        <v>100</v>
      </c>
      <c r="V25" s="700" t="s">
        <v>14</v>
      </c>
      <c r="W25" s="701">
        <f>J25</f>
        <v>100</v>
      </c>
      <c r="X25" s="702"/>
      <c r="Y25" s="369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7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00"/>
      <c r="Q28" s="1350" t="str">
        <f t="shared" si="11"/>
        <v>公共部分装修</v>
      </c>
      <c r="R28" s="704" t="s">
        <v>14</v>
      </c>
      <c r="S28" s="705">
        <f t="shared" si="12"/>
        <v>100</v>
      </c>
      <c r="T28" s="704" t="s">
        <v>14</v>
      </c>
      <c r="U28" s="705">
        <f t="shared" si="13"/>
        <v>100</v>
      </c>
      <c r="V28" s="704" t="s">
        <v>14</v>
      </c>
      <c r="W28" s="705">
        <f t="shared" si="14"/>
        <v>100</v>
      </c>
      <c r="X28" s="1353"/>
      <c r="Y28" s="370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00"/>
      <c r="Q29" s="1350" t="str">
        <f t="shared" si="11"/>
        <v>成新率</v>
      </c>
      <c r="R29" s="704" t="s">
        <v>14</v>
      </c>
      <c r="S29" s="705" t="e">
        <f t="shared" si="12"/>
        <v>#N/A</v>
      </c>
      <c r="T29" s="704" t="s">
        <v>14</v>
      </c>
      <c r="U29" s="705" t="e">
        <f t="shared" si="13"/>
        <v>#N/A</v>
      </c>
      <c r="V29" s="704" t="s">
        <v>14</v>
      </c>
      <c r="W29" s="705" t="e">
        <f t="shared" si="14"/>
        <v>#N/A</v>
      </c>
      <c r="X29" s="1353"/>
      <c r="Y29" s="370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00"/>
      <c r="Q30" s="1350" t="str">
        <f t="shared" si="11"/>
        <v>物业等级</v>
      </c>
      <c r="R30" s="704" t="s">
        <v>14</v>
      </c>
      <c r="S30" s="705">
        <f t="shared" si="12"/>
        <v>100</v>
      </c>
      <c r="T30" s="704" t="s">
        <v>14</v>
      </c>
      <c r="U30" s="705">
        <f t="shared" si="13"/>
        <v>100</v>
      </c>
      <c r="V30" s="704" t="s">
        <v>14</v>
      </c>
      <c r="W30" s="705">
        <f t="shared" si="14"/>
        <v>100</v>
      </c>
      <c r="X30" s="1353"/>
      <c r="Y30" s="370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00"/>
      <c r="Q31" s="1341" t="str">
        <f t="shared" si="11"/>
        <v>停车位面积</v>
      </c>
      <c r="R31" s="700" t="s">
        <v>14</v>
      </c>
      <c r="S31" s="701" t="e">
        <f t="shared" si="12"/>
        <v>#N/A</v>
      </c>
      <c r="T31" s="700" t="s">
        <v>14</v>
      </c>
      <c r="U31" s="701" t="e">
        <f t="shared" si="13"/>
        <v>#N/A</v>
      </c>
      <c r="V31" s="700" t="s">
        <v>14</v>
      </c>
      <c r="W31" s="701" t="e">
        <f t="shared" si="14"/>
        <v>#N/A</v>
      </c>
      <c r="X31" s="702"/>
      <c r="Y31" s="370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00" t="s">
        <v>1696</v>
      </c>
      <c r="Q32" s="1350" t="str">
        <f t="shared" si="11"/>
        <v>车位类型</v>
      </c>
      <c r="R32" s="704" t="s">
        <v>14</v>
      </c>
      <c r="S32" s="705">
        <f t="shared" si="12"/>
        <v>100</v>
      </c>
      <c r="T32" s="704" t="s">
        <v>14</v>
      </c>
      <c r="U32" s="705">
        <f t="shared" si="13"/>
        <v>100</v>
      </c>
      <c r="V32" s="704" t="s">
        <v>14</v>
      </c>
      <c r="W32" s="705">
        <f t="shared" si="14"/>
        <v>100</v>
      </c>
      <c r="X32" s="1353"/>
      <c r="Y32" s="370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00"/>
      <c r="Q33" s="1350" t="str">
        <f t="shared" si="11"/>
        <v>是否直接入户</v>
      </c>
      <c r="R33" s="704" t="s">
        <v>14</v>
      </c>
      <c r="S33" s="705">
        <f t="shared" si="12"/>
        <v>100</v>
      </c>
      <c r="T33" s="704" t="s">
        <v>14</v>
      </c>
      <c r="U33" s="705">
        <f t="shared" si="13"/>
        <v>100</v>
      </c>
      <c r="V33" s="704" t="s">
        <v>14</v>
      </c>
      <c r="W33" s="705">
        <f t="shared" si="14"/>
        <v>100</v>
      </c>
      <c r="X33" s="1353"/>
      <c r="Y33" s="370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00"/>
      <c r="Q34" s="1350">
        <f t="shared" si="11"/>
        <v>111</v>
      </c>
      <c r="R34" s="704" t="s">
        <v>14</v>
      </c>
      <c r="S34" s="705">
        <f t="shared" si="12"/>
        <v>100</v>
      </c>
      <c r="T34" s="704" t="s">
        <v>14</v>
      </c>
      <c r="U34" s="705">
        <f t="shared" si="13"/>
        <v>100</v>
      </c>
      <c r="V34" s="704" t="s">
        <v>14</v>
      </c>
      <c r="W34" s="705">
        <f t="shared" si="14"/>
        <v>100</v>
      </c>
      <c r="X34" s="1353"/>
      <c r="Y34" s="370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00"/>
      <c r="Q36" s="1350">
        <f t="shared" si="11"/>
        <v>111</v>
      </c>
      <c r="R36" s="704" t="s">
        <v>14</v>
      </c>
      <c r="S36" s="705">
        <f t="shared" si="12"/>
        <v>100</v>
      </c>
      <c r="T36" s="704" t="s">
        <v>14</v>
      </c>
      <c r="U36" s="705">
        <f t="shared" si="13"/>
        <v>100</v>
      </c>
      <c r="V36" s="704" t="s">
        <v>14</v>
      </c>
      <c r="W36" s="705">
        <f t="shared" si="14"/>
        <v>100</v>
      </c>
      <c r="X36" s="1353"/>
      <c r="Y36" s="3700"/>
      <c r="Z36" s="1354">
        <f t="shared" si="15"/>
        <v>111</v>
      </c>
      <c r="AA36" s="1351">
        <f t="shared" si="3"/>
        <v>1</v>
      </c>
      <c r="AB36" s="1351">
        <f t="shared" si="4"/>
        <v>1</v>
      </c>
      <c r="AC36" s="1351">
        <f t="shared" si="5"/>
        <v>1</v>
      </c>
    </row>
    <row r="37" spans="1:29" ht="15">
      <c r="A37" s="429" t="s">
        <v>1844</v>
      </c>
      <c r="B37" s="1971" t="s">
        <v>3357</v>
      </c>
      <c r="C37" s="1152" t="s">
        <v>0</v>
      </c>
      <c r="D37" s="1153"/>
      <c r="E37" s="1154"/>
      <c r="F37" s="1155"/>
      <c r="G37" s="1156"/>
      <c r="H37" s="1157"/>
      <c r="I37" s="1154"/>
      <c r="J37" s="1157"/>
      <c r="K37" s="567"/>
      <c r="L37" s="2721"/>
      <c r="M37" s="2722"/>
      <c r="N37" s="2713"/>
      <c r="O37" s="2722"/>
      <c r="P37" s="3688" t="str">
        <f>A37</f>
        <v>成交单价</v>
      </c>
      <c r="Q37" s="3688"/>
      <c r="R37" s="3689">
        <f>E37</f>
        <v>0</v>
      </c>
      <c r="S37" s="3689"/>
      <c r="T37" s="3689">
        <f>G37</f>
        <v>0</v>
      </c>
      <c r="U37" s="3689"/>
      <c r="V37" s="3689">
        <f>I37</f>
        <v>0</v>
      </c>
      <c r="W37" s="3689"/>
      <c r="X37" s="689"/>
      <c r="Y37" s="711"/>
      <c r="Z37" s="689"/>
      <c r="AA37" s="689"/>
      <c r="AB37" s="689"/>
      <c r="AC37" s="689"/>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1"/>
      <c r="M38" s="2722"/>
      <c r="N38" s="2722"/>
      <c r="O38" s="2722"/>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9"/>
      <c r="Y38" s="689"/>
      <c r="Z38" s="689"/>
      <c r="AA38" s="689"/>
      <c r="AB38" s="689"/>
      <c r="AC38" s="689"/>
    </row>
    <row r="39" spans="1:29" ht="15.75" thickBot="1">
      <c r="A39" s="440" t="s">
        <v>1846</v>
      </c>
      <c r="B39" s="441"/>
      <c r="C39" s="1161" t="e">
        <f>R39</f>
        <v>#DIV/0!</v>
      </c>
      <c r="D39" s="1161"/>
      <c r="E39" s="1161"/>
      <c r="F39" s="1161"/>
      <c r="G39" s="1161"/>
      <c r="H39" s="1161"/>
      <c r="I39" s="1161"/>
      <c r="J39" s="1161"/>
      <c r="K39" s="568"/>
      <c r="L39" s="2721"/>
      <c r="M39" s="2722"/>
      <c r="N39" s="2722"/>
      <c r="O39" s="2722"/>
      <c r="P39" s="3690" t="str">
        <f>A39</f>
        <v>估价对象XX用房的比较价值（楼面单价，元/平方米）</v>
      </c>
      <c r="Q39" s="3691"/>
      <c r="R39" s="3779" t="e">
        <f>IF(F1="售价",ROUND(IF(D38="简单平均",AVERAGE(R38:W38),R38*F38+T38*H38+V38*J38),0),ROUND(IF(D38="简单平均",AVERAGE(R38:V38),R38*F38+T38*H38+V38*J38),1))</f>
        <v>#DIV/0!</v>
      </c>
      <c r="S39" s="3779"/>
      <c r="T39" s="3779"/>
      <c r="U39" s="3779"/>
      <c r="V39" s="3779"/>
      <c r="W39" s="377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6" customFormat="1" ht="15">
      <c r="A48" s="453" t="s">
        <v>1851</v>
      </c>
      <c r="B48" s="454"/>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6"/>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8"/>
      <c r="O51" s="2748"/>
      <c r="P51" s="2757"/>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8"/>
      <c r="O52" s="2748"/>
      <c r="P52" s="2756"/>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49"/>
      <c r="O53" s="2749"/>
      <c r="P53" s="2758"/>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0"/>
      <c r="O54" s="2750"/>
      <c r="P54" s="2758"/>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49"/>
      <c r="O55" s="2749"/>
      <c r="P55" s="2758"/>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0"/>
      <c r="O56" s="2750"/>
      <c r="P56" s="2758"/>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49"/>
      <c r="O57" s="2749"/>
      <c r="P57" s="2758"/>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0"/>
      <c r="O58" s="2750"/>
      <c r="P58" s="2758"/>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0"/>
      <c r="O67" s="2750"/>
      <c r="P67" s="2758"/>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49"/>
      <c r="O71" s="2749"/>
      <c r="P71" s="2758"/>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8"/>
      <c r="O73" s="2748"/>
      <c r="P73" s="2758"/>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0"/>
      <c r="O74" s="2750"/>
      <c r="P74" s="2758"/>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8"/>
      <c r="O75" s="2748"/>
      <c r="P75" s="2758"/>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0"/>
      <c r="O76" s="2750"/>
      <c r="P76" s="2758"/>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8"/>
      <c r="O81" s="2748"/>
      <c r="P81" s="2758"/>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49"/>
      <c r="O86" s="2749"/>
      <c r="P86" s="2758"/>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49"/>
      <c r="O88" s="2749"/>
      <c r="P88" s="2758"/>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49"/>
      <c r="O95" s="2749"/>
      <c r="P95" s="2758"/>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0"/>
      <c r="O97" s="2750"/>
      <c r="P97" s="2763"/>
      <c r="Q97" s="2764"/>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0"/>
      <c r="O98" s="2750"/>
      <c r="P98" s="2758"/>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3338</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2"/>
      <c r="M4" s="2713"/>
      <c r="N4" s="2713"/>
      <c r="O4" s="2713"/>
      <c r="P4" s="3711" t="s">
        <v>1775</v>
      </c>
      <c r="Q4" s="3712"/>
      <c r="R4" s="3717" t="s">
        <v>1771</v>
      </c>
      <c r="S4" s="3718"/>
      <c r="T4" s="3717" t="s">
        <v>1772</v>
      </c>
      <c r="U4" s="3718"/>
      <c r="V4" s="3702" t="s">
        <v>1773</v>
      </c>
      <c r="W4" s="3702"/>
      <c r="X4" s="1353"/>
      <c r="Y4" s="3717" t="s">
        <v>1775</v>
      </c>
      <c r="Z4" s="3718"/>
      <c r="AA4" s="3704" t="s">
        <v>1771</v>
      </c>
      <c r="AB4" s="3705" t="s">
        <v>1772</v>
      </c>
      <c r="AC4" s="3704" t="s">
        <v>1773</v>
      </c>
    </row>
    <row r="5" spans="1:29" ht="15">
      <c r="A5" s="357"/>
      <c r="B5" s="358"/>
      <c r="C5" s="3725" t="s">
        <v>1673</v>
      </c>
      <c r="D5" s="3726"/>
      <c r="E5" s="3762" t="s">
        <v>1674</v>
      </c>
      <c r="F5" s="3734"/>
      <c r="G5" s="3725" t="s">
        <v>1675</v>
      </c>
      <c r="H5" s="3726"/>
      <c r="I5" s="3725" t="s">
        <v>1676</v>
      </c>
      <c r="J5" s="3726"/>
      <c r="K5" s="558"/>
      <c r="L5" s="2712"/>
      <c r="M5" s="2713"/>
      <c r="N5" s="2713"/>
      <c r="O5" s="2713"/>
      <c r="P5" s="3713"/>
      <c r="Q5" s="3714"/>
      <c r="R5" s="3719"/>
      <c r="S5" s="3720"/>
      <c r="T5" s="3719"/>
      <c r="U5" s="3720"/>
      <c r="V5" s="3702"/>
      <c r="W5" s="3702"/>
      <c r="X5" s="1353"/>
      <c r="Y5" s="3719"/>
      <c r="Z5" s="3720"/>
      <c r="AA5" s="3705"/>
      <c r="AB5" s="3705"/>
      <c r="AC5" s="3705"/>
    </row>
    <row r="6" spans="1:29" ht="15.75" thickBot="1">
      <c r="A6" s="359"/>
      <c r="B6" s="360"/>
      <c r="C6" s="3730" t="s">
        <v>1677</v>
      </c>
      <c r="D6" s="3724"/>
      <c r="E6" s="3761" t="s">
        <v>1677</v>
      </c>
      <c r="F6" s="3732"/>
      <c r="G6" s="3730" t="s">
        <v>1677</v>
      </c>
      <c r="H6" s="3724"/>
      <c r="I6" s="3730" t="s">
        <v>1677</v>
      </c>
      <c r="J6" s="3724"/>
      <c r="K6" s="558" t="s">
        <v>1678</v>
      </c>
      <c r="L6" s="2712"/>
      <c r="M6" s="2713"/>
      <c r="N6" s="2713"/>
      <c r="O6" s="2713"/>
      <c r="P6" s="3715"/>
      <c r="Q6" s="3716"/>
      <c r="R6" s="3719"/>
      <c r="S6" s="3720"/>
      <c r="T6" s="3721"/>
      <c r="U6" s="3722"/>
      <c r="V6" s="3702"/>
      <c r="W6" s="3702"/>
      <c r="X6" s="1353"/>
      <c r="Y6" s="3721"/>
      <c r="Z6" s="3722"/>
      <c r="AA6" s="3706"/>
      <c r="AB6" s="3706"/>
      <c r="AC6" s="3706"/>
    </row>
    <row r="7" spans="1:29" s="107" customFormat="1" ht="15.75" thickBot="1">
      <c r="A7" s="361" t="s">
        <v>1679</v>
      </c>
      <c r="B7" s="362"/>
      <c r="C7" s="363">
        <f>'数据-取费表'!B2</f>
        <v>45512</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727" t="s">
        <v>1680</v>
      </c>
      <c r="Q7" s="3729"/>
      <c r="R7" s="700" t="s">
        <v>14</v>
      </c>
      <c r="S7" s="701">
        <f t="shared" ref="S7:S14" si="0">F7</f>
        <v>0</v>
      </c>
      <c r="T7" s="700" t="s">
        <v>14</v>
      </c>
      <c r="U7" s="701">
        <f t="shared" ref="U7:U14" si="1">H7</f>
        <v>0</v>
      </c>
      <c r="V7" s="700" t="s">
        <v>14</v>
      </c>
      <c r="W7" s="701">
        <f t="shared" ref="W7:W14" si="2">J7</f>
        <v>0</v>
      </c>
      <c r="X7" s="702"/>
      <c r="Y7" s="3727" t="s">
        <v>1680</v>
      </c>
      <c r="Z7" s="3728"/>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27" t="s">
        <v>1683</v>
      </c>
      <c r="Q8" s="3728"/>
      <c r="R8" s="700" t="s">
        <v>14</v>
      </c>
      <c r="S8" s="701">
        <f t="shared" si="0"/>
        <v>100</v>
      </c>
      <c r="T8" s="700" t="s">
        <v>14</v>
      </c>
      <c r="U8" s="701">
        <f t="shared" si="1"/>
        <v>100</v>
      </c>
      <c r="V8" s="700" t="s">
        <v>14</v>
      </c>
      <c r="W8" s="701">
        <f t="shared" si="2"/>
        <v>100</v>
      </c>
      <c r="X8" s="702"/>
      <c r="Y8" s="3727" t="s">
        <v>1683</v>
      </c>
      <c r="Z8" s="3728"/>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8"/>
      <c r="P9" s="3688" t="s">
        <v>1686</v>
      </c>
      <c r="Q9" s="1341" t="str">
        <f t="shared" ref="Q9:Q14" si="6">B9</f>
        <v>用途</v>
      </c>
      <c r="R9" s="700" t="s">
        <v>14</v>
      </c>
      <c r="S9" s="701">
        <f t="shared" si="0"/>
        <v>100</v>
      </c>
      <c r="T9" s="700" t="s">
        <v>14</v>
      </c>
      <c r="U9" s="701">
        <f t="shared" si="1"/>
        <v>100</v>
      </c>
      <c r="V9" s="700" t="s">
        <v>14</v>
      </c>
      <c r="W9" s="701">
        <f t="shared" si="2"/>
        <v>100</v>
      </c>
      <c r="X9" s="702"/>
      <c r="Y9" s="3592" t="s">
        <v>1687</v>
      </c>
      <c r="Z9" s="52" t="str">
        <f t="shared" ref="Z9:Z14" si="7">Q9</f>
        <v>用途</v>
      </c>
      <c r="AA9" s="703">
        <f t="shared" si="3"/>
        <v>1</v>
      </c>
      <c r="AB9" s="703">
        <f t="shared" si="4"/>
        <v>1</v>
      </c>
      <c r="AC9" s="703">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69"/>
      <c r="P10" s="3688"/>
      <c r="Q10" s="1341"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0"/>
      <c r="P11" s="3688"/>
      <c r="Q11" s="1341">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8"/>
      <c r="P12" s="3688"/>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0"/>
      <c r="P13" s="3688"/>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0"/>
      <c r="P14" s="3695" t="s">
        <v>1691</v>
      </c>
      <c r="Q14" s="1350" t="str">
        <f t="shared" si="6"/>
        <v>交通便捷度</v>
      </c>
      <c r="R14" s="704" t="s">
        <v>14</v>
      </c>
      <c r="S14" s="705">
        <f t="shared" si="0"/>
        <v>100</v>
      </c>
      <c r="T14" s="704" t="s">
        <v>14</v>
      </c>
      <c r="U14" s="705">
        <f t="shared" si="1"/>
        <v>100</v>
      </c>
      <c r="V14" s="704" t="s">
        <v>14</v>
      </c>
      <c r="W14" s="705">
        <f t="shared" si="2"/>
        <v>100</v>
      </c>
      <c r="X14" s="1353"/>
      <c r="Y14" s="369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0"/>
      <c r="P15" s="3696"/>
      <c r="Q15" s="1350"/>
      <c r="R15" s="704"/>
      <c r="S15" s="705"/>
      <c r="T15" s="704"/>
      <c r="U15" s="705"/>
      <c r="V15" s="704"/>
      <c r="W15" s="705"/>
      <c r="X15" s="1353"/>
      <c r="Y15" s="369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0"/>
      <c r="P16" s="3696"/>
      <c r="Q16" s="1350" t="str">
        <f>B16</f>
        <v>公共配套设施</v>
      </c>
      <c r="R16" s="704" t="s">
        <v>14</v>
      </c>
      <c r="S16" s="705">
        <f>F16</f>
        <v>100</v>
      </c>
      <c r="T16" s="704" t="s">
        <v>14</v>
      </c>
      <c r="U16" s="705">
        <f>H16</f>
        <v>100</v>
      </c>
      <c r="V16" s="704" t="s">
        <v>14</v>
      </c>
      <c r="W16" s="705">
        <f>J16</f>
        <v>100</v>
      </c>
      <c r="X16" s="1353"/>
      <c r="Y16" s="369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0"/>
      <c r="P17" s="3696"/>
      <c r="Q17" s="1350"/>
      <c r="R17" s="704"/>
      <c r="S17" s="705"/>
      <c r="T17" s="704"/>
      <c r="U17" s="705"/>
      <c r="V17" s="704"/>
      <c r="W17" s="705"/>
      <c r="X17" s="1353"/>
      <c r="Y17" s="3696"/>
      <c r="Z17" s="1354"/>
      <c r="AA17" s="1351">
        <v>1</v>
      </c>
      <c r="AB17" s="1351">
        <v>1</v>
      </c>
      <c r="AC17" s="1351">
        <v>1</v>
      </c>
    </row>
    <row r="18" spans="1:29" ht="28.5">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0"/>
      <c r="P18" s="3696"/>
      <c r="Q18" s="1350" t="str">
        <f>B18</f>
        <v>基础设施水平</v>
      </c>
      <c r="R18" s="704" t="s">
        <v>14</v>
      </c>
      <c r="S18" s="705">
        <f>F18</f>
        <v>100</v>
      </c>
      <c r="T18" s="704" t="s">
        <v>14</v>
      </c>
      <c r="U18" s="705">
        <f>H18</f>
        <v>100</v>
      </c>
      <c r="V18" s="704" t="s">
        <v>14</v>
      </c>
      <c r="W18" s="705">
        <f>J18</f>
        <v>100</v>
      </c>
      <c r="X18" s="1353"/>
      <c r="Y18" s="3696"/>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0"/>
      <c r="P19" s="3696"/>
      <c r="Q19" s="1350"/>
      <c r="R19" s="704"/>
      <c r="S19" s="705"/>
      <c r="T19" s="704"/>
      <c r="U19" s="705"/>
      <c r="V19" s="704"/>
      <c r="W19" s="705"/>
      <c r="X19" s="1353"/>
      <c r="Y19" s="369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0"/>
      <c r="P20" s="3696"/>
      <c r="Q20" s="1350" t="str">
        <f>B20</f>
        <v>自然及人文环境</v>
      </c>
      <c r="R20" s="704" t="s">
        <v>14</v>
      </c>
      <c r="S20" s="705">
        <f>F20</f>
        <v>100</v>
      </c>
      <c r="T20" s="704" t="s">
        <v>14</v>
      </c>
      <c r="U20" s="705">
        <f>H20</f>
        <v>100</v>
      </c>
      <c r="V20" s="704" t="s">
        <v>14</v>
      </c>
      <c r="W20" s="705">
        <f>J20</f>
        <v>100</v>
      </c>
      <c r="X20" s="1353"/>
      <c r="Y20" s="369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0"/>
      <c r="P21" s="3696"/>
      <c r="Q21" s="1350"/>
      <c r="R21" s="704"/>
      <c r="S21" s="705"/>
      <c r="T21" s="704"/>
      <c r="U21" s="705"/>
      <c r="V21" s="704"/>
      <c r="W21" s="705"/>
      <c r="X21" s="1353"/>
      <c r="Y21" s="369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0"/>
      <c r="P22" s="3696"/>
      <c r="Q22" s="1350" t="str">
        <f>B22</f>
        <v>楼层</v>
      </c>
      <c r="R22" s="704" t="s">
        <v>14</v>
      </c>
      <c r="S22" s="705">
        <f>F22</f>
        <v>100</v>
      </c>
      <c r="T22" s="704" t="s">
        <v>14</v>
      </c>
      <c r="U22" s="705">
        <f>H22</f>
        <v>100</v>
      </c>
      <c r="V22" s="704" t="s">
        <v>14</v>
      </c>
      <c r="W22" s="705">
        <f>J22</f>
        <v>100</v>
      </c>
      <c r="X22" s="1353"/>
      <c r="Y22" s="369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0"/>
      <c r="P23" s="3696"/>
      <c r="Q23" s="1350">
        <f>B23</f>
        <v>111</v>
      </c>
      <c r="R23" s="704" t="s">
        <v>14</v>
      </c>
      <c r="S23" s="705">
        <f>F23</f>
        <v>100</v>
      </c>
      <c r="T23" s="704" t="s">
        <v>14</v>
      </c>
      <c r="U23" s="705">
        <f>H23</f>
        <v>100</v>
      </c>
      <c r="V23" s="704" t="s">
        <v>14</v>
      </c>
      <c r="W23" s="705">
        <f>J23</f>
        <v>100</v>
      </c>
      <c r="X23" s="1353"/>
      <c r="Y23" s="369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0"/>
      <c r="P24" s="3696"/>
      <c r="Q24" s="1350">
        <f t="shared" ref="Q24:Q34" si="11">B24</f>
        <v>111</v>
      </c>
      <c r="R24" s="704" t="s">
        <v>14</v>
      </c>
      <c r="S24" s="705">
        <f>F24</f>
        <v>100</v>
      </c>
      <c r="T24" s="704" t="s">
        <v>14</v>
      </c>
      <c r="U24" s="705">
        <f>H24</f>
        <v>100</v>
      </c>
      <c r="V24" s="704" t="s">
        <v>14</v>
      </c>
      <c r="W24" s="705">
        <f>J24</f>
        <v>100</v>
      </c>
      <c r="X24" s="1353"/>
      <c r="Y24" s="369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8"/>
      <c r="P25" s="3696"/>
      <c r="Q25" s="1341">
        <f t="shared" si="11"/>
        <v>111</v>
      </c>
      <c r="R25" s="700" t="s">
        <v>14</v>
      </c>
      <c r="S25" s="701">
        <f>F25</f>
        <v>100</v>
      </c>
      <c r="T25" s="700" t="s">
        <v>14</v>
      </c>
      <c r="U25" s="701">
        <f>H25</f>
        <v>100</v>
      </c>
      <c r="V25" s="700" t="s">
        <v>14</v>
      </c>
      <c r="W25" s="701">
        <f>J25</f>
        <v>100</v>
      </c>
      <c r="X25" s="702"/>
      <c r="Y25" s="369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0"/>
      <c r="P26" s="377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1"/>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0"/>
      <c r="P28" s="3700"/>
      <c r="Q28" s="1350" t="str">
        <f t="shared" si="11"/>
        <v>物业等级</v>
      </c>
      <c r="R28" s="704" t="s">
        <v>14</v>
      </c>
      <c r="S28" s="705">
        <f t="shared" si="12"/>
        <v>100</v>
      </c>
      <c r="T28" s="704" t="s">
        <v>14</v>
      </c>
      <c r="U28" s="705">
        <f t="shared" si="13"/>
        <v>100</v>
      </c>
      <c r="V28" s="704" t="s">
        <v>14</v>
      </c>
      <c r="W28" s="705">
        <f t="shared" si="14"/>
        <v>100</v>
      </c>
      <c r="X28" s="1353"/>
      <c r="Y28" s="370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0"/>
      <c r="P29" s="3700"/>
      <c r="Q29" s="1350" t="str">
        <f t="shared" si="11"/>
        <v>有无电梯</v>
      </c>
      <c r="R29" s="704" t="s">
        <v>14</v>
      </c>
      <c r="S29" s="705">
        <f t="shared" si="12"/>
        <v>100</v>
      </c>
      <c r="T29" s="704" t="s">
        <v>14</v>
      </c>
      <c r="U29" s="705">
        <f t="shared" si="13"/>
        <v>100</v>
      </c>
      <c r="V29" s="704" t="s">
        <v>14</v>
      </c>
      <c r="W29" s="705">
        <f t="shared" si="14"/>
        <v>100</v>
      </c>
      <c r="X29" s="1353"/>
      <c r="Y29" s="370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0"/>
      <c r="P30" s="3700"/>
      <c r="Q30" s="1350" t="str">
        <f t="shared" si="11"/>
        <v>建筑面积</v>
      </c>
      <c r="R30" s="704" t="s">
        <v>14</v>
      </c>
      <c r="S30" s="705" t="e">
        <f t="shared" si="12"/>
        <v>#N/A</v>
      </c>
      <c r="T30" s="704" t="s">
        <v>14</v>
      </c>
      <c r="U30" s="705" t="e">
        <f t="shared" si="13"/>
        <v>#N/A</v>
      </c>
      <c r="V30" s="704" t="s">
        <v>14</v>
      </c>
      <c r="W30" s="705" t="e">
        <f t="shared" si="14"/>
        <v>#N/A</v>
      </c>
      <c r="X30" s="1353"/>
      <c r="Y30" s="370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8"/>
      <c r="P31" s="3700"/>
      <c r="Q31" s="1341"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0"/>
      <c r="P32" s="3700" t="s">
        <v>1696</v>
      </c>
      <c r="Q32" s="1350">
        <f t="shared" si="11"/>
        <v>111</v>
      </c>
      <c r="R32" s="704" t="s">
        <v>14</v>
      </c>
      <c r="S32" s="705">
        <f t="shared" si="12"/>
        <v>100</v>
      </c>
      <c r="T32" s="704" t="s">
        <v>14</v>
      </c>
      <c r="U32" s="705">
        <f t="shared" si="13"/>
        <v>100</v>
      </c>
      <c r="V32" s="704" t="s">
        <v>14</v>
      </c>
      <c r="W32" s="705">
        <f t="shared" si="14"/>
        <v>100</v>
      </c>
      <c r="X32" s="1353"/>
      <c r="Y32" s="370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0"/>
      <c r="P33" s="3700"/>
      <c r="Q33" s="1350">
        <f t="shared" si="11"/>
        <v>111</v>
      </c>
      <c r="R33" s="704" t="s">
        <v>14</v>
      </c>
      <c r="S33" s="705">
        <f t="shared" si="12"/>
        <v>100</v>
      </c>
      <c r="T33" s="704" t="s">
        <v>14</v>
      </c>
      <c r="U33" s="705">
        <f t="shared" si="13"/>
        <v>100</v>
      </c>
      <c r="V33" s="704" t="s">
        <v>14</v>
      </c>
      <c r="W33" s="705">
        <f t="shared" si="14"/>
        <v>100</v>
      </c>
      <c r="X33" s="1353"/>
      <c r="Y33" s="370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0"/>
      <c r="P34" s="3700"/>
      <c r="Q34" s="1350">
        <f t="shared" si="11"/>
        <v>111</v>
      </c>
      <c r="R34" s="704" t="s">
        <v>14</v>
      </c>
      <c r="S34" s="705">
        <f t="shared" si="12"/>
        <v>100</v>
      </c>
      <c r="T34" s="704" t="s">
        <v>14</v>
      </c>
      <c r="U34" s="705">
        <f t="shared" si="13"/>
        <v>100</v>
      </c>
      <c r="V34" s="704" t="s">
        <v>14</v>
      </c>
      <c r="W34" s="705">
        <f t="shared" si="14"/>
        <v>100</v>
      </c>
      <c r="X34" s="1353"/>
      <c r="Y34" s="370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3"/>
      <c r="L35" s="2721"/>
      <c r="M35" s="2722"/>
      <c r="N35" s="2713"/>
      <c r="O35" s="2722"/>
      <c r="P35" s="3688" t="str">
        <f>A35</f>
        <v>成交单价（元/平方米）</v>
      </c>
      <c r="Q35" s="3688"/>
      <c r="R35" s="3689">
        <f>E35</f>
        <v>0</v>
      </c>
      <c r="S35" s="3689"/>
      <c r="T35" s="3689">
        <f>G35</f>
        <v>0</v>
      </c>
      <c r="U35" s="3689"/>
      <c r="V35" s="3689">
        <f>I35</f>
        <v>0</v>
      </c>
      <c r="W35" s="3689"/>
      <c r="X35" s="689"/>
      <c r="Y35" s="711"/>
      <c r="Z35" s="689"/>
      <c r="AA35" s="689"/>
      <c r="AB35" s="689"/>
      <c r="AC35" s="689"/>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1"/>
      <c r="M36" s="2722"/>
      <c r="N36" s="2713"/>
      <c r="O36" s="2722"/>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9"/>
      <c r="Y36" s="689"/>
      <c r="Z36" s="689"/>
      <c r="AA36" s="689"/>
      <c r="AB36" s="689"/>
      <c r="AC36" s="689"/>
    </row>
    <row r="37" spans="1:30" ht="15.75" thickBot="1">
      <c r="A37" s="440" t="s">
        <v>1794</v>
      </c>
      <c r="B37" s="441"/>
      <c r="C37" s="1161" t="e">
        <f>R37</f>
        <v>#DIV/0!</v>
      </c>
      <c r="D37" s="1161"/>
      <c r="E37" s="1161"/>
      <c r="F37" s="1161"/>
      <c r="G37" s="1161"/>
      <c r="H37" s="1161"/>
      <c r="I37" s="1161"/>
      <c r="J37" s="1161"/>
      <c r="K37" s="714"/>
      <c r="L37" s="2721"/>
      <c r="M37" s="2722"/>
      <c r="N37" s="2722"/>
      <c r="O37" s="2722"/>
      <c r="P37" s="3690" t="str">
        <f>A37</f>
        <v>估价对象XX用房的比较价值（楼面单价，元/平方米）</v>
      </c>
      <c r="Q37" s="3691"/>
      <c r="R37" s="3779" t="e">
        <f>IF(F1="售价",ROUND(IF(D36="简单平均",AVERAGE(R36:W36),R36*F36+T36*H36+V36*J36),0),ROUND(IF(D36="简单平均",AVERAGE(R36:V36),R36*F36+T36*H36+V36*J36),1))</f>
        <v>#DIV/0!</v>
      </c>
      <c r="S37" s="3779"/>
      <c r="T37" s="3779"/>
      <c r="U37" s="3779"/>
      <c r="V37" s="3779"/>
      <c r="W37" s="377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6" customFormat="1" ht="15">
      <c r="A46" s="453" t="s">
        <v>1679</v>
      </c>
      <c r="B46" s="454"/>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8"/>
      <c r="O49" s="2748"/>
      <c r="P49" s="2773"/>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8"/>
      <c r="O50" s="2748"/>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49"/>
      <c r="O51" s="2749"/>
      <c r="P51" s="2774"/>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0"/>
      <c r="O52" s="2750"/>
      <c r="P52" s="2774"/>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49"/>
      <c r="O53" s="2749"/>
      <c r="P53" s="2774"/>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0"/>
      <c r="O54" s="2750"/>
      <c r="P54" s="2774"/>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49"/>
      <c r="O55" s="2749"/>
      <c r="P55" s="2774"/>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0"/>
      <c r="O56" s="2750"/>
      <c r="P56" s="2774"/>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20"/>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49"/>
      <c r="O69" s="2749"/>
      <c r="P69" s="2774"/>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0"/>
      <c r="O70" s="2750"/>
      <c r="P70" s="2774"/>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8"/>
      <c r="O71" s="2748"/>
      <c r="P71" s="2774"/>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0"/>
      <c r="O72" s="2750"/>
      <c r="P72" s="2774"/>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8"/>
      <c r="O73" s="2748"/>
      <c r="P73" s="2774"/>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0"/>
      <c r="O74" s="2750"/>
      <c r="P74" s="2774"/>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8"/>
      <c r="O80" s="2748"/>
      <c r="P80" s="2774"/>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49"/>
      <c r="O84" s="2749"/>
      <c r="P84" s="2774"/>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49"/>
      <c r="O87" s="2749"/>
      <c r="P87" s="2774"/>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0"/>
      <c r="O88" s="2750"/>
      <c r="P88" s="2774"/>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0"/>
      <c r="O92" s="2750"/>
      <c r="P92" s="2774"/>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49"/>
      <c r="O93" s="2749"/>
      <c r="P93" s="2774"/>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0"/>
      <c r="O94" s="2750"/>
      <c r="P94" s="2774"/>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0"/>
      <c r="O95" s="2750"/>
      <c r="P95" s="2777"/>
      <c r="Q95" s="2764"/>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5" sqref="E5:F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f>'数据-汇总表'!E3</f>
        <v>4796.0100000000011</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07" t="s">
        <v>1770</v>
      </c>
      <c r="D4" s="3708"/>
      <c r="E4" s="3709" t="s">
        <v>1771</v>
      </c>
      <c r="F4" s="3710"/>
      <c r="G4" s="3707" t="s">
        <v>1772</v>
      </c>
      <c r="H4" s="3708"/>
      <c r="I4" s="3707" t="s">
        <v>1773</v>
      </c>
      <c r="J4" s="3708"/>
      <c r="K4" s="558" t="s">
        <v>1774</v>
      </c>
      <c r="L4" s="2712"/>
      <c r="M4" s="2713"/>
      <c r="N4" s="2713"/>
      <c r="O4" s="2713"/>
      <c r="P4" s="3711" t="s">
        <v>1775</v>
      </c>
      <c r="Q4" s="3712"/>
      <c r="R4" s="3717" t="s">
        <v>1771</v>
      </c>
      <c r="S4" s="3718"/>
      <c r="T4" s="3717" t="s">
        <v>1772</v>
      </c>
      <c r="U4" s="3718"/>
      <c r="V4" s="3702" t="s">
        <v>1773</v>
      </c>
      <c r="W4" s="3702"/>
      <c r="X4" s="1353"/>
      <c r="Y4" s="3717" t="s">
        <v>1775</v>
      </c>
      <c r="Z4" s="3718"/>
      <c r="AA4" s="3704" t="s">
        <v>1771</v>
      </c>
      <c r="AB4" s="3705" t="s">
        <v>1772</v>
      </c>
      <c r="AC4" s="3704" t="s">
        <v>1773</v>
      </c>
    </row>
    <row r="5" spans="1:30" ht="15">
      <c r="A5" s="357"/>
      <c r="B5" s="358"/>
      <c r="C5" s="3783" t="str">
        <f>项目基本情况!F10</f>
        <v>东城区智德北巷5号</v>
      </c>
      <c r="D5" s="3726"/>
      <c r="E5" s="3733" t="s">
        <v>3475</v>
      </c>
      <c r="F5" s="3734"/>
      <c r="G5" s="3725" t="s">
        <v>1675</v>
      </c>
      <c r="H5" s="3726"/>
      <c r="I5" s="3725" t="s">
        <v>1676</v>
      </c>
      <c r="J5" s="3726"/>
      <c r="K5" s="558"/>
      <c r="L5" s="2712"/>
      <c r="M5" s="2713"/>
      <c r="N5" s="2713"/>
      <c r="O5" s="2713"/>
      <c r="P5" s="3713"/>
      <c r="Q5" s="3714"/>
      <c r="R5" s="3719"/>
      <c r="S5" s="3720"/>
      <c r="T5" s="3719"/>
      <c r="U5" s="3720"/>
      <c r="V5" s="3702"/>
      <c r="W5" s="3702"/>
      <c r="X5" s="1353"/>
      <c r="Y5" s="3719"/>
      <c r="Z5" s="3720"/>
      <c r="AA5" s="3705"/>
      <c r="AB5" s="3705"/>
      <c r="AC5" s="3705"/>
    </row>
    <row r="6" spans="1:30" ht="15.75" thickBot="1">
      <c r="A6" s="359"/>
      <c r="B6" s="360"/>
      <c r="C6" s="3730" t="s">
        <v>1677</v>
      </c>
      <c r="D6" s="3724"/>
      <c r="E6" s="3761" t="s">
        <v>1677</v>
      </c>
      <c r="F6" s="3732"/>
      <c r="G6" s="3730" t="s">
        <v>1677</v>
      </c>
      <c r="H6" s="3724"/>
      <c r="I6" s="3730" t="s">
        <v>1677</v>
      </c>
      <c r="J6" s="3724"/>
      <c r="K6" s="558" t="s">
        <v>1678</v>
      </c>
      <c r="L6" s="2712"/>
      <c r="M6" s="2713"/>
      <c r="N6" s="2713"/>
      <c r="O6" s="2713"/>
      <c r="P6" s="3715"/>
      <c r="Q6" s="3716"/>
      <c r="R6" s="3719"/>
      <c r="S6" s="3720"/>
      <c r="T6" s="3721"/>
      <c r="U6" s="3722"/>
      <c r="V6" s="3702"/>
      <c r="W6" s="3702"/>
      <c r="X6" s="1353"/>
      <c r="Y6" s="3721"/>
      <c r="Z6" s="3722"/>
      <c r="AA6" s="3706"/>
      <c r="AB6" s="3706"/>
      <c r="AC6" s="3706"/>
    </row>
    <row r="7" spans="1:30" s="107" customFormat="1" ht="15.75" thickBot="1">
      <c r="A7" s="361" t="s">
        <v>1679</v>
      </c>
      <c r="B7" s="362"/>
      <c r="C7" s="363">
        <f>'数据-取费表'!B2</f>
        <v>45512</v>
      </c>
      <c r="D7" s="364">
        <v>100</v>
      </c>
      <c r="E7" s="365">
        <v>44713</v>
      </c>
      <c r="F7" s="366">
        <f>SUMIF(69:69,YEAR(E7)&amp;"-"&amp;INT((MONTH(E7)+2)/3),70:70)</f>
        <v>0</v>
      </c>
      <c r="G7" s="1972"/>
      <c r="H7" s="364">
        <f>SUMIF(69:69,YEAR(G7)&amp;"-"&amp;INT((MONTH(G7)+2)/3),70:70)</f>
        <v>0</v>
      </c>
      <c r="I7" s="1972"/>
      <c r="J7" s="364">
        <f>SUMIF(69:69,YEAR(I7)&amp;"-"&amp;INT((MONTH(I7)+2)/3),70:70)</f>
        <v>0</v>
      </c>
      <c r="K7" s="559"/>
      <c r="L7" s="2714"/>
      <c r="M7" s="2715"/>
      <c r="N7" s="2715"/>
      <c r="O7" s="2715"/>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30" s="107" customFormat="1" ht="15.75" thickBot="1">
      <c r="A8" s="361" t="s">
        <v>1681</v>
      </c>
      <c r="B8" s="362"/>
      <c r="C8" s="367" t="s">
        <v>1682</v>
      </c>
      <c r="D8" s="364">
        <v>100</v>
      </c>
      <c r="E8" s="367" t="s">
        <v>3469</v>
      </c>
      <c r="F8" s="366">
        <f>SUMIF(72:72,E8,73:73)-SUMIF(72:72,C8,73:73)+100</f>
        <v>100</v>
      </c>
      <c r="G8" s="367"/>
      <c r="H8" s="364">
        <f>SUMIF(72:72,G8,73:73)-SUMIF(72:72,C8,73:73)+100</f>
        <v>0</v>
      </c>
      <c r="I8" s="367"/>
      <c r="J8" s="364">
        <f>SUMIF(72:72,I8,73:73)-SUMIF(72:72,C8,73:73)+100</f>
        <v>0</v>
      </c>
      <c r="K8" s="559"/>
      <c r="L8" s="2714"/>
      <c r="M8" s="2715"/>
      <c r="N8" s="2715"/>
      <c r="O8" s="2715"/>
      <c r="P8" s="3727" t="s">
        <v>1683</v>
      </c>
      <c r="Q8" s="3728"/>
      <c r="R8" s="700" t="s">
        <v>14</v>
      </c>
      <c r="S8" s="701">
        <f t="shared" si="0"/>
        <v>100</v>
      </c>
      <c r="T8" s="700" t="s">
        <v>14</v>
      </c>
      <c r="U8" s="701">
        <f t="shared" si="1"/>
        <v>0</v>
      </c>
      <c r="V8" s="700" t="s">
        <v>14</v>
      </c>
      <c r="W8" s="701">
        <f t="shared" si="2"/>
        <v>0</v>
      </c>
      <c r="X8" s="702"/>
      <c r="Y8" s="3727" t="s">
        <v>1683</v>
      </c>
      <c r="Z8" s="3728"/>
      <c r="AA8" s="703">
        <f t="shared" ref="AA8:AA45" si="3">D8/F8</f>
        <v>1</v>
      </c>
      <c r="AB8" s="703" t="e">
        <f t="shared" ref="AB8:AB45" si="4">D8/H8</f>
        <v>#DIV/0!</v>
      </c>
      <c r="AC8" s="703" t="e">
        <f t="shared" ref="AC8:AC45" si="5">D8/J8</f>
        <v>#DIV/0!</v>
      </c>
    </row>
    <row r="9" spans="1:30" s="107" customFormat="1">
      <c r="A9" s="368" t="s">
        <v>1684</v>
      </c>
      <c r="B9" s="63" t="s">
        <v>1685</v>
      </c>
      <c r="C9" s="1975" t="s">
        <v>673</v>
      </c>
      <c r="D9" s="125">
        <v>100</v>
      </c>
      <c r="E9" s="1975" t="s">
        <v>673</v>
      </c>
      <c r="F9" s="125">
        <f>SUMIF(74:74,E9,75:75)-SUMIF(74:74,C9,75:75)+100</f>
        <v>100</v>
      </c>
      <c r="G9" s="1975" t="s">
        <v>673</v>
      </c>
      <c r="H9" s="125">
        <f>SUMIF(74:74,G9,75:75)-SUMIF(74:74,C9,75:75)+100</f>
        <v>100</v>
      </c>
      <c r="I9" s="1975" t="s">
        <v>673</v>
      </c>
      <c r="J9" s="125">
        <f>SUMIF(74:74,I9,75:75)-SUMIF(74:74,C9,75:75)+100</f>
        <v>100</v>
      </c>
      <c r="K9" s="559"/>
      <c r="L9" s="2714"/>
      <c r="M9" s="2715"/>
      <c r="N9" s="2715"/>
      <c r="O9" s="2768"/>
      <c r="P9" s="3688"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3" t="s">
        <v>3471</v>
      </c>
      <c r="F10" s="126">
        <f>ROUND(100/'数据-取费表'!G16,0)</f>
        <v>122</v>
      </c>
      <c r="G10" s="413"/>
      <c r="H10" s="126">
        <f>ROUND(100/'数据-取费表'!G16,0)</f>
        <v>122</v>
      </c>
      <c r="I10" s="413"/>
      <c r="J10" s="126">
        <f>ROUND(100/'数据-取费表'!G16,0)</f>
        <v>122</v>
      </c>
      <c r="K10" s="619"/>
      <c r="L10" s="2716"/>
      <c r="M10" s="2717"/>
      <c r="N10" s="2717"/>
      <c r="O10" s="2769"/>
      <c r="P10" s="3688"/>
      <c r="Q10" s="1341" t="str">
        <f t="shared" si="6"/>
        <v>土地使用年限（年）</v>
      </c>
      <c r="R10" s="700" t="s">
        <v>14</v>
      </c>
      <c r="S10" s="701">
        <f t="shared" si="0"/>
        <v>122</v>
      </c>
      <c r="T10" s="700" t="s">
        <v>14</v>
      </c>
      <c r="U10" s="701">
        <f t="shared" si="1"/>
        <v>122</v>
      </c>
      <c r="V10" s="700" t="s">
        <v>14</v>
      </c>
      <c r="W10" s="701">
        <f t="shared" si="2"/>
        <v>122</v>
      </c>
      <c r="X10" s="702"/>
      <c r="Y10" s="3592"/>
      <c r="Z10" s="52" t="str">
        <f t="shared" si="7"/>
        <v>土地使用年限（年）</v>
      </c>
      <c r="AA10" s="703">
        <f t="shared" si="3"/>
        <v>0.81967213114754101</v>
      </c>
      <c r="AB10" s="703">
        <f t="shared" si="4"/>
        <v>0.81967213114754101</v>
      </c>
      <c r="AC10" s="703">
        <f t="shared" si="5"/>
        <v>0.81967213114754101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0"/>
      <c r="P11" s="3688"/>
      <c r="Q11" s="1341"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8"/>
      <c r="P12" s="3688"/>
      <c r="Q12" s="1341" t="str">
        <f t="shared" si="6"/>
        <v>配建</v>
      </c>
      <c r="R12" s="700" t="s">
        <v>14</v>
      </c>
      <c r="S12" s="701">
        <f t="shared" si="0"/>
        <v>100</v>
      </c>
      <c r="T12" s="700" t="s">
        <v>14</v>
      </c>
      <c r="U12" s="701">
        <f t="shared" si="1"/>
        <v>100</v>
      </c>
      <c r="V12" s="700" t="s">
        <v>14</v>
      </c>
      <c r="W12" s="701">
        <f t="shared" si="2"/>
        <v>100</v>
      </c>
      <c r="X12" s="702"/>
      <c r="Y12" s="3592"/>
      <c r="Z12" s="52" t="str">
        <f t="shared" si="7"/>
        <v>配建</v>
      </c>
      <c r="AA12" s="703">
        <f>D12/F12</f>
        <v>1</v>
      </c>
      <c r="AB12" s="703">
        <f>D12/H12</f>
        <v>1</v>
      </c>
      <c r="AC12" s="703">
        <f>D12/J12</f>
        <v>1</v>
      </c>
    </row>
    <row r="13" spans="1:30" ht="15">
      <c r="A13" s="378"/>
      <c r="B13" s="1891">
        <v>111</v>
      </c>
      <c r="C13" s="384"/>
      <c r="D13" s="385">
        <v>100</v>
      </c>
      <c r="E13" s="621">
        <v>2008</v>
      </c>
      <c r="F13" s="126">
        <f>SUMIF(83:83,E13,84:84)-SUMIF(83:83,C13,84:84)+100</f>
        <v>100</v>
      </c>
      <c r="G13" s="621"/>
      <c r="H13" s="385">
        <f>SUMIF(83:83,G13,84:84)-SUMIF(83:83,C13,84:84)+100</f>
        <v>100</v>
      </c>
      <c r="I13" s="621"/>
      <c r="J13" s="385">
        <f>SUMIF(83:83,I13,84:84)-SUMIF(83:83,C13,84:84)+100</f>
        <v>100</v>
      </c>
      <c r="K13" s="619"/>
      <c r="L13" s="2719"/>
      <c r="M13" s="2713"/>
      <c r="N13" s="2713"/>
      <c r="O13" s="2770"/>
      <c r="P13" s="3688"/>
      <c r="Q13" s="1341">
        <f t="shared" si="6"/>
        <v>111</v>
      </c>
      <c r="R13" s="700" t="s">
        <v>14</v>
      </c>
      <c r="S13" s="701">
        <f t="shared" si="0"/>
        <v>100</v>
      </c>
      <c r="T13" s="700" t="s">
        <v>14</v>
      </c>
      <c r="U13" s="701">
        <f t="shared" si="1"/>
        <v>100</v>
      </c>
      <c r="V13" s="700" t="s">
        <v>14</v>
      </c>
      <c r="W13" s="701">
        <f t="shared" si="2"/>
        <v>100</v>
      </c>
      <c r="X13" s="702"/>
      <c r="Y13" s="3592"/>
      <c r="Z13" s="52">
        <f t="shared" si="7"/>
        <v>111</v>
      </c>
      <c r="AA13" s="703">
        <f>D13/F13</f>
        <v>1</v>
      </c>
      <c r="AB13" s="703">
        <f>D13/H13</f>
        <v>1</v>
      </c>
      <c r="AC13" s="703">
        <f>D13/J13</f>
        <v>1</v>
      </c>
    </row>
    <row r="14" spans="1:30" ht="15.75" thickBot="1">
      <c r="A14" s="386"/>
      <c r="B14" s="1893">
        <v>111</v>
      </c>
      <c r="C14" s="387"/>
      <c r="D14" s="388">
        <v>100</v>
      </c>
      <c r="E14" s="621">
        <f>ROUND((1-0)-(2024-E13)/60,2)</f>
        <v>0.73</v>
      </c>
      <c r="F14" s="388">
        <f>SUMIF(85:85,E14,86:86)-SUMIF(85:85,C14,86:86)+100</f>
        <v>100</v>
      </c>
      <c r="G14" s="621"/>
      <c r="H14" s="388">
        <f>SUMIF(85:85,G14,86:86)-SUMIF(85:85,C14,86:86)+100</f>
        <v>100</v>
      </c>
      <c r="I14" s="621"/>
      <c r="J14" s="388">
        <f>SUMIF(85:85,I14,86:86)-SUMIF(85:85,C14,86:86)+100</f>
        <v>100</v>
      </c>
      <c r="K14" s="619"/>
      <c r="L14" s="2719"/>
      <c r="M14" s="2713"/>
      <c r="N14" s="2713"/>
      <c r="O14" s="2770"/>
      <c r="P14" s="3688"/>
      <c r="Q14" s="1341">
        <f t="shared" si="6"/>
        <v>111</v>
      </c>
      <c r="R14" s="700" t="s">
        <v>14</v>
      </c>
      <c r="S14" s="701">
        <f t="shared" si="0"/>
        <v>100</v>
      </c>
      <c r="T14" s="700" t="s">
        <v>14</v>
      </c>
      <c r="U14" s="701">
        <f t="shared" si="1"/>
        <v>100</v>
      </c>
      <c r="V14" s="700" t="s">
        <v>14</v>
      </c>
      <c r="W14" s="701">
        <f t="shared" si="2"/>
        <v>100</v>
      </c>
      <c r="X14" s="702"/>
      <c r="Y14" s="3592"/>
      <c r="Z14" s="52">
        <f t="shared" si="7"/>
        <v>111</v>
      </c>
      <c r="AA14" s="703">
        <f>D14/F14</f>
        <v>1</v>
      </c>
      <c r="AB14" s="703">
        <f>D14/H14</f>
        <v>1</v>
      </c>
      <c r="AC14" s="703">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200</v>
      </c>
      <c r="G15" s="392"/>
      <c r="H15" s="391">
        <f>SUMIF(87:87,G16,88:88)-SUMIF(87:87,C16,88:88)+100</f>
        <v>100</v>
      </c>
      <c r="I15" s="394"/>
      <c r="J15" s="391">
        <f>SUMIF(87:87,I16,88:88)-SUMIF(87:87,C16,88:88)+100</f>
        <v>100</v>
      </c>
      <c r="K15" s="620"/>
      <c r="L15" s="2719"/>
      <c r="M15" s="2713"/>
      <c r="N15" s="2713"/>
      <c r="O15" s="2770"/>
      <c r="P15" s="3695" t="s">
        <v>1691</v>
      </c>
      <c r="Q15" s="1350" t="str">
        <f t="shared" si="6"/>
        <v>居住社区成熟度</v>
      </c>
      <c r="R15" s="704" t="s">
        <v>14</v>
      </c>
      <c r="S15" s="705">
        <f t="shared" si="0"/>
        <v>200</v>
      </c>
      <c r="T15" s="704" t="s">
        <v>14</v>
      </c>
      <c r="U15" s="705">
        <f t="shared" si="1"/>
        <v>100</v>
      </c>
      <c r="V15" s="704" t="s">
        <v>14</v>
      </c>
      <c r="W15" s="705">
        <f t="shared" si="2"/>
        <v>100</v>
      </c>
      <c r="X15" s="1353"/>
      <c r="Y15" s="3695" t="s">
        <v>1691</v>
      </c>
      <c r="Z15" s="1354" t="str">
        <f t="shared" si="7"/>
        <v>居住社区成熟度</v>
      </c>
      <c r="AA15" s="1351">
        <f t="shared" si="3"/>
        <v>0.5</v>
      </c>
      <c r="AB15" s="1351">
        <f t="shared" si="4"/>
        <v>1</v>
      </c>
      <c r="AC15" s="1351">
        <f t="shared" si="5"/>
        <v>1</v>
      </c>
    </row>
    <row r="16" spans="1:30" ht="15">
      <c r="A16" s="378"/>
      <c r="B16" s="396"/>
      <c r="C16" s="397"/>
      <c r="D16" s="398"/>
      <c r="E16" s="1896" t="s">
        <v>3472</v>
      </c>
      <c r="F16" s="398"/>
      <c r="G16" s="1896"/>
      <c r="H16" s="400"/>
      <c r="I16" s="1895"/>
      <c r="J16" s="398"/>
      <c r="K16" s="619"/>
      <c r="L16" s="2719"/>
      <c r="M16" s="2713"/>
      <c r="N16" s="2713"/>
      <c r="O16" s="2770"/>
      <c r="P16" s="3696"/>
      <c r="Q16" s="1350"/>
      <c r="R16" s="704"/>
      <c r="S16" s="705"/>
      <c r="T16" s="704"/>
      <c r="U16" s="705"/>
      <c r="V16" s="704"/>
      <c r="W16" s="705"/>
      <c r="X16" s="1353"/>
      <c r="Y16" s="369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200</v>
      </c>
      <c r="G17" s="402"/>
      <c r="H17" s="405">
        <f>SUMIF(89:89,G18,90:90)-SUMIF(89:89,C18,90:90)+100</f>
        <v>100</v>
      </c>
      <c r="I17" s="404"/>
      <c r="J17" s="405">
        <f>SUMIF(89:89,I18,90:90)-SUMIF(89:89,C18,90:90)+100</f>
        <v>100</v>
      </c>
      <c r="K17" s="620"/>
      <c r="L17" s="2719"/>
      <c r="M17" s="2713"/>
      <c r="N17" s="2713"/>
      <c r="O17" s="2770"/>
      <c r="P17" s="3696"/>
      <c r="Q17" s="1350" t="str">
        <f>B17</f>
        <v>商业繁华度</v>
      </c>
      <c r="R17" s="704" t="s">
        <v>14</v>
      </c>
      <c r="S17" s="705">
        <f>F17</f>
        <v>200</v>
      </c>
      <c r="T17" s="704" t="s">
        <v>14</v>
      </c>
      <c r="U17" s="705">
        <f>H17</f>
        <v>100</v>
      </c>
      <c r="V17" s="704" t="s">
        <v>14</v>
      </c>
      <c r="W17" s="705">
        <f>J17</f>
        <v>100</v>
      </c>
      <c r="X17" s="1353"/>
      <c r="Y17" s="3696"/>
      <c r="Z17" s="1354" t="str">
        <f>Q17</f>
        <v>商业繁华度</v>
      </c>
      <c r="AA17" s="1351">
        <f t="shared" si="3"/>
        <v>0.5</v>
      </c>
      <c r="AB17" s="1351">
        <f t="shared" si="4"/>
        <v>1</v>
      </c>
      <c r="AC17" s="1351">
        <f t="shared" si="5"/>
        <v>1</v>
      </c>
    </row>
    <row r="18" spans="1:29" ht="15">
      <c r="A18" s="378"/>
      <c r="B18" s="406"/>
      <c r="C18" s="1899"/>
      <c r="D18" s="400"/>
      <c r="E18" s="1901" t="s">
        <v>3407</v>
      </c>
      <c r="F18" s="400"/>
      <c r="G18" s="1901"/>
      <c r="H18" s="398"/>
      <c r="I18" s="1900"/>
      <c r="J18" s="398"/>
      <c r="K18" s="619"/>
      <c r="L18" s="2719"/>
      <c r="M18" s="2713"/>
      <c r="N18" s="2713"/>
      <c r="O18" s="2770"/>
      <c r="P18" s="3696"/>
      <c r="Q18" s="1350"/>
      <c r="R18" s="704"/>
      <c r="S18" s="705"/>
      <c r="T18" s="704"/>
      <c r="U18" s="705"/>
      <c r="V18" s="704"/>
      <c r="W18" s="705"/>
      <c r="X18" s="1353"/>
      <c r="Y18" s="369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200</v>
      </c>
      <c r="G19" s="407"/>
      <c r="H19" s="400">
        <f>SUMIF(91:91,G20,92:92)-SUMIF(91:91,C20,92:92)+100</f>
        <v>100</v>
      </c>
      <c r="I19" s="409"/>
      <c r="J19" s="400">
        <f>SUMIF(91:91,I20,92:92)-SUMIF(91:91,C20,92:92)+100</f>
        <v>100</v>
      </c>
      <c r="K19" s="620"/>
      <c r="L19" s="2719"/>
      <c r="M19" s="2713"/>
      <c r="N19" s="2713"/>
      <c r="O19" s="2770"/>
      <c r="P19" s="3696"/>
      <c r="Q19" s="1350" t="str">
        <f>B19</f>
        <v>办公集聚程度</v>
      </c>
      <c r="R19" s="704" t="s">
        <v>14</v>
      </c>
      <c r="S19" s="705">
        <f>F19</f>
        <v>200</v>
      </c>
      <c r="T19" s="704" t="s">
        <v>14</v>
      </c>
      <c r="U19" s="705">
        <f>H19</f>
        <v>100</v>
      </c>
      <c r="V19" s="704" t="s">
        <v>14</v>
      </c>
      <c r="W19" s="705">
        <f>J19</f>
        <v>100</v>
      </c>
      <c r="X19" s="1353"/>
      <c r="Y19" s="3696"/>
      <c r="Z19" s="1354" t="str">
        <f>Q19</f>
        <v>办公集聚程度</v>
      </c>
      <c r="AA19" s="1351">
        <f t="shared" si="3"/>
        <v>0.5</v>
      </c>
      <c r="AB19" s="1351">
        <f t="shared" si="4"/>
        <v>1</v>
      </c>
      <c r="AC19" s="1351">
        <f t="shared" si="5"/>
        <v>1</v>
      </c>
    </row>
    <row r="20" spans="1:29" ht="15">
      <c r="A20" s="378"/>
      <c r="B20" s="406"/>
      <c r="C20" s="397"/>
      <c r="D20" s="398"/>
      <c r="E20" s="1896" t="s">
        <v>3407</v>
      </c>
      <c r="F20" s="398"/>
      <c r="G20" s="1896"/>
      <c r="H20" s="398"/>
      <c r="I20" s="1895"/>
      <c r="J20" s="398"/>
      <c r="K20" s="619"/>
      <c r="L20" s="2719"/>
      <c r="M20" s="2713"/>
      <c r="N20" s="2713"/>
      <c r="O20" s="2770"/>
      <c r="P20" s="3696"/>
      <c r="Q20" s="1350"/>
      <c r="R20" s="704"/>
      <c r="S20" s="705"/>
      <c r="T20" s="704"/>
      <c r="U20" s="705"/>
      <c r="V20" s="704"/>
      <c r="W20" s="705"/>
      <c r="X20" s="1353"/>
      <c r="Y20" s="369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200</v>
      </c>
      <c r="G21" s="402"/>
      <c r="H21" s="400">
        <f>SUMIF(93:93,G22,94:94)-SUMIF(93:93,C22,94:94)+100</f>
        <v>100</v>
      </c>
      <c r="I21" s="404"/>
      <c r="J21" s="400">
        <f>SUMIF(93:93,I22,94:94)-SUMIF(93:93,C22,94:94)+100</f>
        <v>100</v>
      </c>
      <c r="K21" s="620"/>
      <c r="L21" s="2719"/>
      <c r="M21" s="2713"/>
      <c r="N21" s="2713"/>
      <c r="O21" s="2770"/>
      <c r="P21" s="3696"/>
      <c r="Q21" s="1350" t="str">
        <f>B21</f>
        <v>交通便捷度</v>
      </c>
      <c r="R21" s="704" t="s">
        <v>14</v>
      </c>
      <c r="S21" s="705">
        <f>F21</f>
        <v>200</v>
      </c>
      <c r="T21" s="704" t="s">
        <v>14</v>
      </c>
      <c r="U21" s="705">
        <f>H21</f>
        <v>100</v>
      </c>
      <c r="V21" s="704" t="s">
        <v>14</v>
      </c>
      <c r="W21" s="705">
        <f>J21</f>
        <v>100</v>
      </c>
      <c r="X21" s="1353"/>
      <c r="Y21" s="3696"/>
      <c r="Z21" s="1354" t="str">
        <f>Q21</f>
        <v>交通便捷度</v>
      </c>
      <c r="AA21" s="1351">
        <f t="shared" si="3"/>
        <v>0.5</v>
      </c>
      <c r="AB21" s="1351">
        <f t="shared" si="4"/>
        <v>1</v>
      </c>
      <c r="AC21" s="1351">
        <f t="shared" si="5"/>
        <v>1</v>
      </c>
    </row>
    <row r="22" spans="1:29" ht="15">
      <c r="A22" s="378"/>
      <c r="B22" s="1130"/>
      <c r="C22" s="397"/>
      <c r="D22" s="400"/>
      <c r="E22" s="1896" t="s">
        <v>3407</v>
      </c>
      <c r="F22" s="398"/>
      <c r="G22" s="1896"/>
      <c r="H22" s="398"/>
      <c r="I22" s="1895"/>
      <c r="J22" s="398"/>
      <c r="K22" s="619"/>
      <c r="L22" s="2719"/>
      <c r="M22" s="2713"/>
      <c r="N22" s="2713"/>
      <c r="O22" s="2770"/>
      <c r="P22" s="3696"/>
      <c r="Q22" s="1350"/>
      <c r="R22" s="704"/>
      <c r="S22" s="705"/>
      <c r="T22" s="704"/>
      <c r="U22" s="705"/>
      <c r="V22" s="704"/>
      <c r="W22" s="705"/>
      <c r="X22" s="1353"/>
      <c r="Y22" s="3696"/>
      <c r="Z22" s="1354"/>
      <c r="AA22" s="1351">
        <v>1</v>
      </c>
      <c r="AB22" s="1351">
        <v>1</v>
      </c>
      <c r="AC22" s="1351">
        <v>1</v>
      </c>
    </row>
    <row r="23" spans="1:29" ht="15">
      <c r="A23" s="357"/>
      <c r="B23" s="401" t="s">
        <v>1871</v>
      </c>
      <c r="C23" s="1135">
        <f>估价对象房地状况!C19</f>
        <v>0</v>
      </c>
      <c r="D23" s="405">
        <v>100</v>
      </c>
      <c r="E23" s="402"/>
      <c r="F23" s="405">
        <f>SUMIF(95:95,E24,96:96)-SUMIF(95:95,C24,96:96)+100</f>
        <v>200</v>
      </c>
      <c r="G23" s="404"/>
      <c r="H23" s="405">
        <f>SUMIF(95:95,G24,96:96)-SUMIF(95:95,C24,96:96)+100</f>
        <v>100</v>
      </c>
      <c r="I23" s="404"/>
      <c r="J23" s="405">
        <f>SUMIF(95:95,I24,96:96)-SUMIF(95:95,C24,96:96)+100</f>
        <v>100</v>
      </c>
      <c r="K23" s="620"/>
      <c r="L23" s="2719"/>
      <c r="M23" s="2713"/>
      <c r="N23" s="2713"/>
      <c r="O23" s="2770"/>
      <c r="P23" s="3696"/>
      <c r="Q23" s="1350" t="str">
        <f t="shared" ref="Q23:Q37" si="8">B23</f>
        <v>区域土地利用方向</v>
      </c>
      <c r="R23" s="704" t="s">
        <v>14</v>
      </c>
      <c r="S23" s="705">
        <f>F23</f>
        <v>200</v>
      </c>
      <c r="T23" s="704" t="s">
        <v>14</v>
      </c>
      <c r="U23" s="705">
        <f>H23</f>
        <v>100</v>
      </c>
      <c r="V23" s="704" t="s">
        <v>14</v>
      </c>
      <c r="W23" s="705">
        <f>J23</f>
        <v>100</v>
      </c>
      <c r="X23" s="1353"/>
      <c r="Y23" s="3696"/>
      <c r="Z23" s="1354" t="str">
        <f>Q23</f>
        <v>区域土地利用方向</v>
      </c>
      <c r="AA23" s="1351">
        <f t="shared" si="3"/>
        <v>0.5</v>
      </c>
      <c r="AB23" s="1351">
        <f t="shared" si="4"/>
        <v>1</v>
      </c>
      <c r="AC23" s="1351">
        <f t="shared" si="5"/>
        <v>1</v>
      </c>
    </row>
    <row r="24" spans="1:29" ht="15">
      <c r="A24" s="357"/>
      <c r="B24" s="406"/>
      <c r="C24" s="564"/>
      <c r="D24" s="398"/>
      <c r="E24" s="1896" t="s">
        <v>3407</v>
      </c>
      <c r="F24" s="398"/>
      <c r="G24" s="1895"/>
      <c r="H24" s="398"/>
      <c r="I24" s="1895"/>
      <c r="J24" s="398"/>
      <c r="K24" s="739"/>
      <c r="L24" s="2719"/>
      <c r="M24" s="2713"/>
      <c r="N24" s="2713"/>
      <c r="O24" s="2770"/>
      <c r="P24" s="3696"/>
      <c r="Q24" s="1350"/>
      <c r="R24" s="704"/>
      <c r="S24" s="705"/>
      <c r="T24" s="704"/>
      <c r="U24" s="705"/>
      <c r="V24" s="704"/>
      <c r="W24" s="705"/>
      <c r="X24" s="1353"/>
      <c r="Y24" s="3696"/>
      <c r="Z24" s="1354"/>
      <c r="AA24" s="1351"/>
      <c r="AB24" s="1351"/>
      <c r="AC24" s="1351"/>
    </row>
    <row r="25" spans="1:29" ht="57">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0"/>
      <c r="P25" s="3696"/>
      <c r="Q25" s="1350" t="str">
        <f t="shared" si="8"/>
        <v>自然及人文环境状况</v>
      </c>
      <c r="R25" s="704" t="s">
        <v>14</v>
      </c>
      <c r="S25" s="705">
        <f>F25</f>
        <v>100</v>
      </c>
      <c r="T25" s="704" t="s">
        <v>14</v>
      </c>
      <c r="U25" s="705">
        <f>H25</f>
        <v>100</v>
      </c>
      <c r="V25" s="704" t="s">
        <v>14</v>
      </c>
      <c r="W25" s="705">
        <f>J25</f>
        <v>100</v>
      </c>
      <c r="X25" s="1353"/>
      <c r="Y25" s="369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0"/>
      <c r="P26" s="3696"/>
      <c r="Q26" s="1350"/>
      <c r="R26" s="704"/>
      <c r="S26" s="705"/>
      <c r="T26" s="704"/>
      <c r="U26" s="705"/>
      <c r="V26" s="704"/>
      <c r="W26" s="705"/>
      <c r="X26" s="1353"/>
      <c r="Y26" s="3696"/>
      <c r="Z26" s="1354"/>
      <c r="AA26" s="1351">
        <v>1</v>
      </c>
      <c r="AB26" s="1351">
        <v>1</v>
      </c>
      <c r="AC26" s="1351">
        <v>1</v>
      </c>
    </row>
    <row r="27" spans="1:29" s="107" customFormat="1" ht="42.75">
      <c r="A27" s="596"/>
      <c r="B27" s="1130" t="s">
        <v>1778</v>
      </c>
      <c r="C27" s="1898" t="str">
        <f>估价对象房地状况!C21</f>
        <v>估价对象所在区域公共配套设施齐备情况</v>
      </c>
      <c r="D27" s="400">
        <v>100</v>
      </c>
      <c r="E27" s="402"/>
      <c r="F27" s="400">
        <f>SUMIF(99:99,E28,100:100)-SUMIF(99:99,C28,100:100)+100</f>
        <v>200</v>
      </c>
      <c r="G27" s="402"/>
      <c r="H27" s="400">
        <f>SUMIF(99:99,G28,100:100)-SUMIF(99:99,C28,100:100)+100</f>
        <v>100</v>
      </c>
      <c r="I27" s="404"/>
      <c r="J27" s="400">
        <f>SUMIF(99:99,I28,100:100)-SUMIF(99:99,C28,100:100)+100</f>
        <v>100</v>
      </c>
      <c r="K27" s="620"/>
      <c r="L27" s="2714"/>
      <c r="M27" s="2715"/>
      <c r="N27" s="2715"/>
      <c r="O27" s="2768"/>
      <c r="P27" s="3696"/>
      <c r="Q27" s="1341" t="str">
        <f t="shared" si="8"/>
        <v>公共配套设施</v>
      </c>
      <c r="R27" s="700" t="s">
        <v>14</v>
      </c>
      <c r="S27" s="701">
        <f>F27</f>
        <v>200</v>
      </c>
      <c r="T27" s="700" t="s">
        <v>14</v>
      </c>
      <c r="U27" s="701">
        <f>H27</f>
        <v>100</v>
      </c>
      <c r="V27" s="700" t="s">
        <v>14</v>
      </c>
      <c r="W27" s="701">
        <f>J27</f>
        <v>100</v>
      </c>
      <c r="X27" s="702"/>
      <c r="Y27" s="3696"/>
      <c r="Z27" s="52" t="str">
        <f>Q27</f>
        <v>公共配套设施</v>
      </c>
      <c r="AA27" s="1351">
        <f>D27/F27</f>
        <v>0.5</v>
      </c>
      <c r="AB27" s="1351">
        <f>D27/H27</f>
        <v>1</v>
      </c>
      <c r="AC27" s="1351">
        <f>D27/J27</f>
        <v>1</v>
      </c>
    </row>
    <row r="28" spans="1:29" s="107" customFormat="1" ht="15">
      <c r="A28" s="596"/>
      <c r="B28" s="406"/>
      <c r="C28" s="1976"/>
      <c r="D28" s="398"/>
      <c r="E28" s="1902" t="s">
        <v>3407</v>
      </c>
      <c r="F28" s="398"/>
      <c r="G28" s="1902"/>
      <c r="H28" s="398"/>
      <c r="I28" s="397"/>
      <c r="J28" s="398"/>
      <c r="K28" s="619"/>
      <c r="L28" s="2714"/>
      <c r="M28" s="2715"/>
      <c r="N28" s="2715"/>
      <c r="O28" s="2768"/>
      <c r="P28" s="3696"/>
      <c r="Q28" s="1341"/>
      <c r="R28" s="700"/>
      <c r="S28" s="701"/>
      <c r="T28" s="700"/>
      <c r="U28" s="701"/>
      <c r="V28" s="700"/>
      <c r="W28" s="701"/>
      <c r="X28" s="702"/>
      <c r="Y28" s="3696"/>
      <c r="Z28" s="52"/>
      <c r="AA28" s="1351">
        <v>1</v>
      </c>
      <c r="AB28" s="1351">
        <v>1</v>
      </c>
      <c r="AC28" s="1351">
        <v>1</v>
      </c>
    </row>
    <row r="29" spans="1:29" s="107" customFormat="1" ht="28.5">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0</v>
      </c>
      <c r="I29" s="404"/>
      <c r="J29" s="400">
        <f>SUMIF(101:101,I30,102:102)-SUMIF(101:101,C30,102:102)+100</f>
        <v>0</v>
      </c>
      <c r="K29" s="620"/>
      <c r="L29" s="2714"/>
      <c r="M29" s="2715"/>
      <c r="N29" s="2715"/>
      <c r="O29" s="2768"/>
      <c r="P29" s="3696"/>
      <c r="Q29" s="1341" t="str">
        <f t="shared" ref="Q29" si="9">B29</f>
        <v>基础设施水平</v>
      </c>
      <c r="R29" s="700" t="s">
        <v>14</v>
      </c>
      <c r="S29" s="701">
        <f>F29</f>
        <v>100</v>
      </c>
      <c r="T29" s="700" t="s">
        <v>14</v>
      </c>
      <c r="U29" s="701">
        <f>H29</f>
        <v>0</v>
      </c>
      <c r="V29" s="700" t="s">
        <v>14</v>
      </c>
      <c r="W29" s="701">
        <f>J29</f>
        <v>0</v>
      </c>
      <c r="X29" s="702"/>
      <c r="Y29" s="3696"/>
      <c r="Z29" s="52" t="str">
        <f>Q29</f>
        <v>基础设施水平</v>
      </c>
      <c r="AA29" s="1351">
        <f>D29/F29</f>
        <v>1</v>
      </c>
      <c r="AB29" s="1351" t="e">
        <f>D29/H29</f>
        <v>#DIV/0!</v>
      </c>
      <c r="AC29" s="1351" t="e">
        <f>D29/J29</f>
        <v>#DIV/0!</v>
      </c>
    </row>
    <row r="30" spans="1:29" s="107" customFormat="1" ht="15">
      <c r="A30" s="596"/>
      <c r="B30" s="406"/>
      <c r="C30" s="1976" t="s">
        <v>3473</v>
      </c>
      <c r="D30" s="398"/>
      <c r="E30" s="1977" t="s">
        <v>3473</v>
      </c>
      <c r="F30" s="398"/>
      <c r="G30" s="1977"/>
      <c r="H30" s="398"/>
      <c r="I30" s="1977"/>
      <c r="J30" s="398"/>
      <c r="K30" s="619"/>
      <c r="L30" s="2714"/>
      <c r="M30" s="2715"/>
      <c r="N30" s="2715"/>
      <c r="O30" s="2768"/>
      <c r="P30" s="3696"/>
      <c r="Q30" s="1341"/>
      <c r="R30" s="700"/>
      <c r="S30" s="701"/>
      <c r="T30" s="700"/>
      <c r="U30" s="701"/>
      <c r="V30" s="700"/>
      <c r="W30" s="701"/>
      <c r="X30" s="702"/>
      <c r="Y30" s="3696"/>
      <c r="Z30" s="52"/>
      <c r="AA30" s="1351">
        <v>1</v>
      </c>
      <c r="AB30" s="1351">
        <v>1</v>
      </c>
      <c r="AC30" s="1351">
        <v>1</v>
      </c>
    </row>
    <row r="31" spans="1:29" ht="15">
      <c r="A31" s="378"/>
      <c r="B31" s="406" t="s">
        <v>1780</v>
      </c>
      <c r="C31" s="564" t="s">
        <v>3474</v>
      </c>
      <c r="D31" s="385">
        <v>100</v>
      </c>
      <c r="E31" s="581"/>
      <c r="F31" s="385">
        <f>SUMIF(103:103,E31,104:104)-SUMIF(103:103,C31,104:104)+100</f>
        <v>0</v>
      </c>
      <c r="G31" s="581"/>
      <c r="H31" s="385">
        <f>SUMIF(103:103,G31,104:104)-SUMIF(103:103,C31,104:104)+100</f>
        <v>0</v>
      </c>
      <c r="I31" s="581"/>
      <c r="J31" s="385">
        <f>SUMIF(103:103,I31,104:104)-SUMIF(103:103,C31,104:104)+100</f>
        <v>0</v>
      </c>
      <c r="K31" s="620"/>
      <c r="L31" s="2719"/>
      <c r="M31" s="2713"/>
      <c r="N31" s="2713"/>
      <c r="O31" s="2770"/>
      <c r="P31" s="3696"/>
      <c r="Q31" s="1350" t="str">
        <f t="shared" si="8"/>
        <v>临街状况</v>
      </c>
      <c r="R31" s="704" t="s">
        <v>14</v>
      </c>
      <c r="S31" s="705">
        <f t="shared" ref="S31:S45" si="10">F31</f>
        <v>0</v>
      </c>
      <c r="T31" s="704" t="s">
        <v>14</v>
      </c>
      <c r="U31" s="705">
        <f t="shared" ref="U31:U45" si="11">H31</f>
        <v>0</v>
      </c>
      <c r="V31" s="704" t="s">
        <v>14</v>
      </c>
      <c r="W31" s="705">
        <f t="shared" ref="W31:W45" si="12">J31</f>
        <v>0</v>
      </c>
      <c r="X31" s="1353"/>
      <c r="Y31" s="3696"/>
      <c r="Z31" s="1354" t="str">
        <f t="shared" ref="Z31:Z45" si="13">Q31</f>
        <v>临街状况</v>
      </c>
      <c r="AA31" s="1351" t="e">
        <f t="shared" si="3"/>
        <v>#DIV/0!</v>
      </c>
      <c r="AB31" s="1351" t="e">
        <f t="shared" si="4"/>
        <v>#DIV/0!</v>
      </c>
      <c r="AC31" s="1351" t="e">
        <f t="shared" si="5"/>
        <v>#DIV/0!</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0"/>
      <c r="P32" s="3696"/>
      <c r="Q32" s="1350" t="str">
        <f t="shared" si="8"/>
        <v>毗邻道路的类型与等级</v>
      </c>
      <c r="R32" s="704" t="s">
        <v>14</v>
      </c>
      <c r="S32" s="705">
        <f t="shared" si="10"/>
        <v>100</v>
      </c>
      <c r="T32" s="704" t="s">
        <v>14</v>
      </c>
      <c r="U32" s="705">
        <f t="shared" si="11"/>
        <v>100</v>
      </c>
      <c r="V32" s="704" t="s">
        <v>14</v>
      </c>
      <c r="W32" s="705">
        <f t="shared" si="12"/>
        <v>100</v>
      </c>
      <c r="X32" s="1353"/>
      <c r="Y32" s="369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0"/>
      <c r="P33" s="3696"/>
      <c r="Q33" s="1350"/>
      <c r="R33" s="704"/>
      <c r="S33" s="705"/>
      <c r="T33" s="704"/>
      <c r="U33" s="705"/>
      <c r="V33" s="704"/>
      <c r="W33" s="705"/>
      <c r="X33" s="1353"/>
      <c r="Y33" s="369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0"/>
      <c r="P34" s="3696"/>
      <c r="Q34" s="1350" t="str">
        <f t="shared" si="8"/>
        <v>土地级别</v>
      </c>
      <c r="R34" s="704" t="s">
        <v>14</v>
      </c>
      <c r="S34" s="705">
        <f t="shared" si="10"/>
        <v>100</v>
      </c>
      <c r="T34" s="704" t="s">
        <v>14</v>
      </c>
      <c r="U34" s="705">
        <f t="shared" si="11"/>
        <v>100</v>
      </c>
      <c r="V34" s="704" t="s">
        <v>14</v>
      </c>
      <c r="W34" s="705">
        <f t="shared" si="12"/>
        <v>100</v>
      </c>
      <c r="X34" s="1353"/>
      <c r="Y34" s="3696"/>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0"/>
      <c r="P35" s="3696"/>
      <c r="Q35" s="1350">
        <f t="shared" si="8"/>
        <v>111</v>
      </c>
      <c r="R35" s="704" t="s">
        <v>14</v>
      </c>
      <c r="S35" s="705">
        <f t="shared" si="10"/>
        <v>100</v>
      </c>
      <c r="T35" s="704" t="s">
        <v>14</v>
      </c>
      <c r="U35" s="705">
        <f t="shared" si="11"/>
        <v>100</v>
      </c>
      <c r="V35" s="704" t="s">
        <v>14</v>
      </c>
      <c r="W35" s="705">
        <f t="shared" si="12"/>
        <v>100</v>
      </c>
      <c r="X35" s="1353"/>
      <c r="Y35" s="3696"/>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0"/>
      <c r="P36" s="3778" t="s">
        <v>1696</v>
      </c>
      <c r="Q36" s="1350">
        <f t="shared" si="8"/>
        <v>111</v>
      </c>
      <c r="R36" s="704" t="s">
        <v>14</v>
      </c>
      <c r="S36" s="705">
        <f t="shared" si="10"/>
        <v>100</v>
      </c>
      <c r="T36" s="704" t="s">
        <v>14</v>
      </c>
      <c r="U36" s="705">
        <f t="shared" si="11"/>
        <v>100</v>
      </c>
      <c r="V36" s="704" t="s">
        <v>14</v>
      </c>
      <c r="W36" s="705">
        <f t="shared" si="12"/>
        <v>100</v>
      </c>
      <c r="X36" s="1353"/>
      <c r="Y36" s="3700" t="s">
        <v>1696</v>
      </c>
      <c r="Z36" s="1354">
        <f t="shared" si="13"/>
        <v>111</v>
      </c>
      <c r="AA36" s="1351">
        <f t="shared" si="3"/>
        <v>1</v>
      </c>
      <c r="AB36" s="1351">
        <f t="shared" si="4"/>
        <v>1</v>
      </c>
      <c r="AC36" s="1351">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1"/>
      <c r="P37" s="3700"/>
      <c r="Q37" s="1350">
        <f t="shared" si="8"/>
        <v>111</v>
      </c>
      <c r="R37" s="707" t="s">
        <v>14</v>
      </c>
      <c r="S37" s="708">
        <f t="shared" si="10"/>
        <v>100</v>
      </c>
      <c r="T37" s="707" t="s">
        <v>14</v>
      </c>
      <c r="U37" s="708">
        <f t="shared" si="11"/>
        <v>100</v>
      </c>
      <c r="V37" s="707" t="s">
        <v>14</v>
      </c>
      <c r="W37" s="708">
        <f t="shared" si="12"/>
        <v>100</v>
      </c>
      <c r="X37" s="709"/>
      <c r="Y37" s="3700"/>
      <c r="Z37" s="710">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0"/>
      <c r="P38" s="3700"/>
      <c r="Q38" s="1350" t="str">
        <f>B38</f>
        <v>宗地面积</v>
      </c>
      <c r="R38" s="704" t="s">
        <v>14</v>
      </c>
      <c r="S38" s="705" t="e">
        <f t="shared" si="10"/>
        <v>#N/A</v>
      </c>
      <c r="T38" s="704" t="s">
        <v>14</v>
      </c>
      <c r="U38" s="705" t="e">
        <f t="shared" si="11"/>
        <v>#N/A</v>
      </c>
      <c r="V38" s="704" t="s">
        <v>14</v>
      </c>
      <c r="W38" s="705" t="e">
        <f t="shared" si="12"/>
        <v>#N/A</v>
      </c>
      <c r="X38" s="1353"/>
      <c r="Y38" s="370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0"/>
      <c r="P39" s="3700"/>
      <c r="Q39" s="1350" t="str">
        <f t="shared" ref="Q39:Q45" si="14">B39</f>
        <v>宗地形状</v>
      </c>
      <c r="R39" s="704" t="s">
        <v>14</v>
      </c>
      <c r="S39" s="705">
        <f t="shared" si="10"/>
        <v>100</v>
      </c>
      <c r="T39" s="704" t="s">
        <v>14</v>
      </c>
      <c r="U39" s="705">
        <f t="shared" si="11"/>
        <v>100</v>
      </c>
      <c r="V39" s="704" t="s">
        <v>14</v>
      </c>
      <c r="W39" s="705">
        <f t="shared" si="12"/>
        <v>100</v>
      </c>
      <c r="X39" s="1353"/>
      <c r="Y39" s="370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0"/>
      <c r="P40" s="3700"/>
      <c r="Q40" s="1350" t="str">
        <f t="shared" si="14"/>
        <v>临街宽度及深度</v>
      </c>
      <c r="R40" s="704" t="s">
        <v>14</v>
      </c>
      <c r="S40" s="705">
        <f t="shared" si="10"/>
        <v>100</v>
      </c>
      <c r="T40" s="704" t="s">
        <v>14</v>
      </c>
      <c r="U40" s="705">
        <f t="shared" si="11"/>
        <v>100</v>
      </c>
      <c r="V40" s="704" t="s">
        <v>14</v>
      </c>
      <c r="W40" s="705">
        <f t="shared" si="12"/>
        <v>100</v>
      </c>
      <c r="X40" s="1353"/>
      <c r="Y40" s="370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8"/>
      <c r="P41" s="3700"/>
      <c r="Q41" s="1350" t="str">
        <f t="shared" si="14"/>
        <v>宗地开发程度</v>
      </c>
      <c r="R41" s="700" t="s">
        <v>14</v>
      </c>
      <c r="S41" s="701">
        <f t="shared" si="10"/>
        <v>100</v>
      </c>
      <c r="T41" s="700" t="s">
        <v>14</v>
      </c>
      <c r="U41" s="701">
        <f t="shared" si="11"/>
        <v>100</v>
      </c>
      <c r="V41" s="700" t="s">
        <v>14</v>
      </c>
      <c r="W41" s="701">
        <f t="shared" si="12"/>
        <v>100</v>
      </c>
      <c r="X41" s="702"/>
      <c r="Y41" s="3700"/>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0"/>
      <c r="P42" s="3700" t="s">
        <v>1696</v>
      </c>
      <c r="Q42" s="1350" t="str">
        <f t="shared" si="14"/>
        <v>工程地质条件</v>
      </c>
      <c r="R42" s="704" t="s">
        <v>14</v>
      </c>
      <c r="S42" s="705">
        <f t="shared" si="10"/>
        <v>100</v>
      </c>
      <c r="T42" s="704" t="s">
        <v>14</v>
      </c>
      <c r="U42" s="705">
        <f t="shared" si="11"/>
        <v>100</v>
      </c>
      <c r="V42" s="704" t="s">
        <v>14</v>
      </c>
      <c r="W42" s="705">
        <f t="shared" si="12"/>
        <v>100</v>
      </c>
      <c r="X42" s="1353"/>
      <c r="Y42" s="3700"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0"/>
      <c r="P43" s="3700"/>
      <c r="Q43" s="1350">
        <f t="shared" si="14"/>
        <v>111</v>
      </c>
      <c r="R43" s="704" t="s">
        <v>14</v>
      </c>
      <c r="S43" s="705">
        <f t="shared" si="10"/>
        <v>100</v>
      </c>
      <c r="T43" s="704" t="s">
        <v>14</v>
      </c>
      <c r="U43" s="705">
        <f t="shared" si="11"/>
        <v>100</v>
      </c>
      <c r="V43" s="704" t="s">
        <v>14</v>
      </c>
      <c r="W43" s="705">
        <f t="shared" si="12"/>
        <v>100</v>
      </c>
      <c r="X43" s="1353"/>
      <c r="Y43" s="3700"/>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0"/>
      <c r="P44" s="3700"/>
      <c r="Q44" s="1350">
        <f t="shared" si="14"/>
        <v>111</v>
      </c>
      <c r="R44" s="704" t="s">
        <v>14</v>
      </c>
      <c r="S44" s="705">
        <f t="shared" si="10"/>
        <v>100</v>
      </c>
      <c r="T44" s="704" t="s">
        <v>14</v>
      </c>
      <c r="U44" s="705">
        <f t="shared" si="11"/>
        <v>100</v>
      </c>
      <c r="V44" s="704" t="s">
        <v>14</v>
      </c>
      <c r="W44" s="705">
        <f t="shared" si="12"/>
        <v>100</v>
      </c>
      <c r="X44" s="1353"/>
      <c r="Y44" s="3700"/>
      <c r="Z44" s="1354">
        <f t="shared" si="13"/>
        <v>111</v>
      </c>
      <c r="AA44" s="1351">
        <f t="shared" si="3"/>
        <v>1</v>
      </c>
      <c r="AB44" s="1351">
        <f t="shared" si="4"/>
        <v>1</v>
      </c>
      <c r="AC44" s="1351">
        <f t="shared" si="5"/>
        <v>1</v>
      </c>
    </row>
    <row r="45" spans="1:29" s="421" customFormat="1" ht="15.75"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1"/>
      <c r="P45" s="3700"/>
      <c r="Q45" s="1350">
        <f t="shared" si="14"/>
        <v>111</v>
      </c>
      <c r="R45" s="707" t="s">
        <v>14</v>
      </c>
      <c r="S45" s="708">
        <f t="shared" si="10"/>
        <v>100</v>
      </c>
      <c r="T45" s="707" t="s">
        <v>14</v>
      </c>
      <c r="U45" s="708">
        <f t="shared" si="11"/>
        <v>100</v>
      </c>
      <c r="V45" s="707" t="s">
        <v>14</v>
      </c>
      <c r="W45" s="708">
        <f t="shared" si="12"/>
        <v>100</v>
      </c>
      <c r="X45" s="709"/>
      <c r="Y45" s="3700"/>
      <c r="Z45" s="710">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3"/>
      <c r="L46" s="2721"/>
      <c r="M46" s="2722"/>
      <c r="N46" s="2713"/>
      <c r="O46" s="2722"/>
      <c r="P46" s="3688" t="str">
        <f>A46</f>
        <v>成交单价</v>
      </c>
      <c r="Q46" s="3688"/>
      <c r="R46" s="3702">
        <f>E46</f>
        <v>0</v>
      </c>
      <c r="S46" s="3702"/>
      <c r="T46" s="3702">
        <f>G46</f>
        <v>0</v>
      </c>
      <c r="U46" s="3702"/>
      <c r="V46" s="3702">
        <f>I46</f>
        <v>0</v>
      </c>
      <c r="W46" s="3702"/>
      <c r="X46" s="689"/>
      <c r="Y46" s="711"/>
      <c r="Z46" s="689"/>
      <c r="AA46" s="689"/>
      <c r="AB46" s="689"/>
      <c r="AC46" s="689"/>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1"/>
      <c r="M47" s="2722"/>
      <c r="N47" s="2722"/>
      <c r="O47" s="2722"/>
      <c r="P47" s="3688" t="str">
        <f>A47</f>
        <v>比较价值（元/平方米）</v>
      </c>
      <c r="Q47" s="3688"/>
      <c r="R47" s="3780" t="e">
        <f>ROUND(PRODUCT(R46,AA7:AA45),0)</f>
        <v>#DIV/0!</v>
      </c>
      <c r="S47" s="3780"/>
      <c r="T47" s="3780" t="e">
        <f>ROUND(PRODUCT(T46,AB7:AB45),0)</f>
        <v>#DIV/0!</v>
      </c>
      <c r="U47" s="3780"/>
      <c r="V47" s="3780" t="e">
        <f>ROUND(PRODUCT(V46,AC7:AC45),0)</f>
        <v>#DIV/0!</v>
      </c>
      <c r="W47" s="378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690" t="str">
        <f>A48</f>
        <v>估价对象XX用房的比较价值（楼面单价，元/平方米）</v>
      </c>
      <c r="Q48" s="3691"/>
      <c r="R48" s="3781" t="e">
        <f>ROUND(IF(D47="简单平均",AVERAGE(R47:W47),R47*F47+T47*H47+V47*J47),0)</f>
        <v>#DIV/0!</v>
      </c>
      <c r="S48" s="3781"/>
      <c r="T48" s="3781"/>
      <c r="U48" s="3781"/>
      <c r="V48" s="3781"/>
      <c r="W48" s="378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07" t="s">
        <v>1887</v>
      </c>
      <c r="H55" s="3782"/>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4167.1099999999997</v>
      </c>
      <c r="F56" s="885" t="e">
        <f t="shared" ref="F56:F64" si="15">ROUND(B56*E56/10000,0)</f>
        <v>#DIV/0!</v>
      </c>
      <c r="G56" s="3703"/>
      <c r="H56" s="3688"/>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4">
        <v>0.25</v>
      </c>
      <c r="E57" s="641"/>
      <c r="F57" s="885" t="e">
        <f t="shared" si="15"/>
        <v>#DIV/0!</v>
      </c>
      <c r="G57" s="3002" t="s">
        <v>1892</v>
      </c>
      <c r="H57" s="886" t="str">
        <f>项目基本情况!B37</f>
        <v>一级</v>
      </c>
      <c r="I57" s="890">
        <f>SUMIF(修正!A57:A68,H57,修正!B57:B68)</f>
        <v>0.7</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4">
        <v>0.25</v>
      </c>
      <c r="E58" s="641"/>
      <c r="F58" s="885" t="e">
        <f t="shared" si="15"/>
        <v>#DIV/0!</v>
      </c>
      <c r="G58" s="3003"/>
      <c r="H58" s="886" t="str">
        <f>项目基本情况!B37</f>
        <v>一级</v>
      </c>
      <c r="I58" s="890">
        <f>SUMIF(修正!A57:A68,H58,修正!C57:C68)</f>
        <v>0.4</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4">
        <v>0.25</v>
      </c>
      <c r="E59" s="641"/>
      <c r="F59" s="885" t="e">
        <f t="shared" si="15"/>
        <v>#DIV/0!</v>
      </c>
      <c r="G59" s="3003"/>
      <c r="H59" s="886" t="str">
        <f>项目基本情况!B37</f>
        <v>一级</v>
      </c>
      <c r="I59" s="890">
        <f>SUMIF(修正!A57:A68,H59,修正!D57:D68)</f>
        <v>0.3</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4">
        <v>0.25</v>
      </c>
      <c r="E63" s="216">
        <f>'数据-汇总表'!E14</f>
        <v>0</v>
      </c>
      <c r="F63" s="885" t="e">
        <f t="shared" si="15"/>
        <v>#DIV/0!</v>
      </c>
      <c r="G63" s="1985" t="s">
        <v>1892</v>
      </c>
      <c r="H63" s="886" t="str">
        <f>项目基本情况!B37</f>
        <v>一级</v>
      </c>
      <c r="I63" s="890">
        <f>SUMIF(修正!A57:A68,H63,修正!G57:G68)</f>
        <v>0.2</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4167.1099999999997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6" customFormat="1" ht="15">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8"/>
      <c r="O72" s="2748"/>
      <c r="P72" s="2773"/>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8"/>
      <c r="O73" s="2748"/>
      <c r="P73" s="2736"/>
      <c r="Q73" s="2736"/>
      <c r="R73" s="2658"/>
      <c r="S73" s="2658"/>
      <c r="T73" s="2658"/>
      <c r="U73" s="2658"/>
      <c r="V73" s="2658"/>
      <c r="W73" s="2658"/>
      <c r="X73" s="2658"/>
      <c r="Y73" s="2658"/>
      <c r="Z73" s="2658"/>
      <c r="AA73" s="2658"/>
      <c r="AB73" s="2658"/>
      <c r="AC73" s="2658"/>
    </row>
    <row r="74" spans="1:29">
      <c r="A74" s="475" t="s">
        <v>1719</v>
      </c>
      <c r="B74" s="476" t="s">
        <v>1685</v>
      </c>
      <c r="C74" s="3478" t="s">
        <v>3467</v>
      </c>
      <c r="D74" s="478"/>
      <c r="E74" s="478"/>
      <c r="F74" s="478"/>
      <c r="G74" s="478"/>
      <c r="H74" s="478"/>
      <c r="I74" s="478"/>
      <c r="J74" s="478"/>
      <c r="K74" s="479"/>
      <c r="L74" s="480"/>
      <c r="M74" s="481"/>
      <c r="N74" s="2749"/>
      <c r="O74" s="2749"/>
      <c r="P74" s="2774"/>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0"/>
      <c r="O75" s="2750"/>
      <c r="P75" s="2774"/>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49"/>
      <c r="O76" s="2749"/>
      <c r="P76" s="2774"/>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0"/>
      <c r="O77" s="2750"/>
      <c r="P77" s="2774"/>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49"/>
      <c r="O79" s="2749"/>
      <c r="P79" s="2774"/>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20"/>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49"/>
      <c r="O105" s="2749"/>
      <c r="P105" s="2774"/>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49"/>
      <c r="O107" s="2749"/>
      <c r="P107" s="2774"/>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49"/>
      <c r="O109" s="2749"/>
      <c r="P109" s="2774"/>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0"/>
      <c r="O110" s="2750"/>
      <c r="P110" s="2774"/>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49"/>
      <c r="O111" s="2749"/>
      <c r="P111" s="2774"/>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0"/>
      <c r="O112" s="2750"/>
      <c r="P112" s="2774"/>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49"/>
      <c r="O116" s="2749"/>
      <c r="P116" s="2774"/>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0"/>
      <c r="O117" s="2750"/>
      <c r="P117" s="2774"/>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49"/>
      <c r="O120" s="2749"/>
      <c r="P120" s="2774"/>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49"/>
      <c r="O126" s="2749"/>
      <c r="P126" s="2774"/>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0"/>
      <c r="O127" s="2750"/>
      <c r="P127" s="2774"/>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49"/>
      <c r="O128" s="2749"/>
      <c r="P128" s="2774"/>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0"/>
      <c r="O129" s="2750"/>
      <c r="P129" s="2774"/>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7" t="s">
        <v>1770</v>
      </c>
      <c r="D4" s="3708"/>
      <c r="E4" s="3709" t="s">
        <v>1771</v>
      </c>
      <c r="F4" s="3710"/>
      <c r="G4" s="3707" t="s">
        <v>1772</v>
      </c>
      <c r="H4" s="3708"/>
      <c r="I4" s="3707" t="s">
        <v>1773</v>
      </c>
      <c r="J4" s="3708"/>
      <c r="K4" s="558" t="s">
        <v>1774</v>
      </c>
      <c r="L4" s="2712"/>
      <c r="M4" s="2713"/>
      <c r="N4" s="2713"/>
      <c r="O4" s="2713"/>
      <c r="P4" s="3711" t="s">
        <v>1775</v>
      </c>
      <c r="Q4" s="3712"/>
      <c r="R4" s="3717" t="s">
        <v>1771</v>
      </c>
      <c r="S4" s="3718"/>
      <c r="T4" s="3717" t="s">
        <v>1772</v>
      </c>
      <c r="U4" s="3718"/>
      <c r="V4" s="3702" t="s">
        <v>1773</v>
      </c>
      <c r="W4" s="3702"/>
      <c r="X4" s="1353"/>
      <c r="Y4" s="3717" t="s">
        <v>1775</v>
      </c>
      <c r="Z4" s="3718"/>
      <c r="AA4" s="3704" t="s">
        <v>1771</v>
      </c>
      <c r="AB4" s="3705" t="s">
        <v>1772</v>
      </c>
      <c r="AC4" s="3704" t="s">
        <v>1773</v>
      </c>
    </row>
    <row r="5" spans="1:29" ht="15">
      <c r="A5" s="357"/>
      <c r="B5" s="358"/>
      <c r="C5" s="3725" t="s">
        <v>1673</v>
      </c>
      <c r="D5" s="3726"/>
      <c r="E5" s="3762" t="s">
        <v>1674</v>
      </c>
      <c r="F5" s="3734"/>
      <c r="G5" s="3725" t="s">
        <v>1675</v>
      </c>
      <c r="H5" s="3726"/>
      <c r="I5" s="3725" t="s">
        <v>1676</v>
      </c>
      <c r="J5" s="3726"/>
      <c r="K5" s="558"/>
      <c r="L5" s="2712"/>
      <c r="M5" s="2713"/>
      <c r="N5" s="2713"/>
      <c r="O5" s="2713"/>
      <c r="P5" s="3713"/>
      <c r="Q5" s="3714"/>
      <c r="R5" s="3719"/>
      <c r="S5" s="3720"/>
      <c r="T5" s="3719"/>
      <c r="U5" s="3720"/>
      <c r="V5" s="3702"/>
      <c r="W5" s="3702"/>
      <c r="X5" s="1353"/>
      <c r="Y5" s="3719"/>
      <c r="Z5" s="3720"/>
      <c r="AA5" s="3705"/>
      <c r="AB5" s="3705"/>
      <c r="AC5" s="3705"/>
    </row>
    <row r="6" spans="1:29" ht="15.75" thickBot="1">
      <c r="A6" s="359"/>
      <c r="B6" s="360"/>
      <c r="C6" s="3784" t="s">
        <v>1919</v>
      </c>
      <c r="D6" s="3785"/>
      <c r="E6" s="3786" t="s">
        <v>1919</v>
      </c>
      <c r="F6" s="3787"/>
      <c r="G6" s="3784" t="s">
        <v>1919</v>
      </c>
      <c r="H6" s="3785"/>
      <c r="I6" s="3784" t="s">
        <v>1919</v>
      </c>
      <c r="J6" s="3785"/>
      <c r="K6" s="558" t="s">
        <v>1678</v>
      </c>
      <c r="L6" s="2712"/>
      <c r="M6" s="2713"/>
      <c r="N6" s="2713"/>
      <c r="O6" s="2713"/>
      <c r="P6" s="3715"/>
      <c r="Q6" s="3716"/>
      <c r="R6" s="3719"/>
      <c r="S6" s="3720"/>
      <c r="T6" s="3721"/>
      <c r="U6" s="3722"/>
      <c r="V6" s="3702"/>
      <c r="W6" s="3702"/>
      <c r="X6" s="1353"/>
      <c r="Y6" s="3721"/>
      <c r="Z6" s="3722"/>
      <c r="AA6" s="3706"/>
      <c r="AB6" s="3706"/>
      <c r="AC6" s="3706"/>
    </row>
    <row r="7" spans="1:29" s="107" customFormat="1" ht="15.75" thickBot="1">
      <c r="A7" s="361" t="s">
        <v>1679</v>
      </c>
      <c r="B7" s="362"/>
      <c r="C7" s="363">
        <f>'数据-取费表'!B2</f>
        <v>45512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27" t="s">
        <v>1683</v>
      </c>
      <c r="Q8" s="3728"/>
      <c r="R8" s="700" t="s">
        <v>14</v>
      </c>
      <c r="S8" s="701">
        <f t="shared" si="0"/>
        <v>0</v>
      </c>
      <c r="T8" s="700" t="s">
        <v>14</v>
      </c>
      <c r="U8" s="701">
        <f t="shared" si="1"/>
        <v>0</v>
      </c>
      <c r="V8" s="700" t="s">
        <v>14</v>
      </c>
      <c r="W8" s="701">
        <f t="shared" si="2"/>
        <v>0</v>
      </c>
      <c r="X8" s="702"/>
      <c r="Y8" s="3727" t="s">
        <v>1683</v>
      </c>
      <c r="Z8" s="3728"/>
      <c r="AA8" s="703" t="e">
        <f t="shared" ref="AA8:AA40" si="3">D8/F8</f>
        <v>#DIV/0!</v>
      </c>
      <c r="AB8" s="703" t="e">
        <f t="shared" ref="AB8:AB40" si="4">D8/H8</f>
        <v>#DIV/0!</v>
      </c>
      <c r="AC8" s="703"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8"/>
      <c r="P9" s="3688" t="s">
        <v>1686</v>
      </c>
      <c r="Q9" s="1341" t="str">
        <f t="shared" ref="Q9:Q15" si="6">B9</f>
        <v>用途</v>
      </c>
      <c r="R9" s="700" t="s">
        <v>14</v>
      </c>
      <c r="S9" s="701">
        <f t="shared" si="0"/>
        <v>100</v>
      </c>
      <c r="T9" s="700" t="s">
        <v>14</v>
      </c>
      <c r="U9" s="701">
        <f t="shared" si="1"/>
        <v>100</v>
      </c>
      <c r="V9" s="700" t="s">
        <v>14</v>
      </c>
      <c r="W9" s="701">
        <f t="shared" si="2"/>
        <v>100</v>
      </c>
      <c r="X9" s="702"/>
      <c r="Y9" s="359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122</v>
      </c>
      <c r="G10" s="382"/>
      <c r="H10" s="126">
        <f>ROUND(100/'数据-取费表'!G16,0)</f>
        <v>122</v>
      </c>
      <c r="I10" s="382"/>
      <c r="J10" s="126">
        <f>ROUND(100/'数据-取费表'!G16,0)</f>
        <v>122</v>
      </c>
      <c r="K10" s="619"/>
      <c r="L10" s="2716"/>
      <c r="M10" s="2717"/>
      <c r="N10" s="2717"/>
      <c r="O10" s="2769"/>
      <c r="P10" s="3688"/>
      <c r="Q10" s="1341" t="str">
        <f t="shared" si="6"/>
        <v>土地使用年限（年）</v>
      </c>
      <c r="R10" s="700" t="s">
        <v>14</v>
      </c>
      <c r="S10" s="701">
        <f t="shared" si="0"/>
        <v>122</v>
      </c>
      <c r="T10" s="700" t="s">
        <v>14</v>
      </c>
      <c r="U10" s="701">
        <f t="shared" si="1"/>
        <v>122</v>
      </c>
      <c r="V10" s="700" t="s">
        <v>14</v>
      </c>
      <c r="W10" s="701">
        <f t="shared" si="2"/>
        <v>122</v>
      </c>
      <c r="X10" s="702"/>
      <c r="Y10" s="3592"/>
      <c r="Z10" s="52" t="str">
        <f t="shared" si="7"/>
        <v>土地使用年限（年）</v>
      </c>
      <c r="AA10" s="703">
        <f t="shared" si="3"/>
        <v>0.81967213114754101</v>
      </c>
      <c r="AB10" s="703">
        <f t="shared" si="4"/>
        <v>0.81967213114754101</v>
      </c>
      <c r="AC10" s="703">
        <f t="shared" si="5"/>
        <v>0.81967213114754101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0"/>
      <c r="P11" s="3688"/>
      <c r="Q11" s="1341"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8"/>
      <c r="P12" s="3688"/>
      <c r="Q12" s="1341">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0"/>
      <c r="P13" s="3688"/>
      <c r="Q13" s="1341">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0"/>
      <c r="P14" s="3688"/>
      <c r="Q14" s="1341">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0"/>
      <c r="P15" s="3695" t="s">
        <v>1691</v>
      </c>
      <c r="Q15" s="1350" t="str">
        <f t="shared" si="6"/>
        <v>产业集聚程度</v>
      </c>
      <c r="R15" s="704" t="s">
        <v>14</v>
      </c>
      <c r="S15" s="705">
        <f t="shared" si="0"/>
        <v>100</v>
      </c>
      <c r="T15" s="704" t="s">
        <v>14</v>
      </c>
      <c r="U15" s="705">
        <f t="shared" si="1"/>
        <v>100</v>
      </c>
      <c r="V15" s="704" t="s">
        <v>14</v>
      </c>
      <c r="W15" s="705">
        <f t="shared" si="2"/>
        <v>100</v>
      </c>
      <c r="X15" s="1353"/>
      <c r="Y15" s="369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0"/>
      <c r="P16" s="3696"/>
      <c r="Q16" s="1350"/>
      <c r="R16" s="704"/>
      <c r="S16" s="705"/>
      <c r="T16" s="704"/>
      <c r="U16" s="705"/>
      <c r="V16" s="704"/>
      <c r="W16" s="705"/>
      <c r="X16" s="1353"/>
      <c r="Y16" s="369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0"/>
      <c r="P17" s="3696"/>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0"/>
      <c r="P18" s="3696"/>
      <c r="Q18" s="1350"/>
      <c r="R18" s="704"/>
      <c r="S18" s="705"/>
      <c r="T18" s="704"/>
      <c r="U18" s="705"/>
      <c r="V18" s="704"/>
      <c r="W18" s="705"/>
      <c r="X18" s="1353"/>
      <c r="Y18" s="369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0"/>
      <c r="P19" s="3696"/>
      <c r="Q19" s="1350" t="str">
        <f t="shared" ref="Q19:Q33" si="8">B19</f>
        <v>区域土地利用方向</v>
      </c>
      <c r="R19" s="704" t="s">
        <v>14</v>
      </c>
      <c r="S19" s="705">
        <f>F19</f>
        <v>100</v>
      </c>
      <c r="T19" s="704" t="s">
        <v>14</v>
      </c>
      <c r="U19" s="705">
        <f>H19</f>
        <v>100</v>
      </c>
      <c r="V19" s="704" t="s">
        <v>14</v>
      </c>
      <c r="W19" s="705">
        <f>J19</f>
        <v>100</v>
      </c>
      <c r="X19" s="1353"/>
      <c r="Y19" s="369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0"/>
      <c r="P20" s="3696"/>
      <c r="Q20" s="1350"/>
      <c r="R20" s="704"/>
      <c r="S20" s="705"/>
      <c r="T20" s="704"/>
      <c r="U20" s="705"/>
      <c r="V20" s="704"/>
      <c r="W20" s="705"/>
      <c r="X20" s="1353"/>
      <c r="Y20" s="369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0"/>
      <c r="P21" s="3696"/>
      <c r="Q21" s="1350" t="str">
        <f t="shared" si="8"/>
        <v>环境状况</v>
      </c>
      <c r="R21" s="704" t="s">
        <v>14</v>
      </c>
      <c r="S21" s="705">
        <f>F21</f>
        <v>100</v>
      </c>
      <c r="T21" s="704" t="s">
        <v>14</v>
      </c>
      <c r="U21" s="705">
        <f>H21</f>
        <v>100</v>
      </c>
      <c r="V21" s="704" t="s">
        <v>14</v>
      </c>
      <c r="W21" s="705">
        <f>J21</f>
        <v>100</v>
      </c>
      <c r="X21" s="1353"/>
      <c r="Y21" s="369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0"/>
      <c r="P22" s="3696"/>
      <c r="Q22" s="1350"/>
      <c r="R22" s="704"/>
      <c r="S22" s="705"/>
      <c r="T22" s="704"/>
      <c r="U22" s="705"/>
      <c r="V22" s="704"/>
      <c r="W22" s="705"/>
      <c r="X22" s="1353"/>
      <c r="Y22" s="369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8"/>
      <c r="P23" s="3696"/>
      <c r="Q23" s="1341" t="str">
        <f t="shared" si="8"/>
        <v>公共配套设施</v>
      </c>
      <c r="R23" s="700" t="s">
        <v>14</v>
      </c>
      <c r="S23" s="701">
        <f>F23</f>
        <v>100</v>
      </c>
      <c r="T23" s="700" t="s">
        <v>14</v>
      </c>
      <c r="U23" s="701">
        <f>H23</f>
        <v>100</v>
      </c>
      <c r="V23" s="700" t="s">
        <v>14</v>
      </c>
      <c r="W23" s="701">
        <f>J23</f>
        <v>100</v>
      </c>
      <c r="X23" s="702"/>
      <c r="Y23" s="369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8"/>
      <c r="P24" s="3696"/>
      <c r="Q24" s="1341"/>
      <c r="R24" s="700"/>
      <c r="S24" s="701"/>
      <c r="T24" s="700"/>
      <c r="U24" s="701"/>
      <c r="V24" s="700"/>
      <c r="W24" s="701"/>
      <c r="X24" s="702"/>
      <c r="Y24" s="3696"/>
      <c r="Z24" s="52"/>
      <c r="AA24" s="703">
        <v>1</v>
      </c>
      <c r="AB24" s="703">
        <v>1</v>
      </c>
      <c r="AC24" s="703">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8"/>
      <c r="P25" s="3696"/>
      <c r="Q25" s="1341" t="str">
        <f t="shared" ref="Q25" si="9">B25</f>
        <v>基础设施水平</v>
      </c>
      <c r="R25" s="700" t="s">
        <v>14</v>
      </c>
      <c r="S25" s="701">
        <f>F25</f>
        <v>100</v>
      </c>
      <c r="T25" s="700" t="s">
        <v>14</v>
      </c>
      <c r="U25" s="701">
        <f>H25</f>
        <v>100</v>
      </c>
      <c r="V25" s="700" t="s">
        <v>14</v>
      </c>
      <c r="W25" s="701">
        <f>J25</f>
        <v>100</v>
      </c>
      <c r="X25" s="702"/>
      <c r="Y25" s="369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8"/>
      <c r="P26" s="3696"/>
      <c r="Q26" s="1341"/>
      <c r="R26" s="700"/>
      <c r="S26" s="701"/>
      <c r="T26" s="700"/>
      <c r="U26" s="701"/>
      <c r="V26" s="700"/>
      <c r="W26" s="701"/>
      <c r="X26" s="702"/>
      <c r="Y26" s="369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0"/>
      <c r="P27" s="369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0"/>
      <c r="P28" s="3696"/>
      <c r="Q28" s="1350" t="str">
        <f t="shared" si="8"/>
        <v>毗邻道路的类型与等级</v>
      </c>
      <c r="R28" s="704" t="s">
        <v>14</v>
      </c>
      <c r="S28" s="705">
        <f t="shared" si="10"/>
        <v>100</v>
      </c>
      <c r="T28" s="704" t="s">
        <v>14</v>
      </c>
      <c r="U28" s="705">
        <f t="shared" si="11"/>
        <v>100</v>
      </c>
      <c r="V28" s="704" t="s">
        <v>14</v>
      </c>
      <c r="W28" s="705">
        <f t="shared" si="12"/>
        <v>100</v>
      </c>
      <c r="X28" s="1353"/>
      <c r="Y28" s="369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0"/>
      <c r="P29" s="3696"/>
      <c r="Q29" s="1350"/>
      <c r="R29" s="704"/>
      <c r="S29" s="705"/>
      <c r="T29" s="704"/>
      <c r="U29" s="705"/>
      <c r="V29" s="704"/>
      <c r="W29" s="705"/>
      <c r="X29" s="1353"/>
      <c r="Y29" s="3696"/>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0"/>
      <c r="P30" s="3696"/>
      <c r="Q30" s="1350" t="str">
        <f t="shared" si="8"/>
        <v>土地级别</v>
      </c>
      <c r="R30" s="704" t="s">
        <v>14</v>
      </c>
      <c r="S30" s="705">
        <f t="shared" si="10"/>
        <v>100</v>
      </c>
      <c r="T30" s="704" t="s">
        <v>14</v>
      </c>
      <c r="U30" s="705">
        <f t="shared" si="11"/>
        <v>100</v>
      </c>
      <c r="V30" s="704" t="s">
        <v>14</v>
      </c>
      <c r="W30" s="705">
        <f t="shared" si="12"/>
        <v>100</v>
      </c>
      <c r="X30" s="1353"/>
      <c r="Y30" s="369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0"/>
      <c r="P31" s="3696"/>
      <c r="Q31" s="1350">
        <f t="shared" si="8"/>
        <v>111</v>
      </c>
      <c r="R31" s="704" t="s">
        <v>14</v>
      </c>
      <c r="S31" s="705">
        <f t="shared" si="10"/>
        <v>100</v>
      </c>
      <c r="T31" s="704" t="s">
        <v>14</v>
      </c>
      <c r="U31" s="705">
        <f t="shared" si="11"/>
        <v>100</v>
      </c>
      <c r="V31" s="704" t="s">
        <v>14</v>
      </c>
      <c r="W31" s="705">
        <f t="shared" si="12"/>
        <v>100</v>
      </c>
      <c r="X31" s="1353"/>
      <c r="Y31" s="369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0"/>
      <c r="P32" s="3778" t="s">
        <v>1696</v>
      </c>
      <c r="Q32" s="1350">
        <f t="shared" si="8"/>
        <v>111</v>
      </c>
      <c r="R32" s="704" t="s">
        <v>14</v>
      </c>
      <c r="S32" s="705">
        <f t="shared" si="10"/>
        <v>100</v>
      </c>
      <c r="T32" s="704" t="s">
        <v>14</v>
      </c>
      <c r="U32" s="705">
        <f t="shared" si="11"/>
        <v>100</v>
      </c>
      <c r="V32" s="704" t="s">
        <v>14</v>
      </c>
      <c r="W32" s="705">
        <f t="shared" si="12"/>
        <v>100</v>
      </c>
      <c r="X32" s="1353"/>
      <c r="Y32" s="370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1"/>
      <c r="P33" s="3700"/>
      <c r="Q33" s="1350">
        <f t="shared" si="8"/>
        <v>111</v>
      </c>
      <c r="R33" s="707" t="s">
        <v>14</v>
      </c>
      <c r="S33" s="708">
        <f t="shared" si="10"/>
        <v>100</v>
      </c>
      <c r="T33" s="707" t="s">
        <v>14</v>
      </c>
      <c r="U33" s="708">
        <f t="shared" si="11"/>
        <v>100</v>
      </c>
      <c r="V33" s="707" t="s">
        <v>14</v>
      </c>
      <c r="W33" s="708">
        <f t="shared" si="12"/>
        <v>100</v>
      </c>
      <c r="X33" s="709"/>
      <c r="Y33" s="3700"/>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0"/>
      <c r="P34" s="3700"/>
      <c r="Q34" s="1350" t="str">
        <f>B34</f>
        <v>宗地面积</v>
      </c>
      <c r="R34" s="704" t="s">
        <v>14</v>
      </c>
      <c r="S34" s="705" t="e">
        <f t="shared" si="10"/>
        <v>#N/A</v>
      </c>
      <c r="T34" s="704" t="s">
        <v>14</v>
      </c>
      <c r="U34" s="705" t="e">
        <f t="shared" si="11"/>
        <v>#N/A</v>
      </c>
      <c r="V34" s="704" t="s">
        <v>14</v>
      </c>
      <c r="W34" s="705" t="e">
        <f t="shared" si="12"/>
        <v>#N/A</v>
      </c>
      <c r="X34" s="1353"/>
      <c r="Y34" s="370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0"/>
      <c r="P35" s="3700"/>
      <c r="Q35" s="1350" t="str">
        <f t="shared" ref="Q35:Q40" si="14">B35</f>
        <v>宗地形状</v>
      </c>
      <c r="R35" s="704" t="s">
        <v>14</v>
      </c>
      <c r="S35" s="705">
        <f t="shared" si="10"/>
        <v>100</v>
      </c>
      <c r="T35" s="704" t="s">
        <v>14</v>
      </c>
      <c r="U35" s="705">
        <f t="shared" si="11"/>
        <v>100</v>
      </c>
      <c r="V35" s="704" t="s">
        <v>14</v>
      </c>
      <c r="W35" s="705">
        <f t="shared" si="12"/>
        <v>100</v>
      </c>
      <c r="X35" s="1353"/>
      <c r="Y35" s="370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8"/>
      <c r="P36" s="3700"/>
      <c r="Q36" s="1350"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0"/>
      <c r="P37" s="3700" t="s">
        <v>1696</v>
      </c>
      <c r="Q37" s="1350" t="str">
        <f t="shared" si="14"/>
        <v>工程地质条件</v>
      </c>
      <c r="R37" s="704" t="s">
        <v>14</v>
      </c>
      <c r="S37" s="705">
        <f t="shared" si="10"/>
        <v>100</v>
      </c>
      <c r="T37" s="704" t="s">
        <v>14</v>
      </c>
      <c r="U37" s="705">
        <f t="shared" si="11"/>
        <v>100</v>
      </c>
      <c r="V37" s="704" t="s">
        <v>14</v>
      </c>
      <c r="W37" s="705">
        <f t="shared" si="12"/>
        <v>100</v>
      </c>
      <c r="X37" s="1353"/>
      <c r="Y37" s="3700"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0"/>
      <c r="P38" s="3700"/>
      <c r="Q38" s="1350">
        <f t="shared" si="14"/>
        <v>111</v>
      </c>
      <c r="R38" s="704" t="s">
        <v>14</v>
      </c>
      <c r="S38" s="705">
        <f t="shared" si="10"/>
        <v>100</v>
      </c>
      <c r="T38" s="704" t="s">
        <v>14</v>
      </c>
      <c r="U38" s="705">
        <f t="shared" si="11"/>
        <v>100</v>
      </c>
      <c r="V38" s="704" t="s">
        <v>14</v>
      </c>
      <c r="W38" s="705">
        <f t="shared" si="12"/>
        <v>100</v>
      </c>
      <c r="X38" s="1353"/>
      <c r="Y38" s="3700"/>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0"/>
      <c r="P39" s="3700"/>
      <c r="Q39" s="1350">
        <f t="shared" si="14"/>
        <v>111</v>
      </c>
      <c r="R39" s="704" t="s">
        <v>14</v>
      </c>
      <c r="S39" s="705">
        <f t="shared" si="10"/>
        <v>100</v>
      </c>
      <c r="T39" s="704" t="s">
        <v>14</v>
      </c>
      <c r="U39" s="705">
        <f t="shared" si="11"/>
        <v>100</v>
      </c>
      <c r="V39" s="704" t="s">
        <v>14</v>
      </c>
      <c r="W39" s="705">
        <f t="shared" si="12"/>
        <v>100</v>
      </c>
      <c r="X39" s="1353"/>
      <c r="Y39" s="3700"/>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1"/>
      <c r="P40" s="3700"/>
      <c r="Q40" s="1350">
        <f t="shared" si="14"/>
        <v>111</v>
      </c>
      <c r="R40" s="707" t="s">
        <v>14</v>
      </c>
      <c r="S40" s="708">
        <f t="shared" si="10"/>
        <v>100</v>
      </c>
      <c r="T40" s="707" t="s">
        <v>14</v>
      </c>
      <c r="U40" s="708">
        <f t="shared" si="11"/>
        <v>100</v>
      </c>
      <c r="V40" s="707" t="s">
        <v>14</v>
      </c>
      <c r="W40" s="708">
        <f t="shared" si="12"/>
        <v>100</v>
      </c>
      <c r="X40" s="709"/>
      <c r="Y40" s="3700"/>
      <c r="Z40" s="710">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3"/>
      <c r="L41" s="2721"/>
      <c r="M41" s="2713"/>
      <c r="N41" s="2713"/>
      <c r="O41" s="2722"/>
      <c r="P41" s="3688" t="str">
        <f>A41</f>
        <v>成交单价</v>
      </c>
      <c r="Q41" s="3688"/>
      <c r="R41" s="3702">
        <f>E41</f>
        <v>0</v>
      </c>
      <c r="S41" s="3702"/>
      <c r="T41" s="3702">
        <f>G41</f>
        <v>0</v>
      </c>
      <c r="U41" s="3702"/>
      <c r="V41" s="3702">
        <f>I41</f>
        <v>0</v>
      </c>
      <c r="W41" s="3702"/>
      <c r="X41" s="689"/>
      <c r="Y41" s="711"/>
      <c r="Z41" s="689"/>
      <c r="AA41" s="689"/>
      <c r="AB41" s="689"/>
      <c r="AC41" s="689"/>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1"/>
      <c r="M42" s="2713"/>
      <c r="N42" s="2713"/>
      <c r="O42" s="2722"/>
      <c r="P42" s="3688" t="str">
        <f>A42</f>
        <v>比较价值（元/平方米）</v>
      </c>
      <c r="Q42" s="3688"/>
      <c r="R42" s="3780" t="e">
        <f>ROUND(PRODUCT(R41,AA7:AA40),0)</f>
        <v>#DIV/0!</v>
      </c>
      <c r="S42" s="3780"/>
      <c r="T42" s="3780" t="e">
        <f>ROUND(PRODUCT(T41,AB7:AB40),0)</f>
        <v>#DIV/0!</v>
      </c>
      <c r="U42" s="3780"/>
      <c r="V42" s="3780" t="e">
        <f>ROUND(PRODUCT(V41,AC7:AC40),0)</f>
        <v>#DIV/0!</v>
      </c>
      <c r="W42" s="378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690" t="str">
        <f>A43</f>
        <v>估价对象XX用房的比较价值（楼面单价，元/平方米）</v>
      </c>
      <c r="Q43" s="3691"/>
      <c r="R43" s="3781" t="e">
        <f>ROUND(IF(D42="简单平均",AVERAGE(R42:W42),R42*F42+T42*H42+V42*J42),0)</f>
        <v>#DIV/0!</v>
      </c>
      <c r="S43" s="3781"/>
      <c r="T43" s="3781"/>
      <c r="U43" s="3781"/>
      <c r="V43" s="3781"/>
      <c r="W43" s="378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07" t="s">
        <v>1887</v>
      </c>
      <c r="H50" s="3782"/>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4167.1099999999997</v>
      </c>
      <c r="F51" s="638" t="e">
        <f t="shared" ref="F51:F60" si="15">ROUND(B51*E51/10000,0)</f>
        <v>#DIV/0!</v>
      </c>
      <c r="G51" s="3703"/>
      <c r="H51" s="3688"/>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4">
        <v>0.25</v>
      </c>
      <c r="E52" s="641"/>
      <c r="F52" s="638" t="e">
        <f t="shared" si="15"/>
        <v>#DIV/0!</v>
      </c>
      <c r="G52" s="3002" t="s">
        <v>1892</v>
      </c>
      <c r="H52" s="886" t="str">
        <f>项目基本情况!B37</f>
        <v>一级</v>
      </c>
      <c r="I52" s="772">
        <f>SUMIF(修正!A57:A68,H52,修正!B57:B68)</f>
        <v>0.7</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4">
        <v>0.25</v>
      </c>
      <c r="E53" s="641"/>
      <c r="F53" s="638" t="e">
        <f t="shared" si="15"/>
        <v>#DIV/0!</v>
      </c>
      <c r="G53" s="3003"/>
      <c r="H53" s="886" t="str">
        <f>项目基本情况!B37</f>
        <v>一级</v>
      </c>
      <c r="I53" s="772">
        <f>SUMIF(修正!A57:A68,H53,修正!C57:C68)</f>
        <v>0.4</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4">
        <v>0.25</v>
      </c>
      <c r="E54" s="641"/>
      <c r="F54" s="638" t="e">
        <f t="shared" si="15"/>
        <v>#DIV/0!</v>
      </c>
      <c r="G54" s="3003"/>
      <c r="H54" s="886" t="str">
        <f>项目基本情况!B37</f>
        <v>一级</v>
      </c>
      <c r="I54" s="772">
        <f>SUMIF(修正!A57:A68,H54,修正!D57:D68)</f>
        <v>0.3</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4">
        <v>0.25</v>
      </c>
      <c r="E59" s="216">
        <f>'数据-汇总表'!E14</f>
        <v>0</v>
      </c>
      <c r="F59" s="638" t="e">
        <f t="shared" si="15"/>
        <v>#DIV/0!</v>
      </c>
      <c r="G59" s="1985" t="s">
        <v>1892</v>
      </c>
      <c r="H59" s="886" t="str">
        <f>项目基本情况!B37</f>
        <v>一级</v>
      </c>
      <c r="I59" s="772">
        <f>SUMIF(修正!A57:A68,H59,修正!G57:G68)</f>
        <v>0.2</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2328.75</v>
      </c>
      <c r="F61" s="644"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6" customFormat="1" ht="15">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8"/>
      <c r="O68" s="2748"/>
      <c r="P68" s="2773"/>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8"/>
      <c r="O69" s="2748"/>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20"/>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91" t="s">
        <v>2084</v>
      </c>
      <c r="D1" s="3792"/>
      <c r="E1" s="3792"/>
      <c r="F1" s="3792"/>
      <c r="G1" s="3792"/>
      <c r="H1" s="3792"/>
      <c r="I1" s="3792"/>
      <c r="J1" s="3792"/>
      <c r="K1" s="3792"/>
      <c r="L1" s="3792"/>
      <c r="M1" s="3792"/>
      <c r="N1" s="3792"/>
      <c r="O1" s="3792"/>
      <c r="P1" s="3792"/>
      <c r="Q1" s="3792"/>
      <c r="R1" s="3792"/>
      <c r="S1" s="379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5"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88" t="s">
        <v>27</v>
      </c>
      <c r="D22" s="3789"/>
      <c r="E22" s="3789"/>
      <c r="F22" s="3789"/>
      <c r="G22" s="3789"/>
      <c r="H22" s="3789"/>
      <c r="I22" s="3789"/>
      <c r="J22" s="3789"/>
      <c r="K22" s="3789"/>
      <c r="L22" s="3789"/>
      <c r="M22" s="3789"/>
      <c r="N22" s="3789"/>
      <c r="O22" s="3789"/>
      <c r="P22" s="3789"/>
      <c r="Q22" s="379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13923</v>
      </c>
      <c r="C2" s="2143" t="s">
        <v>2074</v>
      </c>
      <c r="D2" s="2143" t="s">
        <v>2075</v>
      </c>
      <c r="E2" s="2609">
        <f ca="1">SUMIF(E6:E13,"&lt;&gt;#ref!",E6:E13)</f>
        <v>628.9</v>
      </c>
      <c r="F2" s="2789"/>
      <c r="G2" s="2789"/>
      <c r="H2" s="2789"/>
      <c r="I2" s="2789"/>
      <c r="J2" s="2789"/>
      <c r="K2" s="2789"/>
      <c r="L2" s="2789"/>
      <c r="M2" s="2789"/>
      <c r="N2" s="2789"/>
      <c r="O2" s="2789"/>
      <c r="P2" s="2789"/>
    </row>
    <row r="3" spans="1:16" ht="15.75">
      <c r="A3" s="2143" t="s">
        <v>2076</v>
      </c>
      <c r="B3" s="2599">
        <f ca="1">ROUND(B2*10000/E2,0)</f>
        <v>221387</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13923</v>
      </c>
      <c r="C6" s="2143" t="s">
        <v>2074</v>
      </c>
      <c r="D6" s="2789"/>
      <c r="E6" s="2609">
        <f ca="1">SUMIF(INDIRECT("'"&amp;A6&amp;"'"&amp;"!C:C"),"建筑面积",INDIRECT("'"&amp;A6&amp;"'"&amp;"!D:D"))</f>
        <v>628.9</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t="s">
        <v>673</v>
      </c>
      <c r="C1" s="197"/>
      <c r="D1" s="197"/>
      <c r="E1" s="197"/>
      <c r="F1" s="197"/>
      <c r="G1" s="1125">
        <f>MATCH(B1,'数据-取费表'!A6:A16,0)+5</f>
        <v>6</v>
      </c>
    </row>
    <row r="2" spans="1:9" s="199" customFormat="1" ht="18" customHeight="1">
      <c r="A2" s="200" t="s">
        <v>1462</v>
      </c>
      <c r="B2" s="201">
        <f ca="1">IF(D2="——",C52,C52-E2)</f>
        <v>21618</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45075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14444</v>
      </c>
      <c r="D5" s="210" t="s">
        <v>1469</v>
      </c>
      <c r="E5" s="211" t="s">
        <v>1470</v>
      </c>
      <c r="F5" s="211" t="s">
        <v>1471</v>
      </c>
      <c r="G5" s="212"/>
    </row>
    <row r="6" spans="1:9" s="213" customFormat="1" ht="13.5" customHeight="1">
      <c r="A6" s="777" t="s">
        <v>1472</v>
      </c>
      <c r="B6" s="214" t="s">
        <v>1473</v>
      </c>
      <c r="C6" s="215">
        <f>ROUND((基准地价修正!D37*基准地价修正!C37)/10000+基准地价修正!V2+基准地价修正!V3+基准地价修正!V4+基准地价修正!V5+基准地价修正!V6,0)</f>
        <v>13923</v>
      </c>
      <c r="D6" s="216"/>
      <c r="E6" s="217"/>
      <c r="F6" s="217"/>
      <c r="G6" s="218"/>
    </row>
    <row r="7" spans="1:9" s="213" customFormat="1" ht="13.5" customHeight="1">
      <c r="A7" s="777" t="s">
        <v>1474</v>
      </c>
      <c r="B7" s="214" t="s">
        <v>1475</v>
      </c>
      <c r="C7" s="219">
        <f>ROUND(C6*F7,0)</f>
        <v>425</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96</v>
      </c>
      <c r="D8" s="221"/>
      <c r="E8" s="219"/>
      <c r="F8" s="220"/>
      <c r="G8" s="1854" t="s">
        <v>3410</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5"/>
      <c r="H9" s="3448">
        <f ca="1">C10</f>
        <v>96</v>
      </c>
      <c r="I9" s="1856" t="s">
        <v>1479</v>
      </c>
    </row>
    <row r="10" spans="1:9" s="213" customFormat="1" ht="13.5" customHeight="1">
      <c r="A10" s="778" t="s">
        <v>356</v>
      </c>
      <c r="B10" s="223" t="s">
        <v>1480</v>
      </c>
      <c r="C10" s="224">
        <f ca="1">ROUND(D10*E10/10000,0)</f>
        <v>96</v>
      </c>
      <c r="D10" s="844">
        <f ca="1">IF(B1="",'数据-汇总表'!E6,IF(INDIRECT("'数据-取费表'!c"&amp;$G$1)="住宅",INDIRECT("'数据-取费表'!s"&amp;$G$1),INDIRECT("'数据-取费表'!k"&amp;$G$1)+INDIRECT("'数据-取费表'!s"&amp;$G$1)))</f>
        <v>4796.0099999999993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4796.0099999999993</v>
      </c>
      <c r="E19" s="210">
        <f>'数据-取费表'!B31</f>
        <v>200</v>
      </c>
      <c r="F19" s="230"/>
      <c r="G19" s="1854" t="s">
        <v>3411</v>
      </c>
    </row>
    <row r="20" spans="1:7" s="213" customFormat="1" ht="13.5" customHeight="1">
      <c r="A20" s="254" t="s">
        <v>1493</v>
      </c>
      <c r="B20" s="209" t="s">
        <v>1494</v>
      </c>
      <c r="C20" s="231">
        <f ca="1">ROUND((C5+C19)*F20,0)</f>
        <v>289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739</v>
      </c>
      <c r="D22" s="234">
        <f>C26</f>
        <v>5.0000000000000001E-4</v>
      </c>
      <c r="E22" s="235" t="s">
        <v>1498</v>
      </c>
      <c r="F22" s="236">
        <f>'数据-取费表'!B40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732</v>
      </c>
      <c r="D23" s="237"/>
      <c r="E23" s="237"/>
      <c r="F23" s="238"/>
      <c r="G23" s="239" t="s">
        <v>1504</v>
      </c>
    </row>
    <row r="24" spans="1:7" s="213" customFormat="1" ht="13.5" customHeight="1">
      <c r="A24" s="779" t="s">
        <v>1505</v>
      </c>
      <c r="B24" s="214" t="s">
        <v>1506</v>
      </c>
      <c r="C24" s="1104">
        <f>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7</v>
      </c>
      <c r="D25" s="237"/>
      <c r="E25" s="240"/>
      <c r="F25" s="238"/>
      <c r="G25" s="241" t="s">
        <v>1510</v>
      </c>
    </row>
    <row r="26" spans="1:7" s="213" customFormat="1">
      <c r="A26" s="779" t="s">
        <v>350</v>
      </c>
      <c r="B26" s="214" t="s">
        <v>1511</v>
      </c>
      <c r="C26" s="237">
        <f>ROUND(IF('数据-取费表'!B22&lt;=1,F21*F22*'数据-取费表'!B23/2,F21*(POWER((1+F22),'数据-取费表'!B23/2)-1)),4)</f>
        <v>5.0000000000000001E-4</v>
      </c>
      <c r="D26" s="237"/>
      <c r="E26" s="240"/>
      <c r="F26" s="238"/>
      <c r="G26" s="242"/>
    </row>
    <row r="27" spans="1:7" s="213" customFormat="1" ht="24.75">
      <c r="A27" s="254" t="s">
        <v>1512</v>
      </c>
      <c r="B27" s="243" t="s">
        <v>1513</v>
      </c>
      <c r="C27" s="244">
        <f ca="1">C28</f>
        <v>2210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2210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19153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2110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1918</v>
      </c>
      <c r="D34" s="216"/>
      <c r="E34" s="219"/>
      <c r="F34" s="256">
        <f ca="1">IF('数据-取费表'!B24=0,1,IF(B1="",'数据-取费表'!N16,INDIRECT("'数据-取费表'!n"&amp;$G$1)))</f>
        <v>1</v>
      </c>
      <c r="G34" s="218" t="s">
        <v>1526</v>
      </c>
    </row>
    <row r="35" spans="1:7" ht="13.5" customHeight="1">
      <c r="A35" s="779" t="s">
        <v>351</v>
      </c>
      <c r="B35" s="214" t="s">
        <v>1527</v>
      </c>
      <c r="C35" s="219">
        <f ca="1">ROUND(C34*F35,0)</f>
        <v>58</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96</v>
      </c>
      <c r="D37" s="216">
        <f ca="1">D19</f>
        <v>4796.0099999999993</v>
      </c>
      <c r="E37" s="248">
        <f>'数据-取费表'!B35</f>
        <v>200</v>
      </c>
      <c r="F37" s="258"/>
      <c r="G37" s="260" t="s">
        <v>1532</v>
      </c>
    </row>
    <row r="38" spans="1:7" ht="13.5" customHeight="1">
      <c r="A38" s="779" t="s">
        <v>354</v>
      </c>
      <c r="B38" s="214" t="s">
        <v>1533</v>
      </c>
      <c r="C38" s="219">
        <f ca="1">ROUND(C34*F38,0)</f>
        <v>38</v>
      </c>
      <c r="D38" s="219"/>
      <c r="E38" s="219"/>
      <c r="F38" s="258">
        <f>'数据-取费表'!B36</f>
        <v>0.02</v>
      </c>
      <c r="G38" s="218" t="s">
        <v>1528</v>
      </c>
    </row>
    <row r="39" spans="1:7" s="213" customFormat="1" ht="13.5" customHeight="1">
      <c r="A39" s="254" t="s">
        <v>1534</v>
      </c>
      <c r="B39" s="209" t="s">
        <v>1535</v>
      </c>
      <c r="C39" s="231">
        <f ca="1">ROUND(C33*F20,0)</f>
        <v>42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54</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53</v>
      </c>
      <c r="D42" s="237"/>
      <c r="E42" s="237"/>
      <c r="F42" s="238"/>
      <c r="G42" s="3685" t="s">
        <v>1544</v>
      </c>
    </row>
    <row r="43" spans="1:7" ht="13.5" customHeight="1">
      <c r="A43" s="779" t="s">
        <v>347</v>
      </c>
      <c r="B43" s="214" t="s">
        <v>1545</v>
      </c>
      <c r="C43" s="237">
        <f ca="1">ROUND(IF('数据-取费表'!B22&lt;=1,C39*F22*'数据-取费表'!B21/2,C39*(POWER((1+F22),'数据-取费表'!B21/2)-1)),0)</f>
        <v>1</v>
      </c>
      <c r="D43" s="237"/>
      <c r="E43" s="237"/>
      <c r="F43" s="238"/>
      <c r="G43" s="3686"/>
    </row>
    <row r="44" spans="1:7" ht="13.5" customHeight="1">
      <c r="A44" s="779" t="s">
        <v>348</v>
      </c>
      <c r="B44" s="214" t="s">
        <v>1546</v>
      </c>
      <c r="C44" s="237">
        <f>ROUND(IF('数据-取费表'!B22&lt;=1,C40*F22*'数据-取费表'!B21/2,C40*(POWER((1+F22),'数据-取费表'!B21/2)-1)),4)</f>
        <v>5.0000000000000001E-4</v>
      </c>
      <c r="D44" s="237"/>
      <c r="E44" s="237"/>
      <c r="F44" s="238"/>
      <c r="G44" s="3687"/>
    </row>
    <row r="45" spans="1:7" s="213" customFormat="1" ht="13.5" customHeight="1">
      <c r="A45" s="254" t="s">
        <v>1547</v>
      </c>
      <c r="B45" s="243" t="s">
        <v>1513</v>
      </c>
      <c r="C45" s="244">
        <f ca="1">C46</f>
        <v>323</v>
      </c>
      <c r="D45" s="234">
        <f ca="1">C47</f>
        <v>3.0000000000000001E-3</v>
      </c>
      <c r="E45" s="235" t="s">
        <v>1539</v>
      </c>
      <c r="F45" s="245">
        <f ca="1">F27</f>
        <v>0.15</v>
      </c>
      <c r="G45" s="246" t="s">
        <v>1548</v>
      </c>
    </row>
    <row r="46" spans="1:7" s="213" customFormat="1" ht="13.5" customHeight="1">
      <c r="A46" s="779" t="s">
        <v>346</v>
      </c>
      <c r="B46" s="247" t="s">
        <v>1549</v>
      </c>
      <c r="C46" s="248">
        <f ca="1">ROUND((C33+C39)*F27,0)</f>
        <v>323</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2739</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2465</v>
      </c>
      <c r="D51" s="231"/>
      <c r="E51" s="231"/>
      <c r="F51" s="263"/>
      <c r="G51" s="233" t="s">
        <v>1560</v>
      </c>
    </row>
    <row r="52" spans="1:7" s="207" customFormat="1" ht="16.5" thickBot="1">
      <c r="A52" s="264" t="s">
        <v>1561</v>
      </c>
      <c r="B52" s="265"/>
      <c r="C52" s="266">
        <f ca="1">C31+C51</f>
        <v>21618</v>
      </c>
      <c r="D52" s="265"/>
      <c r="E52" s="265"/>
      <c r="F52" s="265"/>
      <c r="G52" s="267"/>
    </row>
    <row r="55" spans="1:7" ht="15">
      <c r="B55" s="269" t="s">
        <v>1562</v>
      </c>
      <c r="C55" s="270"/>
    </row>
    <row r="56" spans="1:7">
      <c r="B56" s="272" t="s">
        <v>802</v>
      </c>
      <c r="C56" s="274">
        <f ca="1">1-C57</f>
        <v>0.88600000000000001</v>
      </c>
    </row>
    <row r="57" spans="1:7">
      <c r="B57" s="272" t="s">
        <v>803</v>
      </c>
      <c r="C57" s="273">
        <f ca="1">ROUND(C51/C52,3)</f>
        <v>0.114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1926</v>
      </c>
      <c r="B1" s="196"/>
      <c r="C1" s="200" t="s">
        <v>1927</v>
      </c>
      <c r="D1" s="341">
        <f>SUM(D33:D34,D37:D42)</f>
        <v>628.9</v>
      </c>
      <c r="E1" s="1993"/>
      <c r="F1" s="1993"/>
      <c r="G1" s="1993"/>
      <c r="H1" s="1993"/>
      <c r="I1" s="1993"/>
      <c r="J1" s="1993"/>
      <c r="K1" s="1118"/>
      <c r="L1" s="1994" t="s">
        <v>1928</v>
      </c>
      <c r="M1" s="862">
        <f>SUMPRODUCT((区片价!B5:B9=I2)*(区片价!C3:G3=E2)*(区片价!C5:G9))</f>
        <v>34550</v>
      </c>
      <c r="N1" s="865">
        <f>SUMPRODUCT((因素修正幅度!B5:B9=I2)*(因素修正幅度!C3:G3=E2)*(因素修正幅度!C5:G9))</f>
        <v>9.8000000000000004E-2</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13923</v>
      </c>
      <c r="C2" s="1997" t="s">
        <v>1935</v>
      </c>
      <c r="D2" s="1998" t="s">
        <v>1936</v>
      </c>
      <c r="E2" s="3418"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1.5206</v>
      </c>
      <c r="T2" s="3357">
        <f t="shared" ref="T2:T16" si="0">ROUND($C$5*$C$22*$C$23*$C$24*S2*$C$28,0)</f>
        <v>38310</v>
      </c>
      <c r="U2" s="1211">
        <f>信息表!J29</f>
        <v>1651.5099999999998</v>
      </c>
      <c r="V2" s="3357">
        <f>ROUND(T2*U2/10000,0)</f>
        <v>6327</v>
      </c>
      <c r="W2" s="1214"/>
      <c r="X2" s="1214"/>
      <c r="Y2" s="1214"/>
      <c r="Z2" s="1214"/>
      <c r="AA2" s="1214"/>
      <c r="AB2" s="1214"/>
      <c r="AC2" s="1215"/>
      <c r="AD2" s="1216"/>
      <c r="AE2" s="1216"/>
      <c r="AF2" s="1216"/>
      <c r="AG2" s="1216"/>
      <c r="AH2" s="1216"/>
      <c r="AI2" s="1216"/>
      <c r="AJ2" s="1217"/>
    </row>
    <row r="3" spans="1:36" ht="15.75">
      <c r="A3" s="202" t="s">
        <v>1940</v>
      </c>
      <c r="B3" s="203">
        <f>ROUND(B2*10000/D1,0)</f>
        <v>221387</v>
      </c>
      <c r="C3" s="1997" t="s">
        <v>1941</v>
      </c>
      <c r="D3" s="1998" t="s">
        <v>1942</v>
      </c>
      <c r="E3" s="3416" t="s">
        <v>2453</v>
      </c>
      <c r="F3" s="2002" t="s">
        <v>3402</v>
      </c>
      <c r="G3" s="751">
        <f>IF(F3="宗地容积率",'数据-汇总表'!I4,IF(F3="估价对象容积率",'数据-汇总表'!I6,'数据-汇总表'!I7))</f>
        <v>1.79</v>
      </c>
      <c r="H3" s="169"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1.2072000000000001</v>
      </c>
      <c r="T3" s="3357">
        <f t="shared" si="0"/>
        <v>30414</v>
      </c>
      <c r="U3" s="1211">
        <f>信息表!J30</f>
        <v>628.9</v>
      </c>
      <c r="V3" s="3357">
        <f t="shared" ref="V3:V16" si="1">ROUND(T3*U3/10000,0)</f>
        <v>1913</v>
      </c>
      <c r="W3" s="1214"/>
      <c r="X3" s="1214"/>
      <c r="Y3" s="1214"/>
      <c r="Z3" s="1214"/>
      <c r="AA3" s="1214"/>
      <c r="AB3" s="1214"/>
      <c r="AC3" s="1215"/>
      <c r="AD3" s="1216"/>
      <c r="AE3" s="1216"/>
      <c r="AF3" s="1216"/>
      <c r="AG3" s="1216"/>
      <c r="AH3" s="1216"/>
      <c r="AI3" s="1216"/>
      <c r="AJ3" s="1217"/>
    </row>
    <row r="4" spans="1:36" ht="15.75">
      <c r="A4" s="3801"/>
      <c r="B4" s="3802"/>
      <c r="C4" s="3802"/>
      <c r="D4" s="3803"/>
      <c r="E4" s="3803"/>
      <c r="F4" s="3803"/>
      <c r="G4" s="3803"/>
      <c r="H4" s="3803"/>
      <c r="I4" s="3803"/>
      <c r="J4" s="3804"/>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1.0430999999999999</v>
      </c>
      <c r="T4" s="3357">
        <f t="shared" si="0"/>
        <v>26280</v>
      </c>
      <c r="U4" s="1211">
        <f>信息表!J31</f>
        <v>628.9</v>
      </c>
      <c r="V4" s="3357">
        <f t="shared" si="1"/>
        <v>1653</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34533</v>
      </c>
      <c r="D5" s="1337">
        <f>ROUND(C6*C17+C20,0)</f>
        <v>34533</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0.94389999999999996</v>
      </c>
      <c r="T5" s="3357">
        <f t="shared" si="0"/>
        <v>23781</v>
      </c>
      <c r="U5" s="1211">
        <f>信息表!J32</f>
        <v>628.9</v>
      </c>
      <c r="V5" s="3357">
        <f t="shared" si="1"/>
        <v>1496</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34550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0.89959999999999996</v>
      </c>
      <c r="T6" s="3357">
        <f t="shared" si="0"/>
        <v>22665</v>
      </c>
      <c r="U6" s="1211">
        <f>信息表!J33</f>
        <v>628.9</v>
      </c>
      <c r="V6" s="3357">
        <f t="shared" si="1"/>
        <v>1425</v>
      </c>
      <c r="W6" s="1214"/>
      <c r="X6" s="1214"/>
      <c r="Y6" s="1214"/>
      <c r="Z6" s="1214"/>
      <c r="AA6" s="1214"/>
      <c r="AB6" s="1214"/>
      <c r="AC6" s="2009"/>
      <c r="AD6" s="2010"/>
      <c r="AE6" s="2010"/>
      <c r="AF6" s="2010"/>
      <c r="AG6" s="2010"/>
      <c r="AH6" s="2010"/>
      <c r="AI6" s="2010"/>
      <c r="AJ6" s="2011"/>
    </row>
    <row r="7" spans="1:36" ht="24.75" thickBot="1">
      <c r="A7" s="3300" t="s">
        <v>3241</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1955</v>
      </c>
      <c r="X7" s="1212" t="str">
        <f>G2</f>
        <v>一级</v>
      </c>
      <c r="Y7" s="1212" t="s">
        <v>1956</v>
      </c>
      <c r="Z7" s="1213">
        <f>G3</f>
        <v>1.79</v>
      </c>
      <c r="AA7" s="1214"/>
      <c r="AB7" s="1214"/>
      <c r="AC7" s="1215"/>
      <c r="AD7" s="1216"/>
      <c r="AE7" s="1216"/>
      <c r="AF7" s="1216"/>
      <c r="AG7" s="1216"/>
      <c r="AH7" s="1216"/>
      <c r="AI7" s="1216"/>
      <c r="AJ7" s="1217"/>
    </row>
    <row r="8" spans="1:36" ht="25.5">
      <c r="A8" s="3295"/>
      <c r="B8" s="169" t="s">
        <v>1957</v>
      </c>
      <c r="C8" s="2024" t="s">
        <v>3403</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98" t="s">
        <v>1960</v>
      </c>
      <c r="X8" s="379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7">
        <f t="shared" si="0"/>
        <v>0</v>
      </c>
      <c r="U10" s="1211"/>
      <c r="V10" s="3357">
        <f t="shared" si="1"/>
        <v>0</v>
      </c>
      <c r="W10" s="380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3246</v>
      </c>
      <c r="B13" s="2032" t="s">
        <v>1982</v>
      </c>
      <c r="C13" s="754">
        <f>ROUND(C16*D16*E16*F16*G16*H16*I16*J16,4)</f>
        <v>0</v>
      </c>
      <c r="D13" s="2033" t="s">
        <v>1983</v>
      </c>
      <c r="E13" s="2034"/>
      <c r="F13" s="2034"/>
      <c r="G13" s="2035"/>
      <c r="H13" s="2035"/>
      <c r="I13" s="2035"/>
      <c r="J13" s="2036"/>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3247</v>
      </c>
      <c r="G14" s="3308" t="s">
        <v>3247</v>
      </c>
      <c r="H14" s="3308" t="s">
        <v>3247</v>
      </c>
      <c r="I14" s="3308" t="s">
        <v>3247</v>
      </c>
      <c r="J14" s="3308" t="s">
        <v>3247</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3248</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8"/>
      <c r="L16" s="1995"/>
      <c r="M16" s="1995"/>
      <c r="N16" s="1995"/>
      <c r="O16" s="1995"/>
      <c r="P16" s="1995"/>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9"/>
      <c r="B18" s="3006"/>
      <c r="C18" s="3324"/>
      <c r="D18" s="3319" t="s">
        <v>3252</v>
      </c>
      <c r="E18" s="3325"/>
      <c r="F18" s="3320" t="s">
        <v>3255</v>
      </c>
      <c r="G18" s="3324">
        <f>ROUND(1-(1/(POWER(1+G24,E18))),4)</f>
        <v>0</v>
      </c>
      <c r="H18" s="3320" t="s">
        <v>3257</v>
      </c>
      <c r="I18" s="3324">
        <f>ROUND(1-(1/(POWER(1+G24,J24))),4)</f>
        <v>0.88249999999999995</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5" thickBot="1">
      <c r="A19" s="3331"/>
      <c r="B19" s="3332"/>
      <c r="C19" s="3333"/>
      <c r="D19" s="3333" t="s">
        <v>3253</v>
      </c>
      <c r="E19" s="3334"/>
      <c r="F19" s="3335" t="s">
        <v>3256</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4.25">
      <c r="A20" s="3805" t="s">
        <v>3258</v>
      </c>
      <c r="B20" s="166" t="s">
        <v>1994</v>
      </c>
      <c r="C20" s="3321">
        <f>ROUND(IF(F21="与级别开发程度一致",0,(G21-E21)/C21),0)</f>
        <v>-17</v>
      </c>
      <c r="D20" s="3337" t="s">
        <v>1998</v>
      </c>
      <c r="E20" s="3338"/>
      <c r="F20" s="3811" t="s">
        <v>1995</v>
      </c>
      <c r="G20" s="3812"/>
      <c r="H20" s="3322" t="s">
        <v>3888</v>
      </c>
      <c r="I20" s="3322" t="s">
        <v>3889</v>
      </c>
      <c r="J20" s="3323" t="s">
        <v>3890</v>
      </c>
      <c r="K20" s="2045" t="s">
        <v>3891</v>
      </c>
      <c r="L20" s="2045" t="s">
        <v>3892</v>
      </c>
      <c r="M20" s="2045" t="s">
        <v>3893</v>
      </c>
      <c r="N20" s="2045" t="s">
        <v>3894</v>
      </c>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26.25" thickBot="1">
      <c r="A21" s="3806"/>
      <c r="B21" s="2162" t="s">
        <v>1997</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3887</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75" thickBot="1">
      <c r="A22" s="2156" t="s">
        <v>363</v>
      </c>
      <c r="B22" s="2157" t="s">
        <v>2000</v>
      </c>
      <c r="C22" s="2158">
        <f>SUMIF(修正!C20:C51,E3,修正!E20:E51)</f>
        <v>0.8</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2" t="s">
        <v>2002</v>
      </c>
      <c r="E23" s="760">
        <v>44197</v>
      </c>
      <c r="F23" s="2052" t="s">
        <v>2003</v>
      </c>
      <c r="G23" s="761">
        <f>'数据-取费表'!B2</f>
        <v>45512</v>
      </c>
      <c r="H23" s="3339" t="s">
        <v>3260</v>
      </c>
      <c r="I23" s="3340" t="str">
        <f>IF(H23="季度增幅（自定义）",SUMIF(N25:N28,E2,O25:O28),"")</f>
        <v/>
      </c>
      <c r="J23" s="3442" t="s">
        <v>3259</v>
      </c>
      <c r="K23" s="1124"/>
      <c r="L23" s="2053" t="s">
        <v>2004</v>
      </c>
      <c r="M23" s="1326">
        <f>ROUND(SUMIF(地价!B2:G2,E2,地价!B16:G16),0)</f>
        <v>350</v>
      </c>
      <c r="N23" s="2054" t="s">
        <v>2005</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0.83289999999999997</v>
      </c>
      <c r="D24" s="2058" t="s">
        <v>2007</v>
      </c>
      <c r="E24" s="1333">
        <f>存贷款利率!E24/100</f>
        <v>4.3499999999999997E-2</v>
      </c>
      <c r="F24" s="2058" t="s">
        <v>1999</v>
      </c>
      <c r="G24" s="767">
        <f>SUMIF(M30:Q30,E2,M33:Q33)</f>
        <v>5.5E-2</v>
      </c>
      <c r="H24" s="2058" t="s">
        <v>2008</v>
      </c>
      <c r="I24" s="768">
        <f>SUMIF('数据-取费表'!C6:C15,E2,'数据-取费表'!F6:F15)/COUNTIF('数据-取费表'!C6:C15,E2)</f>
        <v>24.81</v>
      </c>
      <c r="J24" s="769">
        <f>IF(E2="住宅",70,IF(E2="商业",40,50))</f>
        <v>40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3" t="s">
        <v>366</v>
      </c>
      <c r="B25" s="2064" t="s">
        <v>3439</v>
      </c>
      <c r="C25" s="770">
        <f>IF(B25="容积率修正",IF(G3&lt;10,D26,J26),C27)</f>
        <v>0</v>
      </c>
      <c r="D25" s="2065"/>
      <c r="E25" s="2065"/>
      <c r="F25" s="2065"/>
      <c r="G25" s="2065"/>
      <c r="H25" s="2065"/>
      <c r="I25" s="2065"/>
      <c r="J25" s="2066"/>
      <c r="K25" s="1124"/>
      <c r="L25" s="2784"/>
      <c r="M25" s="2784"/>
      <c r="N25" s="2067" t="s">
        <v>2013</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1" t="s">
        <v>3261</v>
      </c>
      <c r="D26" s="1350">
        <f>IF(E26=G26,F26,IF(G3&lt;10,ROUND(F26+(H26-F26)*(G3-E26)/(G26-E26),4),"——"))</f>
        <v>1.107</v>
      </c>
      <c r="E26" s="751">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51">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1.1057999999999999</v>
      </c>
      <c r="I26" s="3341" t="s">
        <v>3262</v>
      </c>
      <c r="J26" s="771" t="str">
        <f>IF(G3&gt;=10,D115,"——")</f>
        <v>——</v>
      </c>
      <c r="K26" s="1124"/>
      <c r="L26" s="2784"/>
      <c r="M26" s="2784"/>
      <c r="N26" s="2067" t="s">
        <v>2016</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1.0407999999999999</v>
      </c>
      <c r="D28" s="2050"/>
      <c r="E28" s="2075"/>
      <c r="F28" s="2075"/>
      <c r="G28" s="2075"/>
      <c r="H28" s="2075"/>
      <c r="I28" s="2075"/>
      <c r="J28" s="2076"/>
      <c r="K28" s="1124"/>
      <c r="L28" s="2784"/>
      <c r="M28" s="2784"/>
      <c r="N28" s="2077" t="s">
        <v>2021</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13923</v>
      </c>
      <c r="D30" s="2081"/>
      <c r="E30" s="2044"/>
      <c r="F30" s="2082"/>
      <c r="G30" s="2044"/>
      <c r="H30" s="2044"/>
      <c r="I30" s="2044"/>
      <c r="J30" s="2083"/>
      <c r="K30" s="1118"/>
      <c r="L30" s="3347" t="s">
        <v>1936</v>
      </c>
      <c r="M30" s="3348" t="s">
        <v>1990</v>
      </c>
      <c r="N30" s="3348" t="s">
        <v>1991</v>
      </c>
      <c r="O30" s="3348" t="s">
        <v>1992</v>
      </c>
      <c r="P30" s="3348" t="s">
        <v>1993</v>
      </c>
      <c r="Q30" s="3351"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277</v>
      </c>
      <c r="D31" s="2085"/>
      <c r="E31" s="2086"/>
      <c r="F31" s="2087"/>
      <c r="G31" s="2086"/>
      <c r="H31" s="2086"/>
      <c r="I31" s="2086"/>
      <c r="J31" s="2088"/>
      <c r="K31" s="1118"/>
      <c r="L31" s="3349" t="s">
        <v>1996</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0" t="s">
        <v>1999</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4">
        <f>ROUND(C5*C22*C23*C24*C25*C28,0)</f>
        <v>0</v>
      </c>
      <c r="D33" s="2096"/>
      <c r="E33" s="772">
        <f>ROUND(C33*D33/10000,0)</f>
        <v>0</v>
      </c>
      <c r="F33" s="3342" t="s">
        <v>3264</v>
      </c>
      <c r="G33" s="2097"/>
      <c r="H33" s="2097"/>
      <c r="I33" s="2097"/>
      <c r="J33" s="2098"/>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6" t="e">
        <f>ROUND(IF(E2="工业",C33*M42,IF(B25="楼层修正",SUM(V2:V16)*M41*10000/D34,C33*M41)),0)</f>
        <v>#DIV/0!</v>
      </c>
      <c r="D34" s="2101"/>
      <c r="E34" s="772">
        <f>ROUND(IF(B25="楼层修正",SUM(V2:V16)*M40,C34*D34/10000),0)</f>
        <v>0</v>
      </c>
      <c r="F34" s="2102" t="s">
        <v>2032</v>
      </c>
      <c r="G34" s="2103"/>
      <c r="H34" s="2103"/>
      <c r="I34" s="2103"/>
      <c r="J34" s="2104"/>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3"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3" t="s">
        <v>3269</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09"/>
      <c r="B37" s="2111" t="s">
        <v>2036</v>
      </c>
      <c r="C37" s="174">
        <f>ROUND(D5*C22*C23*C24*C28*F37,0)</f>
        <v>17636</v>
      </c>
      <c r="D37" s="2096">
        <f>'数据-汇总表'!G19</f>
        <v>628.9</v>
      </c>
      <c r="E37" s="170">
        <f>ROUND(C37*D37/10000,0)</f>
        <v>1109</v>
      </c>
      <c r="F37" s="170">
        <f>SUMIF(修正!A57:A68,G2,修正!B57:B68)</f>
        <v>0.7</v>
      </c>
      <c r="G37" s="170">
        <f>ROUND(IF(E2="工业",C37*$M$42,C37*$M$41),0)</f>
        <v>4409</v>
      </c>
      <c r="H37" s="170">
        <f>D37</f>
        <v>628.9</v>
      </c>
      <c r="I37" s="170">
        <f>ROUND(G37*H37/10000,0)</f>
        <v>277</v>
      </c>
      <c r="J37" s="3008"/>
      <c r="K37" s="3355" t="s">
        <v>3270</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0"/>
      <c r="B38" s="2039" t="s">
        <v>2037</v>
      </c>
      <c r="C38" s="174">
        <f>ROUND(D5*C22*C23*C24*C28*F38,0)</f>
        <v>10078</v>
      </c>
      <c r="D38" s="2096"/>
      <c r="E38" s="170">
        <f t="shared" ref="E38:E42" si="4">ROUND(C38*D38/10000,0)</f>
        <v>0</v>
      </c>
      <c r="F38" s="170">
        <f>SUMIF(修正!A57:A68,G2,修正!C57:C68)</f>
        <v>0.4</v>
      </c>
      <c r="G38" s="170">
        <f>ROUND(IF(E2="工业",C38*$M$42,C38*$M$41),0)</f>
        <v>2520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10"/>
      <c r="B39" s="2039" t="s">
        <v>3263</v>
      </c>
      <c r="C39" s="174">
        <f>ROUND(D5*C22*C23*C24*C28*F39,0)</f>
        <v>7558</v>
      </c>
      <c r="D39" s="2096"/>
      <c r="E39" s="170">
        <f t="shared" si="4"/>
        <v>0</v>
      </c>
      <c r="F39" s="170">
        <f>SUMIF(修正!A57:A68,G2,修正!D57:D68)</f>
        <v>0.3</v>
      </c>
      <c r="G39" s="170">
        <f>ROUND(IF(E2="工业",C39*$M$42,C39*$M$41),0)</f>
        <v>1890</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7558</v>
      </c>
      <c r="D40" s="2096"/>
      <c r="E40" s="170">
        <f t="shared" si="4"/>
        <v>0</v>
      </c>
      <c r="F40" s="174">
        <f>SUMIF(修正!A57:A68,G2,修正!E57:E68)</f>
        <v>0.3</v>
      </c>
      <c r="G40" s="170">
        <f>ROUND(IF(E2="工业",C40*$M$42,C40*$M$41),0)</f>
        <v>1890</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7164</v>
      </c>
      <c r="D41" s="2096"/>
      <c r="E41" s="170">
        <f t="shared" si="4"/>
        <v>0</v>
      </c>
      <c r="F41" s="174">
        <f>SUMIF(修正!A57:A68,G2,修正!F57:F68)</f>
        <v>0.3</v>
      </c>
      <c r="G41" s="170">
        <f>ROUND(IF(E2="工业",C41*$M$42,C41*$M$41),0)</f>
        <v>1791</v>
      </c>
      <c r="H41" s="170">
        <f t="shared" si="5"/>
        <v>0</v>
      </c>
      <c r="I41" s="170">
        <f t="shared" si="6"/>
        <v>0</v>
      </c>
      <c r="J41" s="2112"/>
      <c r="L41" s="3356"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6">
        <f>ROUND(D5*C22*C23*C44*C28*F42,0)</f>
        <v>4776</v>
      </c>
      <c r="D42" s="2101"/>
      <c r="E42" s="186">
        <f t="shared" si="4"/>
        <v>0</v>
      </c>
      <c r="F42" s="766">
        <f>SUMIF(修正!A57:A68,G2,修正!G57:G68)</f>
        <v>0.2</v>
      </c>
      <c r="G42" s="186">
        <f>ROUND(IF(E2="工业",C42*$M$42,C42*$M$41),0)</f>
        <v>1194</v>
      </c>
      <c r="H42" s="186">
        <f t="shared" si="5"/>
        <v>0</v>
      </c>
      <c r="I42" s="186">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1">
        <f>ROUND(POWER(1+E44,H44-G44)*(POWER(1+E44,G44)-1)/(POWER(1+E44,H44)-1),4)</f>
        <v>0.78939999999999999</v>
      </c>
      <c r="D44" s="170" t="s">
        <v>1999</v>
      </c>
      <c r="E44" s="2151">
        <f>G24</f>
        <v>5.5E-2</v>
      </c>
      <c r="F44" s="170" t="s">
        <v>2008</v>
      </c>
      <c r="G44" s="182">
        <f>项目基本情况!D15</f>
        <v>24.81</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1.0407999999999999</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t="s">
        <v>3407</v>
      </c>
      <c r="D50" s="1064">
        <f t="shared" ref="D50:D58" si="7">SUMIF($J$49:$N$49,C50,J50:N50)</f>
        <v>1.47E-2</v>
      </c>
      <c r="E50" s="743">
        <f>ROUND(SUM(D50:D58),4)</f>
        <v>4.0800000000000003E-2</v>
      </c>
      <c r="F50" s="1812">
        <f>IF(E2="商业",SUMIF(L1:L12,G2,N1:N12),"——")</f>
        <v>9.8000000000000004E-2</v>
      </c>
      <c r="G50" s="1062">
        <v>1.47E-2</v>
      </c>
      <c r="H50" s="1065">
        <f t="shared" ref="H50:H58" si="8">IFERROR(ROUNDDOWN($F$50*I50/2,4),"——")</f>
        <v>1.47E-2</v>
      </c>
      <c r="I50" s="3363">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t="s">
        <v>3407</v>
      </c>
      <c r="D51" s="1064">
        <f t="shared" si="7"/>
        <v>1.0699999999999999E-2</v>
      </c>
      <c r="E51" s="744"/>
      <c r="F51" s="1812"/>
      <c r="G51" s="1062">
        <v>1.0699999999999999E-2</v>
      </c>
      <c r="H51" s="1065">
        <f t="shared" si="8"/>
        <v>1.0699999999999999E-2</v>
      </c>
      <c r="I51" s="3363">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5" t="s">
        <v>3273</v>
      </c>
      <c r="B52" s="2132">
        <f>估价对象房地状况!C19</f>
        <v>0</v>
      </c>
      <c r="C52" s="2042" t="s">
        <v>3407</v>
      </c>
      <c r="D52" s="1064">
        <f t="shared" si="7"/>
        <v>5.7999999999999996E-3</v>
      </c>
      <c r="E52" s="744"/>
      <c r="F52" s="1812"/>
      <c r="G52" s="1062">
        <v>5.7999999999999996E-3</v>
      </c>
      <c r="H52" s="1065">
        <f t="shared" si="8"/>
        <v>5.7999999999999996E-3</v>
      </c>
      <c r="I52" s="3363">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8" t="s">
        <v>2054</v>
      </c>
      <c r="B53" s="2133" t="s">
        <v>2055</v>
      </c>
      <c r="C53" s="2042" t="s">
        <v>3407</v>
      </c>
      <c r="D53" s="1064">
        <f t="shared" si="7"/>
        <v>2.3999999999999998E-3</v>
      </c>
      <c r="E53" s="744"/>
      <c r="F53" s="1812"/>
      <c r="G53" s="106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t="s">
        <v>3408</v>
      </c>
      <c r="D54" s="1064">
        <f t="shared" si="7"/>
        <v>-7.7999999999999996E-3</v>
      </c>
      <c r="E54" s="744"/>
      <c r="F54" s="1812"/>
      <c r="G54" s="106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8" t="s">
        <v>2057</v>
      </c>
      <c r="B55" s="2134" t="s">
        <v>2058</v>
      </c>
      <c r="C55" s="2042" t="s">
        <v>3407</v>
      </c>
      <c r="D55" s="1064">
        <f t="shared" si="7"/>
        <v>2.3999999999999998E-3</v>
      </c>
      <c r="E55" s="744"/>
      <c r="F55" s="1812"/>
      <c r="G55" s="106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5" t="s">
        <v>2059</v>
      </c>
      <c r="B56" s="1324" t="str">
        <f>估价对象房地状况!C21</f>
        <v>估价对象所在区域公共配套设施齐备情况</v>
      </c>
      <c r="C56" s="2042" t="s">
        <v>3407</v>
      </c>
      <c r="D56" s="1064">
        <f t="shared" si="7"/>
        <v>2.3999999999999998E-3</v>
      </c>
      <c r="E56" s="744"/>
      <c r="F56" s="1812"/>
      <c r="G56" s="106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t="s">
        <v>3406</v>
      </c>
      <c r="D57" s="1064">
        <f t="shared" si="7"/>
        <v>7.7999999999999996E-3</v>
      </c>
      <c r="E57" s="744"/>
      <c r="F57" s="1812"/>
      <c r="G57" s="106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t="s">
        <v>3407</v>
      </c>
      <c r="D58" s="1064">
        <f t="shared" si="7"/>
        <v>2.3999999999999998E-3</v>
      </c>
      <c r="E58" s="745"/>
      <c r="F58" s="1812"/>
      <c r="G58" s="106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3273</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4" t="str">
        <f>估价对象房地状况!C21</f>
        <v>估价对象所在区域公共配套设施齐备情况</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4" t="str">
        <f>估价对象房地状况!C22</f>
        <v>估价对象所在区域基础设施水平</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5" t="s">
        <v>3273</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4" t="str">
        <f>估价对象房地状况!C21</f>
        <v>估价对象所在区域公共配套设施齐备情况</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4" t="str">
        <f>估价对象房地状况!C22</f>
        <v>估价对象所在区域基础设施水平</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36">
      <c r="A85" s="3365" t="s">
        <v>3274</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2616</v>
      </c>
      <c r="B91" s="3374">
        <f>1+E93</f>
        <v>1</v>
      </c>
      <c r="C91" s="3367"/>
      <c r="D91" s="3368"/>
      <c r="E91" s="1812"/>
      <c r="F91" s="1812"/>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7" t="s">
        <v>3298</v>
      </c>
      <c r="B103" s="3807"/>
      <c r="C103" s="3807"/>
      <c r="D103" s="3807"/>
      <c r="E103" s="3807"/>
      <c r="F103" s="3807"/>
      <c r="G103" s="3807"/>
      <c r="H103" s="3807"/>
      <c r="I103" s="3807"/>
      <c r="J103" s="3807"/>
      <c r="K103" s="3386"/>
      <c r="L103" s="3386"/>
      <c r="M103" s="3386"/>
      <c r="N103" s="3386"/>
    </row>
    <row r="104" spans="1:14">
      <c r="A104" s="3808" t="s">
        <v>3299</v>
      </c>
      <c r="B104" s="3808" t="s">
        <v>3300</v>
      </c>
      <c r="C104" s="3387" t="s">
        <v>3301</v>
      </c>
      <c r="D104" s="3388"/>
      <c r="E104" s="3388"/>
      <c r="F104" s="3388"/>
      <c r="G104" s="3388"/>
      <c r="H104" s="3388"/>
      <c r="I104" s="3388"/>
      <c r="J104" s="3389"/>
      <c r="K104" s="3390"/>
      <c r="L104" s="3390"/>
      <c r="M104" s="3390"/>
      <c r="N104" s="3390"/>
    </row>
    <row r="105" spans="1:14">
      <c r="A105" s="3808"/>
      <c r="B105" s="380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9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9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7" t="s">
        <v>3315</v>
      </c>
      <c r="B113" s="3797"/>
      <c r="C113" s="3797"/>
      <c r="D113" s="3797"/>
      <c r="E113" s="3797"/>
      <c r="F113" s="3797"/>
      <c r="G113" s="3797"/>
      <c r="H113" s="3797"/>
      <c r="I113" s="3797"/>
      <c r="J113" s="379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1.79</v>
      </c>
      <c r="C116" s="3396" t="s">
        <v>3317</v>
      </c>
      <c r="D116" s="3397">
        <f>SUMPRODUCT((A118:A122=F116)*(B117:M117=H116)*B118:M122)</f>
        <v>0.97709999999999997</v>
      </c>
      <c r="E116" s="1998" t="s">
        <v>3318</v>
      </c>
      <c r="F116" s="3398" t="str">
        <f>E2</f>
        <v>商业</v>
      </c>
      <c r="G116" s="1998" t="s">
        <v>3319</v>
      </c>
      <c r="H116" s="3398" t="str">
        <f>G2</f>
        <v>一级</v>
      </c>
      <c r="I116" s="1998"/>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5">I118</f>
        <v>0.81640000000000001</v>
      </c>
      <c r="K118" s="3384">
        <f t="shared" si="35"/>
        <v>0.81640000000000001</v>
      </c>
      <c r="L118" s="3384">
        <f t="shared" si="35"/>
        <v>0.81640000000000001</v>
      </c>
      <c r="M118" s="3407">
        <f t="shared" si="35"/>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6">D119</f>
        <v>0.91610000000000003</v>
      </c>
      <c r="F119" s="3384">
        <f t="shared" si="36"/>
        <v>0.91610000000000003</v>
      </c>
      <c r="G119" s="3384">
        <f t="shared" si="36"/>
        <v>0.91610000000000003</v>
      </c>
      <c r="H119" s="3384">
        <f t="shared" si="36"/>
        <v>0.91610000000000003</v>
      </c>
      <c r="I119" s="3384">
        <f>ROUND(0.838-0.0182*B116,4)</f>
        <v>0.8054</v>
      </c>
      <c r="J119" s="3384">
        <f t="shared" si="35"/>
        <v>0.8054</v>
      </c>
      <c r="K119" s="3384">
        <f t="shared" si="35"/>
        <v>0.8054</v>
      </c>
      <c r="L119" s="3384">
        <f t="shared" si="35"/>
        <v>0.8054</v>
      </c>
      <c r="M119" s="3407">
        <f t="shared" si="35"/>
        <v>0.8054</v>
      </c>
      <c r="N119" s="3394"/>
    </row>
    <row r="120" spans="1:14">
      <c r="A120" s="3406" t="s">
        <v>3334</v>
      </c>
      <c r="B120" s="3384">
        <f>ROUND(0.9448-0.0115*B116,4)</f>
        <v>0.92420000000000002</v>
      </c>
      <c r="C120" s="3384">
        <f>B120</f>
        <v>0.92420000000000002</v>
      </c>
      <c r="D120" s="3384">
        <f>ROUND(0.937-0.0145*B116,4)</f>
        <v>0.91100000000000003</v>
      </c>
      <c r="E120" s="3384">
        <f t="shared" si="36"/>
        <v>0.91100000000000003</v>
      </c>
      <c r="F120" s="3384">
        <f t="shared" si="36"/>
        <v>0.91100000000000003</v>
      </c>
      <c r="G120" s="3384">
        <f t="shared" si="36"/>
        <v>0.91100000000000003</v>
      </c>
      <c r="H120" s="3384">
        <f t="shared" si="36"/>
        <v>0.91100000000000003</v>
      </c>
      <c r="I120" s="3384">
        <f>ROUND(0.7965-0.0185*B116,4)</f>
        <v>0.76339999999999997</v>
      </c>
      <c r="J120" s="3384">
        <f t="shared" si="35"/>
        <v>0.76339999999999997</v>
      </c>
      <c r="K120" s="3384">
        <f t="shared" si="35"/>
        <v>0.76339999999999997</v>
      </c>
      <c r="L120" s="3384">
        <f t="shared" si="35"/>
        <v>0.76339999999999997</v>
      </c>
      <c r="M120" s="3407">
        <f t="shared" si="35"/>
        <v>0.76339999999999997</v>
      </c>
      <c r="N120" s="3394"/>
    </row>
    <row r="121" spans="1:14" ht="13.5"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5"/>
        <v>0.55649999999999999</v>
      </c>
      <c r="K121" s="3409">
        <f t="shared" si="35"/>
        <v>0.55649999999999999</v>
      </c>
      <c r="L121" s="3409">
        <f t="shared" si="35"/>
        <v>0.55649999999999999</v>
      </c>
      <c r="M121" s="3410">
        <f t="shared" si="35"/>
        <v>0.55649999999999999</v>
      </c>
      <c r="N121" s="3394"/>
    </row>
    <row r="122" spans="1:14">
      <c r="A122" s="3411" t="s">
        <v>2616</v>
      </c>
      <c r="B122" s="3384">
        <f>ROUND(0.9404-0.0106*B116,4)</f>
        <v>0.9214</v>
      </c>
      <c r="C122" s="3384">
        <f>B122</f>
        <v>0.9214</v>
      </c>
      <c r="D122" s="3384">
        <f>ROUND(0.8955-0.0135*B116,4)</f>
        <v>0.87129999999999996</v>
      </c>
      <c r="E122" s="3384">
        <f t="shared" ref="E122:H122" si="37">D122</f>
        <v>0.87129999999999996</v>
      </c>
      <c r="F122" s="3384">
        <f t="shared" si="37"/>
        <v>0.87129999999999996</v>
      </c>
      <c r="G122" s="3384">
        <f t="shared" si="37"/>
        <v>0.87129999999999996</v>
      </c>
      <c r="H122" s="3384">
        <f t="shared" si="37"/>
        <v>0.87129999999999996</v>
      </c>
      <c r="I122" s="3384">
        <f>ROUND(0.7632-0.0166*B116,4)</f>
        <v>0.73350000000000004</v>
      </c>
      <c r="J122" s="3384">
        <f t="shared" si="35"/>
        <v>0.73350000000000004</v>
      </c>
      <c r="K122" s="3384">
        <f t="shared" si="35"/>
        <v>0.73350000000000004</v>
      </c>
      <c r="L122" s="3384">
        <f t="shared" si="35"/>
        <v>0.73350000000000004</v>
      </c>
      <c r="M122" s="3407">
        <f t="shared" si="35"/>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22" t="s">
        <v>2611</v>
      </c>
      <c r="B20" s="3817" t="s">
        <v>2632</v>
      </c>
      <c r="C20" s="3099" t="s">
        <v>2443</v>
      </c>
      <c r="D20" s="3100"/>
      <c r="E20" s="3101">
        <v>1</v>
      </c>
      <c r="F20" s="3102" t="s">
        <v>2444</v>
      </c>
      <c r="G20" s="3102"/>
    </row>
    <row r="21" spans="1:13" ht="19.5" customHeight="1">
      <c r="A21" s="3823"/>
      <c r="B21" s="3816"/>
      <c r="C21" s="3103" t="s">
        <v>2445</v>
      </c>
      <c r="D21" s="3104"/>
      <c r="E21" s="3105">
        <v>1</v>
      </c>
      <c r="F21" s="3102" t="s">
        <v>2446</v>
      </c>
      <c r="G21" s="3102"/>
    </row>
    <row r="22" spans="1:13" ht="19.5" customHeight="1">
      <c r="A22" s="3823"/>
      <c r="B22" s="3816"/>
      <c r="C22" s="3103" t="s">
        <v>2447</v>
      </c>
      <c r="D22" s="3104"/>
      <c r="E22" s="3105">
        <v>0.9</v>
      </c>
      <c r="F22" s="3102" t="s">
        <v>2448</v>
      </c>
      <c r="G22" s="3102"/>
    </row>
    <row r="23" spans="1:13" ht="19.5" customHeight="1">
      <c r="A23" s="3823"/>
      <c r="B23" s="3816"/>
      <c r="C23" s="3103" t="s">
        <v>2449</v>
      </c>
      <c r="D23" s="3104"/>
      <c r="E23" s="3105">
        <v>0.9</v>
      </c>
      <c r="F23" s="3102" t="s">
        <v>2450</v>
      </c>
      <c r="G23" s="3102"/>
    </row>
    <row r="24" spans="1:13" ht="19.5" customHeight="1">
      <c r="A24" s="3823"/>
      <c r="B24" s="3816"/>
      <c r="C24" s="3103" t="s">
        <v>2451</v>
      </c>
      <c r="D24" s="3104"/>
      <c r="E24" s="3105">
        <v>0.8</v>
      </c>
      <c r="F24" s="3102" t="s">
        <v>2452</v>
      </c>
      <c r="G24" s="3102"/>
    </row>
    <row r="25" spans="1:13" ht="19.5" customHeight="1" thickBot="1">
      <c r="A25" s="3824"/>
      <c r="B25" s="3818"/>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19" t="s">
        <v>2635</v>
      </c>
      <c r="B27" s="3817" t="s">
        <v>2616</v>
      </c>
      <c r="C27" s="3099" t="s">
        <v>2456</v>
      </c>
      <c r="D27" s="3100"/>
      <c r="E27" s="3101">
        <v>1</v>
      </c>
      <c r="F27" s="3102" t="s">
        <v>2457</v>
      </c>
      <c r="G27" s="3102"/>
    </row>
    <row r="28" spans="1:13" ht="19.5" customHeight="1">
      <c r="A28" s="3820"/>
      <c r="B28" s="3816"/>
      <c r="C28" s="3103" t="s">
        <v>2458</v>
      </c>
      <c r="D28" s="3104"/>
      <c r="E28" s="3105">
        <v>1</v>
      </c>
      <c r="F28" s="3102" t="s">
        <v>2459</v>
      </c>
      <c r="G28" s="3102"/>
    </row>
    <row r="29" spans="1:13" ht="19.5" customHeight="1">
      <c r="A29" s="3820"/>
      <c r="B29" s="3816"/>
      <c r="C29" s="3103" t="s">
        <v>2460</v>
      </c>
      <c r="D29" s="3104"/>
      <c r="E29" s="3105">
        <v>0.8</v>
      </c>
      <c r="F29" s="3102" t="s">
        <v>2461</v>
      </c>
      <c r="G29" s="3102"/>
    </row>
    <row r="30" spans="1:13" ht="19.5" customHeight="1">
      <c r="A30" s="3820"/>
      <c r="B30" s="3816"/>
      <c r="C30" s="3103" t="s">
        <v>2462</v>
      </c>
      <c r="D30" s="3104"/>
      <c r="E30" s="3105">
        <v>0.8</v>
      </c>
      <c r="F30" s="3102" t="s">
        <v>2463</v>
      </c>
      <c r="G30" s="3102"/>
    </row>
    <row r="31" spans="1:13" ht="19.5" customHeight="1">
      <c r="A31" s="3820"/>
      <c r="B31" s="3816"/>
      <c r="C31" s="3103" t="s">
        <v>2464</v>
      </c>
      <c r="D31" s="3104"/>
      <c r="E31" s="3105">
        <v>0.8</v>
      </c>
      <c r="F31" s="3102" t="s">
        <v>2465</v>
      </c>
      <c r="G31" s="3102"/>
    </row>
    <row r="32" spans="1:13" ht="19.5" customHeight="1">
      <c r="A32" s="3820"/>
      <c r="B32" s="3816"/>
      <c r="C32" s="3103" t="s">
        <v>2466</v>
      </c>
      <c r="D32" s="3104"/>
      <c r="E32" s="3105">
        <v>0.7</v>
      </c>
      <c r="F32" s="3102" t="s">
        <v>2467</v>
      </c>
      <c r="G32" s="3102"/>
    </row>
    <row r="33" spans="1:7" ht="19.5" customHeight="1">
      <c r="A33" s="3820"/>
      <c r="B33" s="3816"/>
      <c r="C33" s="3103" t="s">
        <v>2468</v>
      </c>
      <c r="D33" s="3104"/>
      <c r="E33" s="3105">
        <v>0.8</v>
      </c>
      <c r="F33" s="3102" t="s">
        <v>2469</v>
      </c>
      <c r="G33" s="3102"/>
    </row>
    <row r="34" spans="1:7" ht="19.5" customHeight="1">
      <c r="A34" s="3820"/>
      <c r="B34" s="3816"/>
      <c r="C34" s="3103" t="s">
        <v>2470</v>
      </c>
      <c r="D34" s="3104"/>
      <c r="E34" s="3105">
        <v>0.6</v>
      </c>
      <c r="F34" s="3102" t="s">
        <v>2471</v>
      </c>
      <c r="G34" s="3102"/>
    </row>
    <row r="35" spans="1:7" ht="19.5" customHeight="1">
      <c r="A35" s="3820"/>
      <c r="B35" s="3816"/>
      <c r="C35" s="3103" t="s">
        <v>2472</v>
      </c>
      <c r="D35" s="3104"/>
      <c r="E35" s="3105">
        <v>0.2</v>
      </c>
      <c r="F35" s="3102" t="s">
        <v>2473</v>
      </c>
      <c r="G35" s="3102"/>
    </row>
    <row r="36" spans="1:7" ht="19.5" customHeight="1">
      <c r="A36" s="3820"/>
      <c r="B36" s="3816"/>
      <c r="C36" s="3103" t="s">
        <v>2474</v>
      </c>
      <c r="D36" s="3104"/>
      <c r="E36" s="3105">
        <v>0.2</v>
      </c>
      <c r="F36" s="3102" t="s">
        <v>2475</v>
      </c>
      <c r="G36" s="3102"/>
    </row>
    <row r="37" spans="1:7" ht="19.5" customHeight="1">
      <c r="A37" s="3820"/>
      <c r="B37" s="3814" t="s">
        <v>2636</v>
      </c>
      <c r="C37" s="3103" t="s">
        <v>2476</v>
      </c>
      <c r="D37" s="3104"/>
      <c r="E37" s="3105">
        <v>0.6</v>
      </c>
      <c r="F37" s="3102" t="s">
        <v>2477</v>
      </c>
      <c r="G37" s="3102"/>
    </row>
    <row r="38" spans="1:7" ht="19.5" customHeight="1">
      <c r="A38" s="3820"/>
      <c r="B38" s="3816"/>
      <c r="C38" s="3103" t="s">
        <v>2478</v>
      </c>
      <c r="D38" s="3104"/>
      <c r="E38" s="3105">
        <v>0.6</v>
      </c>
      <c r="F38" s="3102" t="s">
        <v>2479</v>
      </c>
      <c r="G38" s="3102"/>
    </row>
    <row r="39" spans="1:7" ht="19.5" customHeight="1" thickBot="1">
      <c r="A39" s="3821"/>
      <c r="B39" s="3818"/>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22" t="s">
        <v>2614</v>
      </c>
      <c r="B41" s="3817" t="s">
        <v>2638</v>
      </c>
      <c r="C41" s="3099" t="s">
        <v>2483</v>
      </c>
      <c r="D41" s="3100"/>
      <c r="E41" s="3101">
        <v>1</v>
      </c>
      <c r="F41" s="3102" t="s">
        <v>2484</v>
      </c>
      <c r="G41" s="3102"/>
    </row>
    <row r="42" spans="1:7" ht="19.5" customHeight="1">
      <c r="A42" s="3823"/>
      <c r="B42" s="3816"/>
      <c r="C42" s="3103" t="s">
        <v>2485</v>
      </c>
      <c r="D42" s="3104"/>
      <c r="E42" s="3105">
        <v>1</v>
      </c>
      <c r="F42" s="3102" t="s">
        <v>2486</v>
      </c>
      <c r="G42" s="3102"/>
    </row>
    <row r="43" spans="1:7" ht="19.5" customHeight="1">
      <c r="A43" s="3823"/>
      <c r="B43" s="3815"/>
      <c r="C43" s="3103" t="s">
        <v>2487</v>
      </c>
      <c r="D43" s="3104"/>
      <c r="E43" s="3105">
        <v>1.5</v>
      </c>
      <c r="F43" s="3102" t="s">
        <v>2488</v>
      </c>
      <c r="G43" s="3102"/>
    </row>
    <row r="44" spans="1:7" ht="19.5" customHeight="1">
      <c r="A44" s="3823"/>
      <c r="B44" s="3114" t="s">
        <v>2639</v>
      </c>
      <c r="C44" s="3103" t="s">
        <v>2640</v>
      </c>
      <c r="D44" s="3104"/>
      <c r="E44" s="3105">
        <v>2</v>
      </c>
      <c r="F44" s="3102" t="s">
        <v>2489</v>
      </c>
      <c r="G44" s="3102"/>
    </row>
    <row r="45" spans="1:7" ht="19.5" customHeight="1">
      <c r="A45" s="3823"/>
      <c r="B45" s="3814" t="s">
        <v>2641</v>
      </c>
      <c r="C45" s="3103" t="s">
        <v>2490</v>
      </c>
      <c r="D45" s="3104"/>
      <c r="E45" s="3105">
        <v>1</v>
      </c>
      <c r="F45" s="3102" t="s">
        <v>2491</v>
      </c>
      <c r="G45" s="3102"/>
    </row>
    <row r="46" spans="1:7" ht="19.5" customHeight="1">
      <c r="A46" s="3823"/>
      <c r="B46" s="3816"/>
      <c r="C46" s="3103" t="s">
        <v>2492</v>
      </c>
      <c r="D46" s="3104"/>
      <c r="E46" s="3105">
        <v>1</v>
      </c>
      <c r="F46" s="3102" t="s">
        <v>2493</v>
      </c>
      <c r="G46" s="3102"/>
    </row>
    <row r="47" spans="1:7" ht="19.5" customHeight="1">
      <c r="A47" s="3823"/>
      <c r="B47" s="3816"/>
      <c r="C47" s="3103" t="s">
        <v>2494</v>
      </c>
      <c r="D47" s="3104"/>
      <c r="E47" s="3105">
        <v>1</v>
      </c>
      <c r="F47" s="3102" t="s">
        <v>2495</v>
      </c>
      <c r="G47" s="3102"/>
    </row>
    <row r="48" spans="1:7" ht="19.5" customHeight="1">
      <c r="A48" s="3823"/>
      <c r="B48" s="3816"/>
      <c r="C48" s="3103" t="s">
        <v>2496</v>
      </c>
      <c r="D48" s="3104"/>
      <c r="E48" s="3105">
        <v>1</v>
      </c>
      <c r="F48" s="3102" t="s">
        <v>2497</v>
      </c>
      <c r="G48" s="3102"/>
    </row>
    <row r="49" spans="1:7" ht="19.5" customHeight="1">
      <c r="A49" s="3823"/>
      <c r="B49" s="3816"/>
      <c r="C49" s="3103" t="s">
        <v>2498</v>
      </c>
      <c r="D49" s="3104"/>
      <c r="E49" s="3105">
        <v>1</v>
      </c>
      <c r="F49" s="3102" t="s">
        <v>2499</v>
      </c>
      <c r="G49" s="3102"/>
    </row>
    <row r="50" spans="1:7" ht="19.5" customHeight="1">
      <c r="A50" s="3823"/>
      <c r="B50" s="3816"/>
      <c r="C50" s="3103" t="s">
        <v>2500</v>
      </c>
      <c r="D50" s="3104"/>
      <c r="E50" s="3105">
        <v>1</v>
      </c>
      <c r="F50" s="3102" t="s">
        <v>2501</v>
      </c>
      <c r="G50" s="3102"/>
    </row>
    <row r="51" spans="1:7" ht="19.5" customHeight="1" thickBot="1">
      <c r="A51" s="3824"/>
      <c r="B51" s="3818"/>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14" t="s">
        <v>2655</v>
      </c>
      <c r="C73" s="3088" t="s">
        <v>2656</v>
      </c>
      <c r="D73" s="3088" t="s">
        <v>2657</v>
      </c>
      <c r="E73" s="3114">
        <v>0.2</v>
      </c>
      <c r="F73" s="3114">
        <v>25</v>
      </c>
    </row>
    <row r="74" spans="1:7" ht="24">
      <c r="A74" s="3114">
        <v>2</v>
      </c>
      <c r="B74" s="3816"/>
      <c r="C74" s="3088" t="s">
        <v>2658</v>
      </c>
      <c r="D74" s="3088" t="s">
        <v>2659</v>
      </c>
      <c r="E74" s="3114">
        <v>0.2</v>
      </c>
      <c r="F74" s="3114">
        <v>25</v>
      </c>
    </row>
    <row r="75" spans="1:7" ht="24">
      <c r="A75" s="3114">
        <v>3</v>
      </c>
      <c r="B75" s="3816"/>
      <c r="C75" s="3088" t="s">
        <v>2660</v>
      </c>
      <c r="D75" s="3088" t="s">
        <v>2661</v>
      </c>
      <c r="E75" s="3114">
        <v>0.2</v>
      </c>
      <c r="F75" s="3114">
        <v>25</v>
      </c>
    </row>
    <row r="76" spans="1:7" ht="13.5">
      <c r="A76" s="3114">
        <v>4</v>
      </c>
      <c r="B76" s="3816"/>
      <c r="C76" s="3088" t="s">
        <v>2662</v>
      </c>
      <c r="D76" s="3088" t="s">
        <v>2663</v>
      </c>
      <c r="E76" s="3114">
        <v>0.15</v>
      </c>
      <c r="F76" s="3114">
        <v>20</v>
      </c>
    </row>
    <row r="77" spans="1:7" ht="24">
      <c r="A77" s="3114">
        <v>5</v>
      </c>
      <c r="B77" s="3816"/>
      <c r="C77" s="3088" t="s">
        <v>2664</v>
      </c>
      <c r="D77" s="3088" t="s">
        <v>2665</v>
      </c>
      <c r="E77" s="3114">
        <v>0.15</v>
      </c>
      <c r="F77" s="3114">
        <v>20</v>
      </c>
    </row>
    <row r="78" spans="1:7" ht="24">
      <c r="A78" s="3114">
        <v>6</v>
      </c>
      <c r="B78" s="3816"/>
      <c r="C78" s="3088" t="s">
        <v>2666</v>
      </c>
      <c r="D78" s="3088" t="s">
        <v>2667</v>
      </c>
      <c r="E78" s="3114">
        <v>0.15</v>
      </c>
      <c r="F78" s="3114">
        <v>20</v>
      </c>
    </row>
    <row r="79" spans="1:7" ht="24">
      <c r="A79" s="3114">
        <v>7</v>
      </c>
      <c r="B79" s="3816"/>
      <c r="C79" s="3088" t="s">
        <v>2668</v>
      </c>
      <c r="D79" s="3088" t="s">
        <v>2669</v>
      </c>
      <c r="E79" s="3114">
        <v>0.15</v>
      </c>
      <c r="F79" s="3114">
        <v>20</v>
      </c>
    </row>
    <row r="80" spans="1:7" ht="24">
      <c r="A80" s="3114">
        <v>8</v>
      </c>
      <c r="B80" s="3816"/>
      <c r="C80" s="3088" t="s">
        <v>2670</v>
      </c>
      <c r="D80" s="3088" t="s">
        <v>2671</v>
      </c>
      <c r="E80" s="3114">
        <v>0.1</v>
      </c>
      <c r="F80" s="3114">
        <v>15</v>
      </c>
    </row>
    <row r="81" spans="1:6" ht="24">
      <c r="A81" s="3114">
        <v>9</v>
      </c>
      <c r="B81" s="3816"/>
      <c r="C81" s="3088" t="s">
        <v>2672</v>
      </c>
      <c r="D81" s="3088" t="s">
        <v>2673</v>
      </c>
      <c r="E81" s="3114">
        <v>0.1</v>
      </c>
      <c r="F81" s="3114">
        <v>15</v>
      </c>
    </row>
    <row r="82" spans="1:6" ht="24">
      <c r="A82" s="3114">
        <v>10</v>
      </c>
      <c r="B82" s="3816"/>
      <c r="C82" s="3088" t="s">
        <v>2674</v>
      </c>
      <c r="D82" s="3088" t="s">
        <v>2675</v>
      </c>
      <c r="E82" s="3114">
        <v>0.1</v>
      </c>
      <c r="F82" s="3114">
        <v>15</v>
      </c>
    </row>
    <row r="83" spans="1:6" ht="24">
      <c r="A83" s="3114">
        <v>11</v>
      </c>
      <c r="B83" s="3816"/>
      <c r="C83" s="3088" t="s">
        <v>2676</v>
      </c>
      <c r="D83" s="3088" t="s">
        <v>2677</v>
      </c>
      <c r="E83" s="3114">
        <v>0.1</v>
      </c>
      <c r="F83" s="3114">
        <v>15</v>
      </c>
    </row>
    <row r="84" spans="1:6" ht="24">
      <c r="A84" s="3114">
        <v>12</v>
      </c>
      <c r="B84" s="3816"/>
      <c r="C84" s="3088" t="s">
        <v>2678</v>
      </c>
      <c r="D84" s="3088" t="s">
        <v>2679</v>
      </c>
      <c r="E84" s="3114">
        <v>0.1</v>
      </c>
      <c r="F84" s="3114">
        <v>15</v>
      </c>
    </row>
    <row r="85" spans="1:6" ht="13.5">
      <c r="A85" s="3114">
        <v>13</v>
      </c>
      <c r="B85" s="3816"/>
      <c r="C85" s="3088" t="s">
        <v>2680</v>
      </c>
      <c r="D85" s="3088" t="s">
        <v>2681</v>
      </c>
      <c r="E85" s="3114">
        <v>0.1</v>
      </c>
      <c r="F85" s="3114">
        <v>15</v>
      </c>
    </row>
    <row r="86" spans="1:6" ht="13.5">
      <c r="A86" s="3114">
        <v>14</v>
      </c>
      <c r="B86" s="3816"/>
      <c r="C86" s="3088" t="s">
        <v>2682</v>
      </c>
      <c r="D86" s="3088" t="s">
        <v>2683</v>
      </c>
      <c r="E86" s="3114">
        <v>0.1</v>
      </c>
      <c r="F86" s="3114">
        <v>15</v>
      </c>
    </row>
    <row r="87" spans="1:6" ht="13.5">
      <c r="A87" s="3114">
        <v>15</v>
      </c>
      <c r="B87" s="3816"/>
      <c r="C87" s="3088" t="s">
        <v>2684</v>
      </c>
      <c r="D87" s="3088" t="s">
        <v>2685</v>
      </c>
      <c r="E87" s="3114">
        <v>0.1</v>
      </c>
      <c r="F87" s="3114">
        <v>15</v>
      </c>
    </row>
    <row r="88" spans="1:6" ht="24">
      <c r="A88" s="3114">
        <v>16</v>
      </c>
      <c r="B88" s="3816"/>
      <c r="C88" s="3088" t="s">
        <v>2686</v>
      </c>
      <c r="D88" s="3088" t="s">
        <v>2687</v>
      </c>
      <c r="E88" s="3114">
        <v>0.1</v>
      </c>
      <c r="F88" s="3114">
        <v>15</v>
      </c>
    </row>
    <row r="89" spans="1:6" ht="24">
      <c r="A89" s="3114">
        <v>17</v>
      </c>
      <c r="B89" s="3815"/>
      <c r="C89" s="3088" t="s">
        <v>2688</v>
      </c>
      <c r="D89" s="3088" t="s">
        <v>2689</v>
      </c>
      <c r="E89" s="3114">
        <v>0.1</v>
      </c>
      <c r="F89" s="3114">
        <v>15</v>
      </c>
    </row>
    <row r="90" spans="1:6" ht="13.5">
      <c r="A90" s="3114">
        <v>18</v>
      </c>
      <c r="B90" s="3814" t="s">
        <v>2690</v>
      </c>
      <c r="C90" s="3088" t="s">
        <v>2691</v>
      </c>
      <c r="D90" s="3088" t="s">
        <v>2692</v>
      </c>
      <c r="E90" s="3114">
        <v>0.2</v>
      </c>
      <c r="F90" s="3114">
        <v>25</v>
      </c>
    </row>
    <row r="91" spans="1:6" ht="24">
      <c r="A91" s="3114">
        <v>19</v>
      </c>
      <c r="B91" s="3816"/>
      <c r="C91" s="3088" t="s">
        <v>2693</v>
      </c>
      <c r="D91" s="3088" t="s">
        <v>2694</v>
      </c>
      <c r="E91" s="3114">
        <v>0.2</v>
      </c>
      <c r="F91" s="3114">
        <v>25</v>
      </c>
    </row>
    <row r="92" spans="1:6" ht="13.5">
      <c r="A92" s="3114">
        <v>20</v>
      </c>
      <c r="B92" s="3816"/>
      <c r="C92" s="3088" t="s">
        <v>2695</v>
      </c>
      <c r="D92" s="3088" t="s">
        <v>2696</v>
      </c>
      <c r="E92" s="3114">
        <v>0.15</v>
      </c>
      <c r="F92" s="3114">
        <v>20</v>
      </c>
    </row>
    <row r="93" spans="1:6" ht="13.5">
      <c r="A93" s="3114">
        <v>21</v>
      </c>
      <c r="B93" s="3816"/>
      <c r="C93" s="3088" t="s">
        <v>2697</v>
      </c>
      <c r="D93" s="3088" t="s">
        <v>2698</v>
      </c>
      <c r="E93" s="3114">
        <v>0.15</v>
      </c>
      <c r="F93" s="3114">
        <v>20</v>
      </c>
    </row>
    <row r="94" spans="1:6" ht="13.5">
      <c r="A94" s="3114">
        <v>22</v>
      </c>
      <c r="B94" s="3816"/>
      <c r="C94" s="3088" t="s">
        <v>2699</v>
      </c>
      <c r="D94" s="3088" t="s">
        <v>2700</v>
      </c>
      <c r="E94" s="3114">
        <v>0.15</v>
      </c>
      <c r="F94" s="3114">
        <v>20</v>
      </c>
    </row>
    <row r="95" spans="1:6" ht="36">
      <c r="A95" s="3114">
        <v>23</v>
      </c>
      <c r="B95" s="3816"/>
      <c r="C95" s="3088" t="s">
        <v>2701</v>
      </c>
      <c r="D95" s="3088" t="s">
        <v>2702</v>
      </c>
      <c r="E95" s="3114">
        <v>0.15</v>
      </c>
      <c r="F95" s="3114">
        <v>20</v>
      </c>
    </row>
    <row r="96" spans="1:6" ht="13.5">
      <c r="A96" s="3114">
        <v>24</v>
      </c>
      <c r="B96" s="3816"/>
      <c r="C96" s="3088" t="s">
        <v>2703</v>
      </c>
      <c r="D96" s="3088" t="s">
        <v>2704</v>
      </c>
      <c r="E96" s="3114">
        <v>0.1</v>
      </c>
      <c r="F96" s="3114">
        <v>15</v>
      </c>
    </row>
    <row r="97" spans="1:6" ht="13.5">
      <c r="A97" s="3114">
        <v>25</v>
      </c>
      <c r="B97" s="3816"/>
      <c r="C97" s="3088" t="s">
        <v>2705</v>
      </c>
      <c r="D97" s="3088" t="s">
        <v>2706</v>
      </c>
      <c r="E97" s="3114">
        <v>0.1</v>
      </c>
      <c r="F97" s="3114">
        <v>15</v>
      </c>
    </row>
    <row r="98" spans="1:6" ht="24">
      <c r="A98" s="3114">
        <v>26</v>
      </c>
      <c r="B98" s="3816"/>
      <c r="C98" s="3088" t="s">
        <v>2707</v>
      </c>
      <c r="D98" s="3088" t="s">
        <v>2708</v>
      </c>
      <c r="E98" s="3114">
        <v>0.1</v>
      </c>
      <c r="F98" s="3114">
        <v>15</v>
      </c>
    </row>
    <row r="99" spans="1:6" ht="24">
      <c r="A99" s="3114">
        <v>27</v>
      </c>
      <c r="B99" s="3816"/>
      <c r="C99" s="3088" t="s">
        <v>2709</v>
      </c>
      <c r="D99" s="3088" t="s">
        <v>2710</v>
      </c>
      <c r="E99" s="3114">
        <v>0.1</v>
      </c>
      <c r="F99" s="3114">
        <v>15</v>
      </c>
    </row>
    <row r="100" spans="1:6" ht="13.5">
      <c r="A100" s="3114">
        <v>28</v>
      </c>
      <c r="B100" s="3816"/>
      <c r="C100" s="3088" t="s">
        <v>2711</v>
      </c>
      <c r="D100" s="3088" t="s">
        <v>2712</v>
      </c>
      <c r="E100" s="3114">
        <v>0.1</v>
      </c>
      <c r="F100" s="3114">
        <v>15</v>
      </c>
    </row>
    <row r="101" spans="1:6" ht="13.5">
      <c r="A101" s="3114">
        <v>29</v>
      </c>
      <c r="B101" s="3816"/>
      <c r="C101" s="3088" t="s">
        <v>2713</v>
      </c>
      <c r="D101" s="3088" t="s">
        <v>2714</v>
      </c>
      <c r="E101" s="3114">
        <v>0.1</v>
      </c>
      <c r="F101" s="3114">
        <v>15</v>
      </c>
    </row>
    <row r="102" spans="1:6" ht="13.5">
      <c r="A102" s="3114">
        <v>30</v>
      </c>
      <c r="B102" s="3816"/>
      <c r="C102" s="3088" t="s">
        <v>2715</v>
      </c>
      <c r="D102" s="3088" t="s">
        <v>2716</v>
      </c>
      <c r="E102" s="3114">
        <v>0.1</v>
      </c>
      <c r="F102" s="3114">
        <v>15</v>
      </c>
    </row>
    <row r="103" spans="1:6" ht="24">
      <c r="A103" s="3114">
        <v>31</v>
      </c>
      <c r="B103" s="3816"/>
      <c r="C103" s="3088" t="s">
        <v>2717</v>
      </c>
      <c r="D103" s="3088" t="s">
        <v>2718</v>
      </c>
      <c r="E103" s="3114">
        <v>0.1</v>
      </c>
      <c r="F103" s="3114">
        <v>15</v>
      </c>
    </row>
    <row r="104" spans="1:6" ht="24">
      <c r="A104" s="3114">
        <v>32</v>
      </c>
      <c r="B104" s="3816"/>
      <c r="C104" s="3088" t="s">
        <v>2719</v>
      </c>
      <c r="D104" s="3088" t="s">
        <v>2720</v>
      </c>
      <c r="E104" s="3114">
        <v>0.1</v>
      </c>
      <c r="F104" s="3114">
        <v>15</v>
      </c>
    </row>
    <row r="105" spans="1:6" ht="24">
      <c r="A105" s="3114">
        <v>33</v>
      </c>
      <c r="B105" s="3816"/>
      <c r="C105" s="3088" t="s">
        <v>2721</v>
      </c>
      <c r="D105" s="3088" t="s">
        <v>2722</v>
      </c>
      <c r="E105" s="3114">
        <v>0.1</v>
      </c>
      <c r="F105" s="3114">
        <v>15</v>
      </c>
    </row>
    <row r="106" spans="1:6" ht="24">
      <c r="A106" s="3114">
        <v>34</v>
      </c>
      <c r="B106" s="3815"/>
      <c r="C106" s="3088" t="s">
        <v>2723</v>
      </c>
      <c r="D106" s="3088" t="s">
        <v>2724</v>
      </c>
      <c r="E106" s="3114">
        <v>0.1</v>
      </c>
      <c r="F106" s="3114">
        <v>15</v>
      </c>
    </row>
    <row r="107" spans="1:6" ht="24">
      <c r="A107" s="3114">
        <v>35</v>
      </c>
      <c r="B107" s="3814" t="s">
        <v>2725</v>
      </c>
      <c r="C107" s="3114" t="s">
        <v>2726</v>
      </c>
      <c r="D107" s="3088" t="s">
        <v>2727</v>
      </c>
      <c r="E107" s="3114">
        <v>0.15</v>
      </c>
      <c r="F107" s="3114">
        <v>20</v>
      </c>
    </row>
    <row r="108" spans="1:6" ht="13.5">
      <c r="A108" s="3114">
        <v>36</v>
      </c>
      <c r="B108" s="3816"/>
      <c r="C108" s="3114" t="s">
        <v>2728</v>
      </c>
      <c r="D108" s="3088" t="s">
        <v>2729</v>
      </c>
      <c r="E108" s="3114">
        <v>0.15</v>
      </c>
      <c r="F108" s="3114">
        <v>20</v>
      </c>
    </row>
    <row r="109" spans="1:6" ht="13.5">
      <c r="A109" s="3114">
        <v>37</v>
      </c>
      <c r="B109" s="3816"/>
      <c r="C109" s="3114" t="s">
        <v>2730</v>
      </c>
      <c r="D109" s="3088" t="s">
        <v>2731</v>
      </c>
      <c r="E109" s="3114">
        <v>0.15</v>
      </c>
      <c r="F109" s="3114">
        <v>20</v>
      </c>
    </row>
    <row r="110" spans="1:6" ht="13.5">
      <c r="A110" s="3114">
        <v>38</v>
      </c>
      <c r="B110" s="3816"/>
      <c r="C110" s="3114" t="s">
        <v>2732</v>
      </c>
      <c r="D110" s="3088" t="s">
        <v>2733</v>
      </c>
      <c r="E110" s="3114">
        <v>0.1</v>
      </c>
      <c r="F110" s="3114">
        <v>15</v>
      </c>
    </row>
    <row r="111" spans="1:6" ht="24">
      <c r="A111" s="3114">
        <v>39</v>
      </c>
      <c r="B111" s="3816"/>
      <c r="C111" s="3114" t="s">
        <v>2734</v>
      </c>
      <c r="D111" s="3088" t="s">
        <v>2735</v>
      </c>
      <c r="E111" s="3114">
        <v>0.1</v>
      </c>
      <c r="F111" s="3114">
        <v>15</v>
      </c>
    </row>
    <row r="112" spans="1:6" ht="24">
      <c r="A112" s="3114">
        <v>40</v>
      </c>
      <c r="B112" s="3815"/>
      <c r="C112" s="3114" t="s">
        <v>2736</v>
      </c>
      <c r="D112" s="3088" t="s">
        <v>2737</v>
      </c>
      <c r="E112" s="3114">
        <v>0.1</v>
      </c>
      <c r="F112" s="3114">
        <v>15</v>
      </c>
    </row>
    <row r="113" spans="1:6" ht="13.5">
      <c r="A113" s="3114">
        <v>41</v>
      </c>
      <c r="B113" s="3813" t="s">
        <v>2738</v>
      </c>
      <c r="C113" s="3114" t="s">
        <v>2739</v>
      </c>
      <c r="D113" s="3088" t="s">
        <v>2740</v>
      </c>
      <c r="E113" s="3114">
        <v>0.1</v>
      </c>
      <c r="F113" s="3114">
        <v>15</v>
      </c>
    </row>
    <row r="114" spans="1:6" ht="13.5">
      <c r="A114" s="3114">
        <v>42</v>
      </c>
      <c r="B114" s="3813"/>
      <c r="C114" s="3114" t="s">
        <v>2741</v>
      </c>
      <c r="D114" s="3088" t="s">
        <v>2742</v>
      </c>
      <c r="E114" s="3114">
        <v>0.1</v>
      </c>
      <c r="F114" s="3114">
        <v>15</v>
      </c>
    </row>
    <row r="115" spans="1:6" ht="24">
      <c r="A115" s="3114">
        <v>43</v>
      </c>
      <c r="B115" s="3813"/>
      <c r="C115" s="3114" t="s">
        <v>2743</v>
      </c>
      <c r="D115" s="3088" t="s">
        <v>2744</v>
      </c>
      <c r="E115" s="3114">
        <v>0.1</v>
      </c>
      <c r="F115" s="3114">
        <v>15</v>
      </c>
    </row>
    <row r="116" spans="1:6" ht="13.5">
      <c r="A116" s="3114">
        <v>44</v>
      </c>
      <c r="B116" s="3814" t="s">
        <v>2745</v>
      </c>
      <c r="C116" s="3114" t="s">
        <v>2746</v>
      </c>
      <c r="D116" s="3088" t="s">
        <v>2747</v>
      </c>
      <c r="E116" s="3114">
        <v>0.1</v>
      </c>
      <c r="F116" s="3114">
        <v>15</v>
      </c>
    </row>
    <row r="117" spans="1:6" ht="24">
      <c r="A117" s="3114">
        <v>45</v>
      </c>
      <c r="B117" s="3815"/>
      <c r="C117" s="3088" t="s">
        <v>2748</v>
      </c>
      <c r="D117" s="3088" t="s">
        <v>2749</v>
      </c>
      <c r="E117" s="3114">
        <v>0.1</v>
      </c>
      <c r="F117" s="3114">
        <v>15</v>
      </c>
    </row>
    <row r="118" spans="1:6" ht="24">
      <c r="A118" s="3114">
        <v>46</v>
      </c>
      <c r="B118" s="3814" t="s">
        <v>2750</v>
      </c>
      <c r="C118" s="3114" t="s">
        <v>2751</v>
      </c>
      <c r="D118" s="3088" t="s">
        <v>2752</v>
      </c>
      <c r="E118" s="3114">
        <v>0.1</v>
      </c>
      <c r="F118" s="3114">
        <v>15</v>
      </c>
    </row>
    <row r="119" spans="1:6" ht="24">
      <c r="A119" s="3114">
        <v>47</v>
      </c>
      <c r="B119" s="3815"/>
      <c r="C119" s="3114" t="s">
        <v>2753</v>
      </c>
      <c r="D119" s="3088" t="s">
        <v>2754</v>
      </c>
      <c r="E119" s="3114">
        <v>0.1</v>
      </c>
      <c r="F119" s="3114">
        <v>15</v>
      </c>
    </row>
    <row r="120" spans="1:6" ht="13.5">
      <c r="A120" s="3114">
        <v>48</v>
      </c>
      <c r="B120" s="3814" t="s">
        <v>2755</v>
      </c>
      <c r="C120" s="3114" t="s">
        <v>2756</v>
      </c>
      <c r="D120" s="3088" t="s">
        <v>2757</v>
      </c>
      <c r="E120" s="3114">
        <v>0.1</v>
      </c>
      <c r="F120" s="3114">
        <v>15</v>
      </c>
    </row>
    <row r="121" spans="1:6" ht="13.5">
      <c r="A121" s="3114">
        <v>49</v>
      </c>
      <c r="B121" s="3815"/>
      <c r="C121" s="3114" t="s">
        <v>2758</v>
      </c>
      <c r="D121" s="3088" t="s">
        <v>2759</v>
      </c>
      <c r="E121" s="3114">
        <v>0.1</v>
      </c>
      <c r="F121" s="3114">
        <v>15</v>
      </c>
    </row>
    <row r="122" spans="1:6" ht="24">
      <c r="A122" s="3114">
        <v>50</v>
      </c>
      <c r="B122" s="3813" t="s">
        <v>2760</v>
      </c>
      <c r="C122" s="3114" t="s">
        <v>2761</v>
      </c>
      <c r="D122" s="3088" t="s">
        <v>2762</v>
      </c>
      <c r="E122" s="3114">
        <v>0.1</v>
      </c>
      <c r="F122" s="3114">
        <v>15</v>
      </c>
    </row>
    <row r="123" spans="1:6" ht="24">
      <c r="A123" s="3114">
        <v>51</v>
      </c>
      <c r="B123" s="3813"/>
      <c r="C123" s="3114" t="s">
        <v>2763</v>
      </c>
      <c r="D123" s="3088" t="s">
        <v>2764</v>
      </c>
      <c r="E123" s="3114">
        <v>0.1</v>
      </c>
      <c r="F123" s="3114">
        <v>15</v>
      </c>
    </row>
    <row r="124" spans="1:6" ht="24">
      <c r="A124" s="3114">
        <v>52</v>
      </c>
      <c r="B124" s="3813" t="s">
        <v>2765</v>
      </c>
      <c r="C124" s="3114" t="s">
        <v>2766</v>
      </c>
      <c r="D124" s="3088" t="s">
        <v>2767</v>
      </c>
      <c r="E124" s="3114">
        <v>0.1</v>
      </c>
      <c r="F124" s="3114">
        <v>15</v>
      </c>
    </row>
    <row r="125" spans="1:6" ht="24">
      <c r="A125" s="3114">
        <v>53</v>
      </c>
      <c r="B125" s="3813"/>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13" t="s">
        <v>2773</v>
      </c>
      <c r="C127" s="3114" t="s">
        <v>2774</v>
      </c>
      <c r="D127" s="3088" t="s">
        <v>2775</v>
      </c>
      <c r="E127" s="3114">
        <v>0.1</v>
      </c>
      <c r="F127" s="3114">
        <v>15</v>
      </c>
    </row>
    <row r="128" spans="1:6" ht="13.5">
      <c r="A128" s="3114">
        <v>56</v>
      </c>
      <c r="B128" s="3813"/>
      <c r="C128" s="3114" t="s">
        <v>2776</v>
      </c>
      <c r="D128" s="3088" t="s">
        <v>2777</v>
      </c>
      <c r="E128" s="3114">
        <v>0.1</v>
      </c>
      <c r="F128" s="3114">
        <v>15</v>
      </c>
    </row>
    <row r="129" spans="1:6" ht="24">
      <c r="A129" s="3114">
        <v>57</v>
      </c>
      <c r="B129" s="3813"/>
      <c r="C129" s="3114" t="s">
        <v>2778</v>
      </c>
      <c r="D129" s="3088" t="s">
        <v>2779</v>
      </c>
      <c r="E129" s="3114">
        <v>0.1</v>
      </c>
      <c r="F129" s="3114">
        <v>15</v>
      </c>
    </row>
    <row r="130" spans="1:6" ht="24">
      <c r="A130" s="3114">
        <v>58</v>
      </c>
      <c r="B130" s="3813" t="s">
        <v>2780</v>
      </c>
      <c r="C130" s="3114" t="s">
        <v>2781</v>
      </c>
      <c r="D130" s="3088" t="s">
        <v>2782</v>
      </c>
      <c r="E130" s="3114">
        <v>0.1</v>
      </c>
      <c r="F130" s="3114">
        <v>15</v>
      </c>
    </row>
    <row r="131" spans="1:6" ht="13.5">
      <c r="A131" s="3114">
        <v>59</v>
      </c>
      <c r="B131" s="3813"/>
      <c r="C131" s="3114" t="s">
        <v>2783</v>
      </c>
      <c r="D131" s="3088" t="s">
        <v>2784</v>
      </c>
      <c r="E131" s="3114">
        <v>0.1</v>
      </c>
      <c r="F131" s="3114">
        <v>15</v>
      </c>
    </row>
    <row r="132" spans="1:6" ht="13.5">
      <c r="A132" s="3114">
        <v>60</v>
      </c>
      <c r="B132" s="3814" t="s">
        <v>2785</v>
      </c>
      <c r="C132" s="3114" t="s">
        <v>2786</v>
      </c>
      <c r="D132" s="3088" t="s">
        <v>2787</v>
      </c>
      <c r="E132" s="3114">
        <v>0.1</v>
      </c>
      <c r="F132" s="3114">
        <v>15</v>
      </c>
    </row>
    <row r="133" spans="1:6" ht="13.5">
      <c r="A133" s="3114">
        <v>61</v>
      </c>
      <c r="B133" s="3815"/>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13" t="s">
        <v>2793</v>
      </c>
      <c r="C135" s="3114" t="s">
        <v>2794</v>
      </c>
      <c r="D135" s="3088" t="s">
        <v>2795</v>
      </c>
      <c r="E135" s="3114">
        <v>0.1</v>
      </c>
      <c r="F135" s="3114">
        <v>15</v>
      </c>
    </row>
    <row r="136" spans="1:6" ht="13.5">
      <c r="A136" s="3114">
        <v>64</v>
      </c>
      <c r="B136" s="3813"/>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1"/>
      <c r="B4" s="3506" t="s">
        <v>917</v>
      </c>
      <c r="C4" s="3506"/>
      <c r="D4" s="3506"/>
      <c r="E4" s="1491"/>
    </row>
    <row r="5" spans="1:5" ht="16.5" thickTop="1">
      <c r="A5" s="1489"/>
      <c r="B5" s="3504" t="s">
        <v>909</v>
      </c>
      <c r="C5" s="1492" t="s">
        <v>910</v>
      </c>
      <c r="D5" s="849">
        <f ca="1">结果表!H101</f>
        <v>21342</v>
      </c>
      <c r="E5" s="1489"/>
    </row>
    <row r="6" spans="1:5" ht="15.75">
      <c r="A6" s="1489"/>
      <c r="B6" s="3504"/>
      <c r="C6" s="1492" t="s">
        <v>911</v>
      </c>
      <c r="D6" s="849" t="str">
        <f ca="1">NUMBERSTRING(INT(D5*10000),2)&amp;"元整"</f>
        <v>贰亿壹仟叁佰肆拾贰万元整</v>
      </c>
      <c r="E6" s="1489"/>
    </row>
    <row r="7" spans="1:5" ht="15.75">
      <c r="A7" s="1489"/>
      <c r="B7" s="3509"/>
      <c r="C7" s="1493" t="s">
        <v>912</v>
      </c>
      <c r="D7" s="850">
        <f ca="1">结果表!H102</f>
        <v>44500</v>
      </c>
      <c r="E7" s="1489"/>
    </row>
    <row r="8" spans="1:5" ht="15.75">
      <c r="A8" s="1489"/>
      <c r="B8" s="3510" t="str">
        <f>结果表!E103</f>
        <v>2.估价师知悉的法定优先受偿款</v>
      </c>
      <c r="C8" s="1494" t="s">
        <v>913</v>
      </c>
      <c r="D8" s="850">
        <f>结果表!H103</f>
        <v>0</v>
      </c>
      <c r="E8" s="1489"/>
    </row>
    <row r="9" spans="1:5" ht="15.75">
      <c r="A9" s="1489"/>
      <c r="B9" s="351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03" t="str">
        <f>结果表!E107</f>
        <v>3.房地产抵押价值</v>
      </c>
      <c r="C13" s="1497" t="s">
        <v>910</v>
      </c>
      <c r="D13" s="852">
        <f ca="1">结果表!H107</f>
        <v>21342</v>
      </c>
      <c r="E13" s="1489"/>
    </row>
    <row r="14" spans="1:5" ht="15.75">
      <c r="A14" s="1489"/>
      <c r="B14" s="3504"/>
      <c r="C14" s="1492" t="s">
        <v>911</v>
      </c>
      <c r="D14" s="849" t="str">
        <f ca="1">NUMBERSTRING(INT(D13*10000),2)&amp;"元整"</f>
        <v>贰亿壹仟叁佰肆拾贰万元整</v>
      </c>
      <c r="E14" s="1489"/>
    </row>
    <row r="15" spans="1:5" ht="15">
      <c r="A15" s="1489"/>
      <c r="B15" s="3509"/>
      <c r="C15" s="1493" t="s">
        <v>921</v>
      </c>
      <c r="D15" s="858">
        <f ca="1">结果表!H108</f>
        <v>44500</v>
      </c>
      <c r="E15" s="1489"/>
    </row>
    <row r="16" spans="1:5" ht="15">
      <c r="A16" s="1489"/>
      <c r="B16" s="3510" t="str">
        <f>结果表!E109</f>
        <v>——</v>
      </c>
      <c r="C16" s="1497" t="s">
        <v>922</v>
      </c>
      <c r="D16" s="1498" t="str">
        <f>结果表!H109</f>
        <v>——</v>
      </c>
      <c r="E16" s="1489"/>
    </row>
    <row r="17" spans="1:5" ht="15.75">
      <c r="A17" s="1489"/>
      <c r="B17" s="3511"/>
      <c r="C17" s="1492" t="s">
        <v>923</v>
      </c>
      <c r="D17" s="849" t="e">
        <f>NUMBERSTRING(INT(D16*10000),2)&amp;"元整"</f>
        <v>#VALUE!</v>
      </c>
      <c r="E17" s="1489"/>
    </row>
    <row r="18" spans="1:5" ht="15">
      <c r="A18" s="1489"/>
      <c r="B18" s="3512"/>
      <c r="C18" s="1493" t="s">
        <v>912</v>
      </c>
      <c r="D18" s="858" t="str">
        <f>结果表!H110</f>
        <v>——</v>
      </c>
      <c r="E18" s="1489"/>
    </row>
    <row r="19" spans="1:5" ht="15.75">
      <c r="A19" s="1489"/>
      <c r="B19" s="3503" t="str">
        <f>结果表!E111</f>
        <v>——</v>
      </c>
      <c r="C19" s="1497" t="s">
        <v>910</v>
      </c>
      <c r="D19" s="850" t="str">
        <f>结果表!H111</f>
        <v>——</v>
      </c>
      <c r="E19" s="1489"/>
    </row>
    <row r="20" spans="1:5" ht="15.75">
      <c r="A20" s="1489"/>
      <c r="B20" s="3504"/>
      <c r="C20" s="1492" t="s">
        <v>923</v>
      </c>
      <c r="D20" s="849" t="e">
        <f>NUMBERSTRING(INT(D19*10000),2)&amp;"元整"</f>
        <v>#VALUE!</v>
      </c>
      <c r="E20" s="1489"/>
    </row>
    <row r="21" spans="1:5" ht="15.75" thickBot="1">
      <c r="A21" s="1489"/>
      <c r="B21" s="3505"/>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2802</v>
      </c>
      <c r="B1" s="3123"/>
      <c r="C1" s="3123"/>
      <c r="D1" s="3123"/>
      <c r="E1" s="3123"/>
      <c r="F1" s="3123"/>
      <c r="G1" s="3123"/>
      <c r="H1" s="3123"/>
      <c r="I1" s="3123"/>
      <c r="J1" s="3123"/>
      <c r="K1" s="3123"/>
      <c r="L1" s="3123"/>
      <c r="M1" s="3123"/>
      <c r="N1" s="748"/>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9">
        <f>SUMPRODUCT((A95:A184=ROUNDDOWN(基准地价修正!G3,1))*(B94:M94=基准地价修正!G2)*(B95:M184))</f>
        <v>1.1373</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9">
        <f>SUMPRODUCT((A371:A460=ROUNDDOWN(基准地价修正!G3,1))*(B370:M370=基准地价修正!G2)*(B371:M460))</f>
        <v>1.0771999999999999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C52</f>
        <v>29922</v>
      </c>
      <c r="C2" s="2" t="s">
        <v>106</v>
      </c>
      <c r="D2" s="198"/>
      <c r="E2" s="198"/>
      <c r="F2" s="198"/>
      <c r="G2" s="198"/>
    </row>
    <row r="3" spans="1:7" s="199" customFormat="1" ht="18" customHeight="1" thickBot="1">
      <c r="A3" s="202" t="s">
        <v>58</v>
      </c>
      <c r="B3" s="203">
        <f>ROUND(B2*10000/'数据-汇总表'!E3,0)</f>
        <v>62389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96</v>
      </c>
      <c r="D10" s="844">
        <f>'数据-汇总表'!E6</f>
        <v>4796.0100000000011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96</v>
      </c>
      <c r="D19" s="848">
        <f>'数据-汇总表'!E3</f>
        <v>4796.0100000000011</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ROUND(SUM(C23:C25),0)</f>
        <v>1059</v>
      </c>
      <c r="D22" s="234">
        <f>C26</f>
        <v>5.0000000000000001E-4</v>
      </c>
      <c r="E22" s="235" t="s">
        <v>99</v>
      </c>
      <c r="F22" s="236">
        <f>'数据-取费表'!B40</f>
        <v>3.3500000000000002E-2</v>
      </c>
      <c r="G22" s="1066" t="str">
        <f>IF('数据-取费表'!B22&lt;=1,"单利计息","复利计息")</f>
        <v>复利计息</v>
      </c>
    </row>
    <row r="23" spans="1:7" s="213" customFormat="1" ht="13.5" customHeight="1">
      <c r="A23" s="779" t="s">
        <v>349</v>
      </c>
      <c r="B23" s="214" t="s">
        <v>423</v>
      </c>
      <c r="C23" s="1104">
        <f>ROUND(IF('数据-取费表'!B22&lt;=1,C5*F22*'数据-取费表'!B23,C5*(POWER((1+F22),'数据-取费表'!B23)-1)),0)</f>
        <v>1044</v>
      </c>
      <c r="D23" s="237"/>
      <c r="E23" s="237"/>
      <c r="F23" s="238"/>
      <c r="G23" s="239" t="s">
        <v>81</v>
      </c>
    </row>
    <row r="24" spans="1:7" s="213" customFormat="1" ht="13.5" customHeight="1">
      <c r="A24" s="779" t="s">
        <v>347</v>
      </c>
      <c r="B24" s="214" t="s">
        <v>418</v>
      </c>
      <c r="C24" s="1104">
        <f>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ROUND(IF('数据-取费表'!B22&lt;=1,C20*F22*'数据-取费表'!B23/2,C20*(POWER((1+F22),'数据-取费表'!B23/2)-1)),0)</f>
        <v>10</v>
      </c>
      <c r="D25" s="237"/>
      <c r="E25" s="240"/>
      <c r="F25" s="238"/>
      <c r="G25" s="241" t="s">
        <v>83</v>
      </c>
    </row>
    <row r="26" spans="1:7" s="213" customFormat="1">
      <c r="A26" s="779" t="s">
        <v>350</v>
      </c>
      <c r="B26" s="214" t="s">
        <v>422</v>
      </c>
      <c r="C26" s="237">
        <f>ROUND(IF('数据-取费表'!B22&lt;=1,F21*F22*'数据-取费表'!B23/2,F21*(POWER((1+F22),'数据-取费表'!B23/2)-1)),4)</f>
        <v>5.0000000000000001E-4</v>
      </c>
      <c r="D26" s="237"/>
      <c r="E26" s="240"/>
      <c r="F26" s="238"/>
      <c r="G26" s="242"/>
    </row>
    <row r="27" spans="1:7" s="213" customFormat="1" ht="24.75">
      <c r="A27" s="776" t="s">
        <v>342</v>
      </c>
      <c r="B27" s="243" t="s">
        <v>85</v>
      </c>
      <c r="C27" s="244">
        <f>C28</f>
        <v>3168</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3168</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ROUND((C5+C19+C20+C22+C27)/(1-C21-D22-D27-C30/(1+'数据-取费表'!B42)),0)</f>
        <v>27457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2110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1918</v>
      </c>
      <c r="D34" s="216"/>
      <c r="E34" s="219"/>
      <c r="F34" s="256">
        <f>IF('数据-取费表'!B24=0,1,'数据-取费表'!N16)</f>
        <v>1</v>
      </c>
      <c r="G34" s="218" t="s">
        <v>89</v>
      </c>
    </row>
    <row r="35" spans="1:7" ht="13.5" customHeight="1">
      <c r="A35" s="779" t="s">
        <v>351</v>
      </c>
      <c r="B35" s="214" t="s">
        <v>33</v>
      </c>
      <c r="C35" s="219">
        <f>ROUND(C34*F35,0)</f>
        <v>58</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96</v>
      </c>
      <c r="D37" s="216">
        <f>'数据-汇总表'!E3</f>
        <v>4796.0100000000011</v>
      </c>
      <c r="E37" s="248">
        <f>'数据-取费表'!B35</f>
        <v>200</v>
      </c>
      <c r="F37" s="258"/>
      <c r="G37" s="260" t="s">
        <v>92</v>
      </c>
    </row>
    <row r="38" spans="1:7" ht="13.5" customHeight="1">
      <c r="A38" s="779" t="s">
        <v>354</v>
      </c>
      <c r="B38" s="214" t="s">
        <v>36</v>
      </c>
      <c r="C38" s="219">
        <f>ROUND(C34*F38,0)</f>
        <v>38</v>
      </c>
      <c r="D38" s="219"/>
      <c r="E38" s="219"/>
      <c r="F38" s="258">
        <f>'数据-取费表'!B36</f>
        <v>0.02</v>
      </c>
      <c r="G38" s="218" t="s">
        <v>90</v>
      </c>
    </row>
    <row r="39" spans="1:7" s="213" customFormat="1" ht="13.5" customHeight="1">
      <c r="A39" s="776" t="s">
        <v>338</v>
      </c>
      <c r="B39" s="209" t="s">
        <v>77</v>
      </c>
      <c r="C39" s="231">
        <f>ROUND(C33*F20,0)</f>
        <v>42</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ROUND(SUM(C42:C43),0)</f>
        <v>54</v>
      </c>
      <c r="D41" s="234">
        <f>C44</f>
        <v>5.0000000000000001E-4</v>
      </c>
      <c r="E41" s="235" t="s">
        <v>102</v>
      </c>
      <c r="F41" s="236"/>
      <c r="G41" s="1066" t="str">
        <f>IF('数据-取费表'!B22&lt;=1,"单利计息","复利计息")</f>
        <v>复利计息</v>
      </c>
    </row>
    <row r="42" spans="1:7" ht="13.5" customHeight="1">
      <c r="A42" s="779" t="s">
        <v>349</v>
      </c>
      <c r="B42" s="214" t="s">
        <v>423</v>
      </c>
      <c r="C42" s="237">
        <f>ROUND(IF('数据-取费表'!B22&lt;=1,C33*F22*'数据-取费表'!B21/2,C33*(POWER((1+F22),'数据-取费表'!B21/2)-1)),0)</f>
        <v>53</v>
      </c>
      <c r="D42" s="237"/>
      <c r="E42" s="237"/>
      <c r="F42" s="238"/>
      <c r="G42" s="3685" t="s">
        <v>94</v>
      </c>
    </row>
    <row r="43" spans="1:7" ht="13.5" customHeight="1">
      <c r="A43" s="779" t="s">
        <v>347</v>
      </c>
      <c r="B43" s="214" t="s">
        <v>426</v>
      </c>
      <c r="C43" s="237">
        <f>ROUND(IF('数据-取费表'!B22&lt;=1,C39*F22*'数据-取费表'!B21/2,C39*(POWER((1+F22),'数据-取费表'!B21/2)-1)),0)</f>
        <v>1</v>
      </c>
      <c r="D43" s="237"/>
      <c r="E43" s="237"/>
      <c r="F43" s="238"/>
      <c r="G43" s="3686"/>
    </row>
    <row r="44" spans="1:7" ht="13.5" customHeight="1">
      <c r="A44" s="779" t="s">
        <v>348</v>
      </c>
      <c r="B44" s="214" t="s">
        <v>428</v>
      </c>
      <c r="C44" s="237">
        <f>ROUND(IF('数据-取费表'!B22&lt;=1,C40*F22*'数据-取费表'!B21/2,C40*(POWER((1+F22),'数据-取费表'!B21/2)-1)),4)</f>
        <v>5.0000000000000001E-4</v>
      </c>
      <c r="D44" s="237"/>
      <c r="E44" s="237"/>
      <c r="F44" s="238"/>
      <c r="G44" s="3687"/>
    </row>
    <row r="45" spans="1:7" s="213" customFormat="1" ht="13.5" customHeight="1">
      <c r="A45" s="776" t="s">
        <v>341</v>
      </c>
      <c r="B45" s="243" t="s">
        <v>85</v>
      </c>
      <c r="C45" s="244">
        <f>C46</f>
        <v>323</v>
      </c>
      <c r="D45" s="234">
        <f>C47</f>
        <v>3.0000000000000001E-3</v>
      </c>
      <c r="E45" s="235" t="s">
        <v>102</v>
      </c>
      <c r="F45" s="245"/>
      <c r="G45" s="246" t="s">
        <v>434</v>
      </c>
    </row>
    <row r="46" spans="1:7" s="213" customFormat="1" ht="13.5" customHeight="1">
      <c r="A46" s="779" t="s">
        <v>349</v>
      </c>
      <c r="B46" s="247" t="s">
        <v>427</v>
      </c>
      <c r="C46" s="248">
        <f>ROUND((C33+C39)*F27,0)</f>
        <v>323</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ROUND((C33+C39+C41+C45)/(1-C40-D41-D45-C48/(1+'数据-取费表'!B42)),0)</f>
        <v>2739</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ROUND(C49*F50,0)</f>
        <v>2465</v>
      </c>
      <c r="D51" s="231"/>
      <c r="E51" s="231"/>
      <c r="F51" s="263"/>
      <c r="G51" s="233" t="s">
        <v>37</v>
      </c>
    </row>
    <row r="52" spans="1:7" s="207" customFormat="1" ht="16.5" thickBot="1">
      <c r="A52" s="264" t="s">
        <v>38</v>
      </c>
      <c r="B52" s="265"/>
      <c r="C52" s="266">
        <f>C31+C51</f>
        <v>29922</v>
      </c>
      <c r="D52" s="265"/>
      <c r="E52" s="265"/>
      <c r="F52" s="265"/>
      <c r="G52" s="267"/>
    </row>
    <row r="55" spans="1:7" ht="15">
      <c r="B55" s="269" t="s">
        <v>39</v>
      </c>
      <c r="C55" s="270"/>
    </row>
    <row r="56" spans="1:7">
      <c r="B56" s="272" t="s">
        <v>40</v>
      </c>
      <c r="C56" s="273">
        <f>ROUND(C51/C52,3)</f>
        <v>8.2000000000000003E-2</v>
      </c>
    </row>
    <row r="57" spans="1:7">
      <c r="B57" s="272" t="s">
        <v>41</v>
      </c>
      <c r="C57" s="274">
        <f>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7" t="s">
        <v>2843</v>
      </c>
      <c r="B1" s="3827"/>
      <c r="C1" s="3827"/>
      <c r="D1" s="3827"/>
      <c r="E1" s="3827"/>
      <c r="F1" s="3827"/>
      <c r="G1" s="3828"/>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25"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26"/>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9" t="s">
        <v>3185</v>
      </c>
      <c r="B1" s="3829"/>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30" t="s">
        <v>3236</v>
      </c>
      <c r="B1" s="3830"/>
      <c r="C1" s="3830"/>
      <c r="D1" s="3830"/>
      <c r="E1" s="3830"/>
      <c r="F1" s="3831"/>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45512</v>
      </c>
      <c r="B1" s="3206" t="s">
        <v>3374</v>
      </c>
      <c r="C1" s="3207"/>
      <c r="D1" s="3207"/>
      <c r="E1" s="3207"/>
      <c r="F1" s="3207"/>
      <c r="G1" s="3207"/>
      <c r="H1" s="3207"/>
      <c r="I1" s="3207"/>
      <c r="J1" s="3161"/>
      <c r="K1" s="3207" t="s">
        <v>454</v>
      </c>
      <c r="L1" s="3207"/>
      <c r="M1" s="3207"/>
      <c r="N1" s="3207"/>
      <c r="O1" s="3207"/>
      <c r="P1" s="3207"/>
      <c r="Q1" s="3161"/>
      <c r="R1" s="3832" t="s">
        <v>456</v>
      </c>
      <c r="S1" s="3833"/>
      <c r="T1" s="3833"/>
      <c r="U1" s="3833"/>
      <c r="V1" s="3833"/>
      <c r="W1" s="3833"/>
      <c r="X1" s="3161"/>
      <c r="Y1" s="3832" t="s">
        <v>457</v>
      </c>
      <c r="Z1" s="3833"/>
      <c r="AA1" s="3833"/>
      <c r="AB1" s="3833"/>
      <c r="AC1" s="3833"/>
      <c r="AD1" s="3833"/>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2824</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2825</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2826</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2827</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2828</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2829</v>
      </c>
    </row>
    <row r="23" spans="1:30" s="3005" customFormat="1"/>
    <row r="24" spans="1:30" s="3205" customFormat="1" ht="12.75">
      <c r="B24" s="3206" t="s">
        <v>3375</v>
      </c>
      <c r="C24" s="3207"/>
      <c r="D24" s="3207"/>
      <c r="E24" s="3207"/>
      <c r="F24" s="3207"/>
      <c r="G24" s="3207"/>
      <c r="H24" s="3207"/>
      <c r="I24" s="3207"/>
      <c r="J24" s="3161"/>
      <c r="K24" s="3207" t="s">
        <v>2830</v>
      </c>
      <c r="L24" s="3207"/>
      <c r="M24" s="3207"/>
      <c r="N24" s="3207"/>
      <c r="O24" s="3207"/>
      <c r="P24" s="3207"/>
      <c r="Q24" s="3161"/>
      <c r="R24" s="3832" t="s">
        <v>2831</v>
      </c>
      <c r="S24" s="3833"/>
      <c r="T24" s="3833"/>
      <c r="U24" s="3833"/>
      <c r="V24" s="3833"/>
      <c r="W24" s="3833"/>
      <c r="X24" s="3161"/>
      <c r="Y24" s="3832" t="s">
        <v>2832</v>
      </c>
      <c r="Z24" s="3833"/>
      <c r="AA24" s="3833"/>
      <c r="AB24" s="3833"/>
      <c r="AC24" s="3833"/>
      <c r="AD24" s="3833"/>
    </row>
    <row r="25" spans="1:30" s="3139" customFormat="1" ht="14.25" thickBot="1">
      <c r="B25" s="3140"/>
      <c r="C25" s="3141"/>
      <c r="D25" s="3142" t="s">
        <v>2833</v>
      </c>
      <c r="E25" s="3143" t="s">
        <v>2834</v>
      </c>
      <c r="F25" s="3143" t="s">
        <v>2835</v>
      </c>
      <c r="G25" s="3143" t="s">
        <v>2836</v>
      </c>
      <c r="H25" s="3143"/>
      <c r="I25" s="3143" t="s">
        <v>2837</v>
      </c>
      <c r="J25" s="3144"/>
      <c r="K25" s="3142" t="s">
        <v>2833</v>
      </c>
      <c r="L25" s="3143" t="s">
        <v>2834</v>
      </c>
      <c r="M25" s="3143" t="s">
        <v>2835</v>
      </c>
      <c r="N25" s="3143" t="s">
        <v>2836</v>
      </c>
      <c r="O25" s="3143"/>
      <c r="P25" s="3143" t="s">
        <v>2837</v>
      </c>
      <c r="Q25" s="3144"/>
      <c r="R25" s="3142" t="s">
        <v>2833</v>
      </c>
      <c r="S25" s="3143" t="s">
        <v>2834</v>
      </c>
      <c r="T25" s="3143" t="s">
        <v>2835</v>
      </c>
      <c r="U25" s="3143" t="s">
        <v>2836</v>
      </c>
      <c r="V25" s="3143"/>
      <c r="W25" s="3143" t="s">
        <v>2837</v>
      </c>
      <c r="X25" s="3144"/>
      <c r="Y25" s="3142" t="s">
        <v>2833</v>
      </c>
      <c r="Z25" s="3143" t="s">
        <v>2834</v>
      </c>
      <c r="AA25" s="3143" t="s">
        <v>2835</v>
      </c>
      <c r="AB25" s="3143" t="s">
        <v>2836</v>
      </c>
      <c r="AC25" s="3143"/>
      <c r="AD25" s="3143" t="s">
        <v>2837</v>
      </c>
    </row>
    <row r="26" spans="1:30" s="3157" customFormat="1" ht="12.75">
      <c r="A26" s="3145" t="s">
        <v>2838</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2839</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2840</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2841</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2842</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2828</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4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45512</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2313</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16"/>
      <c r="B3" s="3516"/>
      <c r="C3" s="3516"/>
      <c r="D3" s="853" t="s">
        <v>925</v>
      </c>
      <c r="E3" s="853" t="s">
        <v>931</v>
      </c>
      <c r="F3" s="853" t="s">
        <v>925</v>
      </c>
      <c r="G3" s="853" t="s">
        <v>926</v>
      </c>
      <c r="H3" s="853" t="s">
        <v>925</v>
      </c>
      <c r="I3" s="853" t="s">
        <v>926</v>
      </c>
    </row>
    <row r="4" spans="1:9" ht="30">
      <c r="A4" s="1503" t="str">
        <f>项目基本情况!S2</f>
        <v>北京市东城区智德北巷5号房地产</v>
      </c>
      <c r="B4" s="853">
        <f>项目基本情况!C17</f>
        <v>4796.0100000000011</v>
      </c>
      <c r="C4" s="853">
        <f>项目基本情况!C18</f>
        <v>2328.75</v>
      </c>
      <c r="D4" s="853">
        <f>结果表!D118</f>
        <v>0</v>
      </c>
      <c r="E4" s="853">
        <f>结果表!E118</f>
        <v>0</v>
      </c>
      <c r="F4" s="853">
        <f>结果表!F118</f>
        <v>0</v>
      </c>
      <c r="G4" s="853">
        <f>结果表!G118</f>
        <v>0</v>
      </c>
      <c r="H4" s="853">
        <f ca="1">结果表!H118</f>
        <v>21342</v>
      </c>
      <c r="I4" s="853">
        <f ca="1">结果表!I118</f>
        <v>44500</v>
      </c>
    </row>
    <row r="5" spans="1:9" ht="30" customHeight="1">
      <c r="A5" s="3516" t="s">
        <v>927</v>
      </c>
      <c r="B5" s="3516"/>
      <c r="C5" s="3516"/>
      <c r="D5" s="3516" t="str">
        <f>结果表!D119</f>
        <v>零元整</v>
      </c>
      <c r="E5" s="3516"/>
      <c r="F5" s="3516" t="str">
        <f>结果表!F119</f>
        <v>零元整</v>
      </c>
      <c r="G5" s="3516"/>
      <c r="H5" s="3516" t="str">
        <f ca="1">结果表!H119</f>
        <v>贰亿壹仟叁佰肆拾贰万元整</v>
      </c>
      <c r="I5" s="3516"/>
    </row>
    <row r="6" spans="1:9" ht="15.75">
      <c r="A6" s="3515" t="str">
        <f>结果表!A120</f>
        <v>估价师知悉的法定优先受偿款</v>
      </c>
      <c r="B6" s="3515"/>
      <c r="C6" s="3515"/>
      <c r="D6" s="3515">
        <f>结果表!D120</f>
        <v>0</v>
      </c>
      <c r="E6" s="3515"/>
      <c r="F6" s="3515"/>
      <c r="G6" s="3515"/>
      <c r="H6" s="3515"/>
      <c r="I6" s="3515"/>
    </row>
    <row r="7" spans="1:9" ht="15">
      <c r="A7" s="3516" t="s">
        <v>927</v>
      </c>
      <c r="B7" s="3516"/>
      <c r="C7" s="3516"/>
      <c r="D7" s="3517" t="str">
        <f>结果表!D121</f>
        <v>零元整</v>
      </c>
      <c r="E7" s="3518"/>
      <c r="F7" s="3518"/>
      <c r="G7" s="3518"/>
      <c r="H7" s="3518"/>
      <c r="I7" s="3519"/>
    </row>
    <row r="8" spans="1:9" ht="15.75">
      <c r="A8" s="3515" t="str">
        <f>结果表!A122</f>
        <v>房地产抵押价值</v>
      </c>
      <c r="B8" s="3515"/>
      <c r="C8" s="3515"/>
      <c r="D8" s="3515">
        <f ca="1">结果表!D122</f>
        <v>21342</v>
      </c>
      <c r="E8" s="3515"/>
      <c r="F8" s="3515"/>
      <c r="G8" s="3515"/>
      <c r="H8" s="3515"/>
      <c r="I8" s="3515"/>
    </row>
    <row r="9" spans="1:9" ht="15">
      <c r="A9" s="3516" t="s">
        <v>927</v>
      </c>
      <c r="B9" s="3516"/>
      <c r="C9" s="3516"/>
      <c r="D9" s="3516" t="str">
        <f ca="1">结果表!D123</f>
        <v>贰亿壹仟叁佰肆拾贰万元整</v>
      </c>
      <c r="E9" s="3516"/>
      <c r="F9" s="3516"/>
      <c r="G9" s="3516"/>
      <c r="H9" s="3516"/>
      <c r="I9" s="3516"/>
    </row>
    <row r="10" spans="1:9" ht="15.75">
      <c r="A10" s="3515" t="str">
        <f>结果表!A124</f>
        <v/>
      </c>
      <c r="B10" s="3515"/>
      <c r="C10" s="3515"/>
      <c r="D10" s="3515" t="str">
        <f>结果表!D124</f>
        <v>——</v>
      </c>
      <c r="E10" s="3515"/>
      <c r="F10" s="3515"/>
      <c r="G10" s="3515"/>
      <c r="H10" s="3515"/>
      <c r="I10" s="3515"/>
    </row>
    <row r="11" spans="1:9" ht="15">
      <c r="A11" s="3516" t="s">
        <v>927</v>
      </c>
      <c r="B11" s="3516"/>
      <c r="C11" s="3516"/>
      <c r="D11" s="3516" t="e">
        <f>结果表!D125</f>
        <v>#VALUE!</v>
      </c>
      <c r="E11" s="3516"/>
      <c r="F11" s="3516"/>
      <c r="G11" s="3516"/>
      <c r="H11" s="3516"/>
      <c r="I11" s="3516"/>
    </row>
    <row r="12" spans="1:9" ht="15.75">
      <c r="A12" s="3515" t="str">
        <f>结果表!A126</f>
        <v/>
      </c>
      <c r="B12" s="3515"/>
      <c r="C12" s="3515"/>
      <c r="D12" s="3515" t="str">
        <f>结果表!D126</f>
        <v>——</v>
      </c>
      <c r="E12" s="3515"/>
      <c r="F12" s="3515"/>
      <c r="G12" s="3515"/>
      <c r="H12" s="3515"/>
      <c r="I12" s="3515"/>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8" t="s">
        <v>949</v>
      </c>
      <c r="B1" s="3528"/>
      <c r="C1" s="3528"/>
      <c r="D1" s="3528"/>
    </row>
    <row r="2" spans="1:4" ht="18">
      <c r="A2" s="3529" t="s">
        <v>933</v>
      </c>
      <c r="B2" s="3529"/>
      <c r="C2" s="3529"/>
      <c r="D2" s="352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29" t="s">
        <v>939</v>
      </c>
      <c r="B6" s="3529"/>
      <c r="C6" s="3529"/>
      <c r="D6" s="352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30"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4" t="s">
        <v>943</v>
      </c>
      <c r="B16" s="3524"/>
      <c r="C16" s="3524"/>
      <c r="D16" s="3524"/>
    </row>
    <row r="17" spans="1:4" ht="144" customHeight="1">
      <c r="A17" s="3524" t="s">
        <v>944</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5"/>
      <c r="C21" s="3525"/>
      <c r="D21" s="3525"/>
    </row>
    <row r="22" spans="1:4" ht="18.75" customHeight="1">
      <c r="A22" s="3526" t="s">
        <v>945</v>
      </c>
      <c r="B22" s="3526"/>
      <c r="C22" s="3526"/>
      <c r="D22" s="352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6" t="s">
        <v>956</v>
      </c>
      <c r="B15" s="3531" t="s">
        <v>109</v>
      </c>
      <c r="C15" s="3532"/>
    </row>
    <row r="16" spans="1:7" ht="13.5">
      <c r="A16" s="3537"/>
      <c r="B16" s="3531" t="s">
        <v>42</v>
      </c>
      <c r="C16" s="3532"/>
    </row>
    <row r="17" spans="1:3" ht="13.5">
      <c r="A17" s="3537"/>
      <c r="B17" s="3534" t="s">
        <v>957</v>
      </c>
      <c r="C17" s="1530" t="s">
        <v>956</v>
      </c>
    </row>
    <row r="18" spans="1:3" ht="13.5">
      <c r="A18" s="3537"/>
      <c r="B18" s="3534"/>
      <c r="C18" s="1530" t="s">
        <v>958</v>
      </c>
    </row>
    <row r="19" spans="1:3" ht="13.5">
      <c r="A19" s="3537"/>
      <c r="B19" s="3534"/>
      <c r="C19" s="1530" t="s">
        <v>959</v>
      </c>
    </row>
    <row r="20" spans="1:3" ht="13.5">
      <c r="A20" s="3538"/>
      <c r="B20" s="3533" t="s">
        <v>960</v>
      </c>
      <c r="C20" s="3532"/>
    </row>
    <row r="21" spans="1:3" ht="13.5">
      <c r="A21" s="1531" t="s">
        <v>961</v>
      </c>
      <c r="B21" s="1532"/>
      <c r="C21" s="1533"/>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30" t="s">
        <v>967</v>
      </c>
    </row>
    <row r="26" spans="1:3" ht="13.5">
      <c r="A26" s="3535"/>
      <c r="B26" s="3534"/>
      <c r="C26" s="1530" t="s">
        <v>968</v>
      </c>
    </row>
    <row r="27" spans="1:3" ht="13.5">
      <c r="A27" s="3535"/>
      <c r="B27" s="3534"/>
      <c r="C27" s="1530" t="s">
        <v>969</v>
      </c>
    </row>
    <row r="28" spans="1:3" ht="13.5">
      <c r="A28" s="3535"/>
      <c r="B28" s="3534"/>
      <c r="C28" s="1530" t="s">
        <v>970</v>
      </c>
    </row>
    <row r="29" spans="1:3" ht="13.5">
      <c r="A29" s="3535"/>
      <c r="B29" s="3534"/>
      <c r="C29" s="1530" t="s">
        <v>971</v>
      </c>
    </row>
    <row r="30" spans="1:3" ht="13.5">
      <c r="A30" s="3535"/>
      <c r="B30" s="3534"/>
      <c r="C30" s="1530" t="s">
        <v>972</v>
      </c>
    </row>
    <row r="31" spans="1:3" ht="13.5">
      <c r="A31" s="3535"/>
      <c r="B31" s="3534"/>
      <c r="C31" s="1530" t="s">
        <v>973</v>
      </c>
    </row>
    <row r="32" spans="1:3" ht="13.5">
      <c r="A32" s="3535"/>
      <c r="B32" s="3534"/>
      <c r="C32" s="1530" t="s">
        <v>974</v>
      </c>
    </row>
    <row r="33" spans="1:3" ht="13.5">
      <c r="A33" s="3535"/>
      <c r="B33" s="353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45513</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39" t="s">
        <v>2160</v>
      </c>
      <c r="B17" s="3539"/>
      <c r="C17" s="3539"/>
      <c r="D17" s="3539"/>
      <c r="E17" s="3539"/>
      <c r="F17" s="3539"/>
      <c r="G17" s="3539"/>
      <c r="H17" s="3539"/>
    </row>
    <row r="18" spans="1:8" ht="24" customHeight="1">
      <c r="A18" s="3540" t="s">
        <v>2161</v>
      </c>
      <c r="B18" s="3540"/>
      <c r="C18" s="3540"/>
      <c r="D18" s="2341"/>
      <c r="E18" s="3541" t="s">
        <v>2162</v>
      </c>
      <c r="F18" s="3540"/>
      <c r="G18" s="3540"/>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信息表</vt:lpstr>
      <vt:lpstr>成本法 (元)</vt:lpstr>
      <vt:lpstr>假设开发法</vt:lpstr>
      <vt:lpstr>中指大宗交易案例</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2024-08-09T03:28:07Z</dcterms:modified>
</cp:coreProperties>
</file>