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车库" sheetId="70" r:id="rId41"/>
    <sheet name="不动产收益法-库房" sheetId="71" r:id="rId42"/>
    <sheet name="土地案例" sheetId="68" r:id="rId43"/>
    <sheet name="Sheet2" sheetId="69"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71" l="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G1" i="71"/>
  <c r="F32" i="71"/>
  <c r="F33" i="71"/>
  <c r="F34" i="71"/>
  <c r="F15" i="71"/>
  <c r="F17" i="71"/>
  <c r="F18" i="71"/>
  <c r="F20" i="71"/>
  <c r="F23" i="71"/>
  <c r="F21" i="71"/>
  <c r="F28" i="71"/>
  <c r="C28" i="71"/>
  <c r="L48" i="70"/>
  <c r="J53" i="70"/>
  <c r="F1" i="70"/>
  <c r="AE8" i="1"/>
  <c r="M47" i="71"/>
  <c r="Q66"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F41" i="70"/>
  <c r="C40" i="70"/>
  <c r="M6" i="70"/>
  <c r="M8" i="70"/>
  <c r="M7" i="70"/>
  <c r="M9" i="70"/>
  <c r="J6" i="70"/>
  <c r="M11" i="70"/>
  <c r="J10" i="70"/>
  <c r="J5" i="70"/>
  <c r="J26" i="70"/>
  <c r="J29" i="70"/>
  <c r="B2" i="70"/>
  <c r="E10" i="12"/>
  <c r="B3" i="70"/>
  <c r="E8"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G1" i="70"/>
  <c r="F32" i="70"/>
  <c r="F33" i="70"/>
  <c r="F34" i="70"/>
  <c r="F15" i="70"/>
  <c r="F17" i="70"/>
  <c r="F18" i="70"/>
  <c r="F20" i="70"/>
  <c r="F23" i="70"/>
  <c r="F21" i="70"/>
  <c r="F28" i="70"/>
  <c r="C28" i="70"/>
  <c r="M47"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AM9" i="1"/>
  <c r="AM8" i="1"/>
  <c r="AL9" i="1"/>
  <c r="AL8" i="1"/>
  <c r="AK9" i="1"/>
  <c r="AK8" i="1"/>
  <c r="Y9" i="1"/>
  <c r="Y8" i="1"/>
  <c r="W9" i="1"/>
  <c r="W8" i="1"/>
  <c r="V9" i="1"/>
  <c r="V8" i="1"/>
  <c r="C12" i="39"/>
  <c r="E120" i="39"/>
  <c r="F120" i="39"/>
  <c r="G120" i="39"/>
  <c r="H120" i="39"/>
  <c r="I120" i="39"/>
  <c r="J120" i="39"/>
  <c r="K120" i="39"/>
  <c r="L120" i="39"/>
  <c r="D120" i="39"/>
  <c r="E73" i="39"/>
  <c r="F73" i="39"/>
  <c r="G73" i="39"/>
  <c r="H73" i="39"/>
  <c r="I73" i="39"/>
  <c r="J73" i="39"/>
  <c r="K73" i="39"/>
  <c r="L73" i="39"/>
  <c r="M73" i="39"/>
  <c r="N73" i="39"/>
  <c r="D73" i="39"/>
  <c r="I48" i="39"/>
  <c r="G48" i="39"/>
  <c r="E48" i="39"/>
  <c r="I40" i="39"/>
  <c r="G40" i="39"/>
  <c r="E40" i="39"/>
  <c r="C40" i="39"/>
  <c r="I13" i="39"/>
  <c r="G13" i="39"/>
  <c r="E13" i="39"/>
  <c r="C13" i="39"/>
  <c r="I9" i="39"/>
  <c r="G9" i="39"/>
  <c r="E9" i="39"/>
  <c r="I7" i="39"/>
  <c r="G7" i="39"/>
  <c r="E7" i="39"/>
  <c r="C10" i="12"/>
  <c r="N14" i="1"/>
  <c r="N9" i="1"/>
  <c r="N8" i="1"/>
  <c r="N7" i="1"/>
  <c r="L14" i="1"/>
  <c r="L9" i="1"/>
  <c r="L8" i="1"/>
  <c r="L7" i="1"/>
  <c r="G22" i="6"/>
  <c r="G21" i="6"/>
  <c r="G20" i="6"/>
  <c r="F19" i="6"/>
  <c r="AN30" i="3"/>
  <c r="AF29" i="3"/>
  <c r="AN29" i="3"/>
  <c r="AN46" i="3"/>
  <c r="AC46" i="3"/>
  <c r="G46" i="3"/>
  <c r="M46" i="3"/>
  <c r="M30" i="3"/>
  <c r="O30" i="3"/>
  <c r="AC29" i="3"/>
  <c r="G29" i="3"/>
  <c r="M29" i="3"/>
  <c r="A3" i="3"/>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A9" i="1"/>
  <c r="G1" i="15"/>
  <c r="F6" i="1"/>
  <c r="F10" i="1"/>
  <c r="J50" i="15"/>
  <c r="J51" i="15"/>
  <c r="M47" i="15"/>
  <c r="G1" i="44"/>
  <c r="L49" i="44"/>
  <c r="M48" i="44"/>
  <c r="J51" i="44"/>
  <c r="J52" i="44"/>
  <c r="J54" i="44"/>
  <c r="C1" i="65"/>
  <c r="H1" i="65"/>
  <c r="I4" i="65"/>
  <c r="E20" i="46"/>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<sst xmlns="http://schemas.openxmlformats.org/spreadsheetml/2006/main" count="8687" uniqueCount="3304">
  <si>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</si>
  <si>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</si>
  <si>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</si>
  <si>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</si>
  <si>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</si>
  <si>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</si>
  <si>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</si>
  <si>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</si>
  <si>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</si>
  <si>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</si>
  <si>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</si>
  <si>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</si>
  <si>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</si>
  <si>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</si>
  <si>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</si>
  <si>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</si>
  <si>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</si>
  <si>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</si>
  <si>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</si>
  <si>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</si>
  <si>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</si>
  <si>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</si>
  <si>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</si>
  <si>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</si>
  <si>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</si>
  <si>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</si>
  <si>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</si>
  <si>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</si>
  <si>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</si>
  <si>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</si>
  <si>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</si>
  <si>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</si>
  <si>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</si>
  <si>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</si>
  <si>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</si>
  <si>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</si>
  <si>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</si>
  <si>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</si>
  <si>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</si>
  <si>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</si>
  <si>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</si>
  <si>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</si>
  <si>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</si>
  <si>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</si>
  <si>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</si>
  <si>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</si>
  <si>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</si>
  <si>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</si>
  <si>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</si>
  <si>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</si>
  <si>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</si>
  <si>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</si>
  <si>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</si>
  <si>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</si>
  <si>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</si>
  <si>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</si>
  <si>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</si>
  <si>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</si>
  <si>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</si>
  <si>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</si>
  <si>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</si>
  <si>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</si>
  <si>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</si>
  <si>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</si>
  <si>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</si>
  <si>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</si>
  <si>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</si>
  <si>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</si>
  <si>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</si>
  <si>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</si>
  <si>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</si>
  <si>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</si>
  <si>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</si>
  <si>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</si>
  <si>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</si>
  <si>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</si>
  <si>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</si>
  <si>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</si>
  <si>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</si>
  <si>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</si>
  <si>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</si>
  <si>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</si>
  <si>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</si>
  <si>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</si>
  <si>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</si>
  <si>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</si>
  <si>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</si>
  <si>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</si>
  <si>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</si>
  <si>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</si>
  <si>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</si>
  <si>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</si>
  <si>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</si>
  <si>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</si>
  <si>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</si>
  <si>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</si>
  <si>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</si>
  <si>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</si>
  <si>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</si>
  <si>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</si>
  <si>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</si>
  <si>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</si>
  <si>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</si>
  <si>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</si>
  <si>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</si>
  <si>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</si>
  <si>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</si>
  <si>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</si>
  <si>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</si>
  <si>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</si>
  <si>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</si>
  <si>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</si>
  <si>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</si>
  <si>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</si>
  <si>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</si>
  <si>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</si>
  <si>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</si>
  <si>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</si>
  <si>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</si>
  <si>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</si>
  <si>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</si>
  <si>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</si>
  <si>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</si>
  <si>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</si>
  <si>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</si>
  <si>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</si>
  <si>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</si>
  <si>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</si>
  <si>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</si>
  <si>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</si>
  <si>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</si>
  <si>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</si>
  <si>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</si>
  <si>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</si>
  <si>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</si>
  <si>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</si>
  <si>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</si>
  <si>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</si>
  <si>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</si>
  <si>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</si>
  <si>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</si>
  <si>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</si>
  <si>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</si>
  <si>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</si>
  <si>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</si>
  <si>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</si>
  <si>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</si>
  <si>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</si>
  <si>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</si>
  <si>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</si>
  <si>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</si>
  <si>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</si>
  <si>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</si>
  <si>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</si>
  <si>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</si>
  <si>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</si>
  <si>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</si>
  <si>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</si>
  <si>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</si>
  <si>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</si>
  <si>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</si>
  <si>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</si>
  <si>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</si>
  <si>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</si>
  <si>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</si>
  <si>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</si>
  <si>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</si>
  <si>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</si>
  <si>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</si>
  <si>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</si>
  <si>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</si>
  <si>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</si>
  <si>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</si>
  <si>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</si>
  <si>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</si>
  <si>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</si>
  <si>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</si>
  <si>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</si>
  <si>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</si>
  <si>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</si>
  <si>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</si>
  <si>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</si>
  <si>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</si>
  <si>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</si>
  <si>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</si>
  <si>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</si>
  <si>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</si>
  <si>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</si>
  <si>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</si>
  <si>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</si>
  <si>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</si>
  <si>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</si>
  <si>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</si>
  <si>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</si>
  <si>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</si>
  <si>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</si>
  <si>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</si>
  <si>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</si>
  <si>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</si>
  <si>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</si>
  <si>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</si>
  <si>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</si>
  <si>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</si>
  <si>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</si>
  <si>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</si>
  <si>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</si>
  <si>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</si>
  <si>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</si>
  <si>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</si>
  <si>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</si>
  <si>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</si>
  <si>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</si>
  <si>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</si>
  <si>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</si>
  <si>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</si>
  <si>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</si>
  <si>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</si>
  <si>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</si>
  <si>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</si>
  <si>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</si>
  <si>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</si>
  <si>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</si>
  <si>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</si>
  <si>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</si>
  <si>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</si>
  <si>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</si>
  <si>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</si>
  <si>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</si>
  <si>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</si>
  <si>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</si>
  <si>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</si>
  <si>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</si>
  <si>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</si>
  <si>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</si>
  <si>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</si>
  <si>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</si>
  <si>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</si>
  <si>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</si>
  <si>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</si>
  <si>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</si>
  <si>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</si>
  <si>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</si>
  <si>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</si>
  <si>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</si>
  <si>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</si>
  <si>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</si>
  <si>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</si>
  <si>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</si>
  <si>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</si>
  <si>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</si>
  <si>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</si>
  <si>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</si>
  <si>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</si>
  <si>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</si>
  <si>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</si>
  <si>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</si>
  <si>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</si>
  <si>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</si>
  <si>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</si>
  <si>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</si>
  <si>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</si>
  <si>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</si>
  <si>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</si>
  <si>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</si>
  <si>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</si>
  <si>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</si>
  <si>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</si>
  <si>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</si>
  <si>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</si>
  <si>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</si>
  <si>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</si>
  <si>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</si>
  <si>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</si>
  <si>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</si>
  <si>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</si>
  <si>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</si>
  <si>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</si>
  <si>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</si>
  <si>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</si>
  <si>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</si>
  <si>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</si>
  <si>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</si>
  <si>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</si>
  <si>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</si>
  <si>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</si>
  <si>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</si>
  <si>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</si>
  <si>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</si>
  <si>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</si>
  <si>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</si>
  <si>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</si>
  <si>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</si>
  <si>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</si>
  <si>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</si>
  <si>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</si>
  <si>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</si>
  <si>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</si>
  <si>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</si>
  <si>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</si>
  <si>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</si>
  <si>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</si>
  <si>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</si>
  <si>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</si>
  <si>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</si>
  <si>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</si>
  <si>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</si>
  <si>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</si>
  <si>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</si>
  <si>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</si>
  <si>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</si>
  <si>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</si>
  <si>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</si>
  <si>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</si>
  <si>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</si>
  <si>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</si>
  <si>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</si>
  <si>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</si>
  <si>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</si>
  <si>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</si>
  <si>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</si>
  <si>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</si>
  <si>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</si>
  <si>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</si>
  <si>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</si>
  <si>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</si>
  <si>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</si>
  <si>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</si>
  <si>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</si>
  <si>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</si>
  <si>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</si>
  <si>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</si>
  <si>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</si>
  <si>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</si>
  <si>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</si>
  <si>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</si>
  <si>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</si>
  <si>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</si>
  <si>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</si>
  <si>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</si>
  <si>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</si>
  <si>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</si>
  <si>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</si>
  <si>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</si>
  <si>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</si>
  <si>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</si>
  <si>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</si>
  <si>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</si>
  <si>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</si>
  <si>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</si>
  <si>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</si>
  <si>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</si>
  <si>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</si>
  <si>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</si>
  <si>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</si>
  <si>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</si>
  <si>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</si>
  <si>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</si>
  <si>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</si>
  <si>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</si>
  <si>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</si>
  <si>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</si>
  <si>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</si>
  <si>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</si>
  <si>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</si>
  <si>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</si>
  <si>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</si>
  <si>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</si>
  <si>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</si>
  <si>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</si>
  <si>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</si>
  <si>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</si>
  <si>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</si>
  <si>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</si>
  <si>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</si>
  <si>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</si>
  <si>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</si>
  <si>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</si>
  <si>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</si>
  <si>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</si>
  <si>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</si>
  <si>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</si>
  <si>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</si>
  <si>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</si>
  <si>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</si>
  <si>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</si>
  <si>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</si>
  <si>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</si>
  <si>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</si>
  <si>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</si>
  <si>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</si>
  <si>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</si>
  <si>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</si>
  <si>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</si>
  <si>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</si>
  <si>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</si>
  <si>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</si>
  <si>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</si>
  <si>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</si>
  <si>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</si>
  <si>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</si>
  <si>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</si>
  <si>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</si>
  <si>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</si>
  <si>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</si>
  <si>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</si>
  <si>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</si>
  <si>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</si>
  <si>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</si>
  <si>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</si>
  <si>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</si>
  <si>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</si>
  <si>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</si>
  <si>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</si>
  <si>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</si>
  <si>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</si>
  <si>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</si>
  <si>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</si>
  <si>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</si>
  <si>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</si>
  <si>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</si>
  <si>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</si>
  <si>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</si>
  <si>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</si>
  <si>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</si>
  <si>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</si>
  <si>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</si>
  <si>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</si>
  <si>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</si>
  <si>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</si>
  <si>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</si>
  <si>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</si>
  <si>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</si>
  <si>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</si>
  <si>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</si>
  <si>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</si>
  <si>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</si>
  <si>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</si>
  <si>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</si>
  <si>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</si>
  <si>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</si>
  <si>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</si>
  <si>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</si>
  <si>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</si>
  <si>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</si>
  <si>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</si>
  <si>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</si>
  <si>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</si>
  <si>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</si>
  <si>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</si>
  <si>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</si>
  <si>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</si>
  <si>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</si>
  <si>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</si>
  <si>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</si>
  <si>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</si>
  <si>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</si>
  <si>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</si>
  <si>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</si>
  <si>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</si>
  <si>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</si>
  <si>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</si>
  <si>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</si>
  <si>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</si>
  <si>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</si>
  <si>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</si>
  <si>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</si>
  <si>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</si>
  <si>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</si>
  <si>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</si>
  <si>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</si>
  <si>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</si>
  <si>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</si>
  <si>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</si>
  <si>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</si>
  <si>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</si>
  <si>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</si>
  <si>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</si>
  <si>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</si>
  <si>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</si>
  <si>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</si>
  <si>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</si>
  <si>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</si>
  <si>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</si>
  <si>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</si>
  <si>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</si>
  <si>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</si>
  <si>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</si>
  <si>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</si>
  <si>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</si>
  <si>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</si>
  <si>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</si>
  <si>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</si>
  <si>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</si>
  <si>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</si>
  <si>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</si>
  <si>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</si>
  <si>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</si>
  <si>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</si>
  <si>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</si>
  <si>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</si>
  <si>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</si>
  <si>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</si>
  <si>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</si>
  <si>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</si>
  <si>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</si>
  <si>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</si>
  <si>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</si>
  <si>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</si>
  <si>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</si>
  <si>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</si>
  <si>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</si>
  <si>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</si>
  <si>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</si>
  <si>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</si>
  <si>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</si>
  <si>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</si>
  <si>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</si>
  <si>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</si>
  <si>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</si>
  <si>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</si>
  <si>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</si>
  <si>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</si>
  <si>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</si>
  <si>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</si>
  <si>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</si>
  <si>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</si>
  <si>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</si>
  <si>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</si>
  <si>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</si>
  <si>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</si>
  <si>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</si>
  <si>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</si>
  <si>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</si>
  <si>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</si>
  <si>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</si>
  <si>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</si>
  <si>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</si>
  <si>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</si>
  <si>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</si>
  <si>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</si>
  <si>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</si>
  <si>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</si>
  <si>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</si>
  <si>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</si>
  <si>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</si>
  <si>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</si>
  <si>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</si>
  <si>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</si>
  <si>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</si>
  <si>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</si>
  <si>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</si>
  <si>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</si>
  <si>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</si>
  <si>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</si>
  <si>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</si>
  <si>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</si>
  <si>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</si>
  <si>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</si>
  <si>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</si>
  <si>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</si>
  <si>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</si>
  <si>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</si>
  <si>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</si>
  <si>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</si>
  <si>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</si>
  <si>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</si>
  <si>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</si>
  <si>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</si>
  <si>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</si>
  <si>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</si>
  <si>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</si>
  <si>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</si>
  <si>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</si>
  <si>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</si>
  <si>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</si>
  <si>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</si>
  <si>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</si>
  <si>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</si>
  <si>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</si>
  <si>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</si>
  <si>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</si>
  <si>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</si>
  <si>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</si>
  <si>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</si>
  <si>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</si>
  <si>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</si>
  <si>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</si>
  <si>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</si>
  <si>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</si>
  <si>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</si>
  <si>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</si>
  <si>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</si>
  <si>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</si>
  <si>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</si>
  <si>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</si>
  <si>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</si>
  <si>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</si>
  <si>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</si>
  <si>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</si>
  <si>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</si>
  <si>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</si>
  <si>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</si>
  <si>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</si>
  <si>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</si>
  <si>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</si>
  <si>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</si>
  <si>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</si>
  <si>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</si>
  <si>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</si>
  <si>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</si>
  <si>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</si>
  <si>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</si>
  <si>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</si>
  <si>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</si>
  <si>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</si>
  <si>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</si>
  <si>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</si>
  <si>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</si>
  <si>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</si>
  <si>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</si>
  <si>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</si>
  <si>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</si>
  <si>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</si>
  <si>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</si>
  <si>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</si>
  <si>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</si>
  <si>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</si>
  <si>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</si>
  <si>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</si>
  <si>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</si>
  <si>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</si>
  <si>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</si>
  <si>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</si>
  <si>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</si>
  <si>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</si>
  <si>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</si>
  <si>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</si>
  <si>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</si>
  <si>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</si>
  <si>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</si>
  <si>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</si>
  <si>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</si>
  <si>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</si>
  <si>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</si>
  <si>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</si>
  <si>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</si>
  <si>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</si>
  <si>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</si>
  <si>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</si>
  <si>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</si>
  <si>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</si>
  <si>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</si>
  <si>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</si>
  <si>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</si>
  <si>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</si>
  <si>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</si>
  <si>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</si>
  <si>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</si>
  <si>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</si>
  <si>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</si>
  <si>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</si>
  <si>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</si>
  <si>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</si>
  <si>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</si>
  <si>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</si>
  <si>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</si>
  <si>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</si>
  <si>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</si>
  <si>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</si>
  <si>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</si>
  <si>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</si>
  <si>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</si>
  <si>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</si>
  <si>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</si>
  <si>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</si>
  <si>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</si>
  <si>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</si>
  <si>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</si>
  <si>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</si>
  <si>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</si>
  <si>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</si>
  <si>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</si>
  <si>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</si>
  <si>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</si>
  <si>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</si>
  <si>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</si>
  <si>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</si>
  <si>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</si>
  <si>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</si>
  <si>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</si>
  <si>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</si>
  <si>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</si>
  <si>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</si>
  <si>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</si>
  <si>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</si>
  <si>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</si>
  <si>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</si>
  <si>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</si>
  <si>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</si>
  <si>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</si>
  <si>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</si>
  <si>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</si>
  <si>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</si>
  <si>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</si>
  <si>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</si>
  <si>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</si>
  <si>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</si>
  <si>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</si>
  <si>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</si>
  <si>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</si>
  <si>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</si>
  <si>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</si>
  <si>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</si>
  <si>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</si>
  <si>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</si>
  <si>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</si>
  <si>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</si>
  <si>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</si>
  <si>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</si>
  <si>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</si>
  <si>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</si>
  <si>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</si>
  <si>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</si>
  <si>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</si>
  <si>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</si>
  <si>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</si>
  <si>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</si>
  <si>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</si>
  <si>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</si>
  <si>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</si>
  <si>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</si>
  <si>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</si>
  <si>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</si>
  <si>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</si>
  <si>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</si>
  <si>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</si>
  <si>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</si>
  <si>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</si>
  <si>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</si>
  <si>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</si>
  <si>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</si>
  <si>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</si>
  <si>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</si>
  <si>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</si>
  <si>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</si>
  <si>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</si>
  <si>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</si>
  <si>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</si>
  <si>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</si>
  <si>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</si>
  <si>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</si>
  <si>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</si>
  <si>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</si>
  <si>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</si>
  <si>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</si>
  <si>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</si>
  <si>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</si>
  <si>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</si>
  <si>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</si>
  <si>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</si>
  <si>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</si>
  <si>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</si>
  <si>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</si>
  <si>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</si>
  <si>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</si>
  <si>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</si>
  <si>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</si>
  <si>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</si>
  <si>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</si>
  <si>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</si>
  <si>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</si>
  <si>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</si>
  <si>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</si>
  <si>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</si>
  <si>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</si>
  <si>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</si>
  <si>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</si>
  <si>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</si>
  <si>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</si>
  <si>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</si>
  <si>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</si>
  <si>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</si>
  <si>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</si>
  <si>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</si>
  <si>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</si>
  <si>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</si>
  <si>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</si>
  <si>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</si>
  <si>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</si>
  <si>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</si>
  <si>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</si>
  <si>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</si>
  <si>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</si>
  <si>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</si>
  <si>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</si>
  <si>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</si>
  <si>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</si>
  <si>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</si>
  <si>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</si>
  <si>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</si>
  <si>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</si>
  <si>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</si>
  <si>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</si>
  <si>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</si>
  <si>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</si>
  <si>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</si>
  <si>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</si>
  <si>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</si>
  <si>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</si>
  <si>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</si>
  <si>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</si>
  <si>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</si>
  <si>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</si>
  <si>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</si>
  <si>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</si>
  <si>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</si>
  <si>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</si>
  <si>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</si>
  <si>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</si>
  <si>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</si>
  <si>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</si>
  <si>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</si>
  <si>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</si>
  <si>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</si>
  <si>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</si>
  <si>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</si>
  <si>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</si>
  <si>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</si>
  <si>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</si>
  <si>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</si>
  <si>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</si>
  <si>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</si>
  <si>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</si>
  <si>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</si>
  <si>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</si>
  <si>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</si>
  <si>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</si>
  <si>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</si>
  <si>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</si>
  <si>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</si>
  <si>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</si>
  <si>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</si>
  <si>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</si>
  <si>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</si>
  <si>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</si>
  <si>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</si>
  <si>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</si>
  <si>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</si>
  <si>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</si>
  <si>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</si>
  <si>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</si>
  <si>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</si>
  <si>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</si>
  <si>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</si>
  <si>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</si>
  <si>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</si>
  <si>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</si>
  <si>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</si>
  <si>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</si>
  <si>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</si>
  <si>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</si>
  <si>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</si>
  <si>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</si>
  <si>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</si>
  <si>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</si>
  <si>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</si>
  <si>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</si>
  <si>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</si>
  <si>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</si>
  <si>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</si>
  <si>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</si>
  <si>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</si>
  <si>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</si>
  <si>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</si>
  <si>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</si>
  <si>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</si>
  <si>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</si>
  <si>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</si>
  <si>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</si>
  <si>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</si>
  <si>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</si>
  <si>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</si>
  <si>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</si>
  <si>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</si>
  <si>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</si>
  <si>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</si>
  <si>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</si>
  <si>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</si>
  <si>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</si>
  <si>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</si>
  <si>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</si>
  <si>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</si>
  <si>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</si>
  <si>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</si>
  <si>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</si>
  <si>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</si>
  <si>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</si>
  <si>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</si>
  <si>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</si>
  <si>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</si>
  <si>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</si>
  <si>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</si>
  <si>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</si>
  <si>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</si>
  <si>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</si>
  <si>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</si>
  <si>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</si>
  <si>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</si>
  <si>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</si>
  <si>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</si>
  <si>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</si>
  <si>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</si>
  <si>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</si>
  <si>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</si>
  <si>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</si>
  <si>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</si>
  <si>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</si>
  <si>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</si>
  <si>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</si>
  <si>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</si>
  <si>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</si>
  <si>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</si>
  <si>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</si>
  <si>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</si>
  <si>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</si>
  <si>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</si>
  <si>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</si>
  <si>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</si>
  <si>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</si>
  <si>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</si>
  <si>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</si>
  <si>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</si>
  <si>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</si>
  <si>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</si>
  <si>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</si>
  <si>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</si>
  <si>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</si>
  <si>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</si>
  <si>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</si>
  <si>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</si>
  <si>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</si>
  <si>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</si>
  <si>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</si>
  <si>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</si>
  <si>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</si>
  <si>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</si>
  <si>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</si>
  <si>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</si>
  <si>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</si>
  <si>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</si>
  <si>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</si>
  <si>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</si>
  <si>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</si>
  <si>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</si>
  <si>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</si>
  <si>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</si>
  <si>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</si>
  <si>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</si>
  <si>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</si>
  <si>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</si>
  <si>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</si>
  <si>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</si>
  <si>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</si>
  <si>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</si>
  <si>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</si>
  <si>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</si>
  <si>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</si>
  <si>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</si>
  <si>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</si>
  <si>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</si>
  <si>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</si>
  <si>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</si>
  <si>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</si>
  <si>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</si>
  <si>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</si>
  <si>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</si>
  <si>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</si>
  <si>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</si>
  <si>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</si>
  <si>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</si>
  <si>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</si>
  <si>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</si>
  <si>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</si>
  <si>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</si>
  <si>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</si>
  <si>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</si>
  <si>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</si>
  <si>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</si>
  <si>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</si>
  <si>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</si>
  <si>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</si>
  <si>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</si>
  <si>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</si>
  <si>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</si>
  <si>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</si>
  <si>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</si>
  <si>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</si>
  <si>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</si>
  <si>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</si>
  <si>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</si>
  <si>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</si>
  <si>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</si>
  <si>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</si>
  <si>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</si>
  <si>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</si>
  <si>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</si>
  <si>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</si>
  <si>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</si>
  <si>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</si>
  <si>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</si>
  <si>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</si>
  <si>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</si>
  <si>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</si>
  <si>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</si>
  <si>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</si>
  <si>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</si>
  <si>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</si>
  <si>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</si>
  <si>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</si>
  <si>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</si>
  <si>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</si>
  <si>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</si>
  <si>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</si>
  <si>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</si>
  <si>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</si>
  <si>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</si>
  <si>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</si>
  <si>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</si>
  <si>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</si>
  <si>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</si>
  <si>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</si>
  <si>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</si>
  <si>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</si>
  <si>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</si>
  <si>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</si>
  <si>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</si>
  <si>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</si>
  <si>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</si>
  <si>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</si>
  <si>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</si>
  <si>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</si>
  <si>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</si>
  <si>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</si>
  <si>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</si>
  <si>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</si>
  <si>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</si>
  <si>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</si>
  <si>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</si>
  <si>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</si>
  <si>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</si>
  <si>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</si>
  <si>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</si>
  <si>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</si>
  <si>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</si>
  <si>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</si>
  <si>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</si>
  <si>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</si>
  <si>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</si>
  <si>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</si>
  <si>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</si>
  <si>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</si>
  <si>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</si>
  <si>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</si>
  <si>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</si>
  <si>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</si>
  <si>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</si>
  <si>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</si>
  <si>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</si>
  <si>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</si>
  <si>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</si>
  <si>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</si>
  <si>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</si>
  <si>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</si>
  <si>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</si>
  <si>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</si>
  <si>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</si>
  <si>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</si>
  <si>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</si>
  <si>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</si>
  <si>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</si>
  <si>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</si>
  <si>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</si>
  <si>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</si>
  <si>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</si>
  <si>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</si>
  <si>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</si>
  <si>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</si>
  <si>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</si>
  <si>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</si>
  <si>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</si>
  <si>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</si>
  <si>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</si>
  <si>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</si>
  <si>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</si>
  <si>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</si>
  <si>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</si>
  <si>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</si>
  <si>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</si>
  <si>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</si>
  <si>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</si>
  <si>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</si>
  <si>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</si>
  <si>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</si>
  <si>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</si>
  <si>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</si>
  <si>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</si>
  <si>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</si>
  <si>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</si>
  <si>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</si>
  <si>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</si>
  <si>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</si>
  <si>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</si>
  <si>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</si>
  <si>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</si>
  <si>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</si>
  <si>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</si>
  <si>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</si>
  <si>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</si>
  <si>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</si>
  <si>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</si>
  <si>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</si>
  <si>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</si>
  <si>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</si>
  <si>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</si>
  <si>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</si>
  <si>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</si>
  <si>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</si>
  <si>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</si>
  <si>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</si>
  <si>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</si>
  <si>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</si>
  <si>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</si>
  <si>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</si>
  <si>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</si>
  <si>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</si>
  <si>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</si>
  <si>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</si>
  <si>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</si>
  <si>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</si>
  <si>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</si>
  <si>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</si>
  <si>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</si>
  <si>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</si>
  <si>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</si>
  <si>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</si>
  <si>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</si>
  <si>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</si>
  <si>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</si>
  <si>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</si>
  <si>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</si>
  <si>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</si>
  <si>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</si>
  <si>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</si>
  <si>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</si>
  <si>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</si>
  <si>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</si>
  <si>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</si>
  <si>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</si>
  <si>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</si>
  <si>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</si>
  <si>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</si>
  <si>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</si>
  <si>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</si>
  <si>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</si>
  <si>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</si>
  <si>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</si>
  <si>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</si>
  <si>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</si>
  <si>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</si>
  <si>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</si>
  <si>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</si>
  <si>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</si>
  <si>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</si>
  <si>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</si>
  <si>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</si>
  <si>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</si>
  <si>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</si>
  <si>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</si>
  <si>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</si>
  <si>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</si>
  <si>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</si>
  <si>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</si>
  <si>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</si>
  <si>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</si>
  <si>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</si>
  <si>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</si>
  <si>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</si>
  <si>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</si>
  <si>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</si>
  <si>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</si>
  <si>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</si>
  <si>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</si>
  <si>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</si>
  <si>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</si>
  <si>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</si>
  <si>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</si>
  <si>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</si>
  <si>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</si>
  <si>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</si>
  <si>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</si>
  <si>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</si>
  <si>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</si>
  <si>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</si>
  <si>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</si>
  <si>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</si>
  <si>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</si>
  <si>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</si>
  <si>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</si>
  <si>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</si>
  <si>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</si>
  <si>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</si>
  <si>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</si>
  <si>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</si>
  <si>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</si>
  <si>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</si>
  <si>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</si>
  <si>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</si>
  <si>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</si>
  <si>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</si>
  <si>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</si>
  <si>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</si>
  <si>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</si>
  <si>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</si>
  <si>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</si>
  <si>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</si>
  <si>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</si>
  <si>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</si>
  <si>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</si>
  <si>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</si>
  <si>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</si>
  <si>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</si>
  <si>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</si>
  <si>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</si>
  <si>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</si>
  <si>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</si>
  <si>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</si>
  <si>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</si>
  <si>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</si>
  <si>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</si>
  <si>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</si>
  <si>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</si>
  <si>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</si>
  <si>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</si>
  <si>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</si>
  <si>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</si>
  <si>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</si>
  <si>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</si>
  <si>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</si>
  <si>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</si>
  <si>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</si>
  <si>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</si>
  <si>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</si>
  <si>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</si>
  <si>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</si>
  <si>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</si>
  <si>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</si>
  <si>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</si>
  <si>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</si>
  <si>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</si>
  <si>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</si>
  <si>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</si>
  <si>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</si>
  <si>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</si>
  <si>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</si>
  <si>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</si>
  <si>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</si>
  <si>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</si>
  <si>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</si>
  <si>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</si>
  <si>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</si>
  <si>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</si>
  <si>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</si>
  <si>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</si>
  <si>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</si>
  <si>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</si>
  <si>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</si>
  <si>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</si>
  <si>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</si>
  <si>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</si>
  <si>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</si>
  <si>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</si>
  <si>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</si>
  <si>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</si>
  <si>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</si>
  <si>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</si>
  <si>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</si>
  <si>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</si>
  <si>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</si>
  <si>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</si>
  <si>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</si>
  <si>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</si>
  <si>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</si>
  <si>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</si>
  <si>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</si>
  <si>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</si>
  <si>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</si>
  <si>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</si>
  <si>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</si>
  <si>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</si>
  <si>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</si>
  <si>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</si>
  <si>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</si>
  <si>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</si>
  <si>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</si>
  <si>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</si>
  <si>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</si>
  <si>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</si>
  <si>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</si>
  <si>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</si>
  <si>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</si>
  <si>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</si>
  <si>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</si>
  <si>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</si>
  <si>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</si>
  <si>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</si>
  <si>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</si>
  <si>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</si>
  <si>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</si>
  <si>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</si>
  <si>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</si>
  <si>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</si>
  <si>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</si>
  <si>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</si>
  <si>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</si>
  <si>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</si>
  <si>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</si>
  <si>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</si>
  <si>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</si>
  <si>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</si>
  <si>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</si>
  <si>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</si>
  <si>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</si>
  <si>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</si>
  <si>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</si>
  <si>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</si>
  <si>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</si>
  <si>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</si>
  <si>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</si>
  <si>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</si>
  <si>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</si>
  <si>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</si>
  <si>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</si>
  <si>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</si>
  <si>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</si>
  <si>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</si>
  <si>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</si>
  <si>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</si>
  <si>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</si>
  <si>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</si>
  <si>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</si>
  <si>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</si>
  <si>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</si>
  <si>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</si>
  <si>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</si>
  <si>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</si>
  <si>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</si>
  <si>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</si>
  <si>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</si>
  <si>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</si>
  <si>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</si>
  <si>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</si>
  <si>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</si>
  <si>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</si>
  <si>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</si>
  <si>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</si>
  <si>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</si>
  <si>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</si>
  <si>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</si>
  <si>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</si>
  <si>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</si>
  <si>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</si>
  <si>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</si>
  <si>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</si>
  <si>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</si>
  <si>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</si>
  <si>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</si>
  <si>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</si>
  <si>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</si>
  <si>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</si>
  <si>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</si>
  <si>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</si>
  <si>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</si>
  <si>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</si>
  <si>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</si>
  <si>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</si>
  <si>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</si>
  <si>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</si>
  <si>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</si>
  <si>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</si>
  <si>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</si>
  <si>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</si>
  <si>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</si>
  <si>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</si>
  <si>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</si>
  <si>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</si>
  <si>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</si>
  <si>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</si>
  <si>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</si>
  <si>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</si>
  <si>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</si>
  <si>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</si>
  <si>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</si>
  <si>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</si>
  <si>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</si>
  <si>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</si>
  <si>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</si>
  <si>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</si>
  <si>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</si>
  <si>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</si>
  <si>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</si>
  <si>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</si>
  <si>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</si>
  <si>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</si>
  <si>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</si>
  <si>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</si>
  <si>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</si>
  <si>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</si>
  <si>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</si>
  <si>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</si>
  <si>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</si>
  <si>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</si>
  <si>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</si>
  <si>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</si>
  <si>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</si>
  <si>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</si>
  <si>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</si>
  <si>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</si>
  <si>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</si>
  <si>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</si>
  <si>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</si>
  <si>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</si>
  <si>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</si>
  <si>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</si>
  <si>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</si>
  <si>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</si>
  <si>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</si>
  <si>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</si>
  <si>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</si>
  <si>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</si>
  <si>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</si>
  <si>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</si>
  <si>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</si>
  <si>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</si>
  <si>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</si>
  <si>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</si>
  <si>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</si>
  <si>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</si>
  <si>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</si>
  <si>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</si>
  <si>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</si>
  <si>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</si>
  <si>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</si>
  <si>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</si>
  <si>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</si>
  <si>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</si>
  <si>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</si>
  <si>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</si>
  <si>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</si>
  <si>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</si>
  <si>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</si>
  <si>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</si>
  <si>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</si>
  <si>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</si>
  <si>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</si>
  <si>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</si>
  <si>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</si>
  <si>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</si>
  <si>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</si>
  <si>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</si>
  <si>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</si>
  <si>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</si>
  <si>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</si>
  <si>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</si>
  <si>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</si>
  <si>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</si>
  <si>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</si>
  <si>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</si>
  <si>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</si>
  <si>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</si>
  <si>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</si>
  <si>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</si>
  <si>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</si>
  <si>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</si>
  <si>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</si>
  <si>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</si>
  <si>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</si>
  <si>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</si>
  <si>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</si>
  <si>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</si>
  <si>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</si>
  <si>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</si>
  <si>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</si>
  <si>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</si>
  <si>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</si>
  <si>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</si>
  <si>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</si>
  <si>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</si>
  <si>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</si>
  <si>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</si>
  <si>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</si>
  <si>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</si>
  <si>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</si>
  <si>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</si>
  <si>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</si>
  <si>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</si>
  <si>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</si>
  <si>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</si>
  <si>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</si>
  <si>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</si>
  <si>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</si>
  <si>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</si>
  <si>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</si>
  <si>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</si>
  <si>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</si>
  <si>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</si>
  <si>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</si>
  <si>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</si>
  <si>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</si>
  <si>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</si>
  <si>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</si>
  <si>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</si>
  <si>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</si>
  <si>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</si>
  <si>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</si>
  <si>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</si>
  <si>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</si>
  <si>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</si>
  <si>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</si>
  <si>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</si>
  <si>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</si>
  <si>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</si>
  <si>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</si>
  <si>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</si>
  <si>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</si>
  <si>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</si>
  <si>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</si>
  <si>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</si>
  <si>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</si>
  <si>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</si>
  <si>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</si>
  <si>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</si>
  <si>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</si>
  <si>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</si>
  <si>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</si>
  <si>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</si>
  <si>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</si>
  <si>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</si>
  <si>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</si>
  <si>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</si>
  <si>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</si>
  <si>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</si>
  <si>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</si>
  <si>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</si>
  <si>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</si>
  <si>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</si>
  <si>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</si>
  <si>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</si>
  <si>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</si>
  <si>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</si>
  <si>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</si>
  <si>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</si>
  <si>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</si>
  <si>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</si>
  <si>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</si>
  <si>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</si>
  <si>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</si>
  <si>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</si>
  <si>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</si>
  <si>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</si>
  <si>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</si>
  <si>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</si>
  <si>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</si>
  <si>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</si>
  <si>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</si>
  <si>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</si>
  <si>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</si>
  <si>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</si>
  <si>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</si>
  <si>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</si>
  <si>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</si>
  <si>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</si>
  <si>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</si>
  <si>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</si>
  <si>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</si>
  <si>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</si>
  <si>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</si>
  <si>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</si>
  <si>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</si>
  <si>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</si>
  <si>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</si>
  <si>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</si>
  <si>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</si>
  <si>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</si>
  <si>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</si>
  <si>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</si>
  <si>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</si>
  <si>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</si>
  <si>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</si>
  <si>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</si>
  <si>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</si>
  <si>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</si>
  <si>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</si>
  <si>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</si>
  <si>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</si>
  <si>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</si>
  <si>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</si>
  <si>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</si>
  <si>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</si>
  <si>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</si>
  <si>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</si>
  <si>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</si>
  <si>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</si>
  <si>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</si>
  <si>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</si>
  <si>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</si>
  <si>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</si>
  <si>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</si>
  <si>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</si>
  <si>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</si>
  <si>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</si>
  <si>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</si>
  <si>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</si>
  <si>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</si>
  <si>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</si>
  <si>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</si>
  <si>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</si>
  <si>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</si>
  <si>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</si>
  <si>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</si>
  <si>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</si>
  <si>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</si>
  <si>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</si>
  <si>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</si>
  <si>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</si>
  <si>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</si>
  <si>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</si>
  <si>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</si>
  <si>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</si>
  <si>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</si>
  <si>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</si>
  <si>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</si>
  <si>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</si>
  <si>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</si>
  <si>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</si>
  <si>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</si>
  <si>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</si>
  <si>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</si>
  <si>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</si>
  <si>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</si>
  <si>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</si>
  <si>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</si>
  <si>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</si>
  <si>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</si>
  <si>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</si>
  <si>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</si>
  <si>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</si>
  <si>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</si>
  <si>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</si>
  <si>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</si>
  <si>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</si>
  <si>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</si>
  <si>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</si>
  <si>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</si>
  <si>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</si>
  <si>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</si>
  <si>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</si>
  <si>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</si>
  <si>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</si>
  <si>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</si>
  <si>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</si>
  <si>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</si>
  <si>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</si>
  <si>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</si>
  <si>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</si>
  <si>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</si>
  <si>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</si>
  <si>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</si>
  <si>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</si>
  <si>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</si>
  <si>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</si>
  <si>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</si>
  <si>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</si>
  <si>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</si>
  <si>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</si>
  <si>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</si>
  <si>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</si>
  <si>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</si>
  <si>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</si>
  <si>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</si>
  <si>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</si>
  <si>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</si>
  <si>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</si>
  <si>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</si>
  <si>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</si>
  <si>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</si>
  <si>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</si>
  <si>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</si>
  <si>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</si>
  <si>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</si>
  <si>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</si>
  <si>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</si>
  <si>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</si>
  <si>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</si>
  <si>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</si>
  <si>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</si>
  <si>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</si>
  <si>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</si>
  <si>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</si>
  <si>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</si>
  <si>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</si>
  <si>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</si>
  <si>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</si>
  <si>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</si>
  <si>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</si>
  <si>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</si>
  <si>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</si>
  <si>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</si>
  <si>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</si>
  <si>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</si>
  <si>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</si>
  <si>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</si>
  <si>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</si>
  <si>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</si>
  <si>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</si>
  <si>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</si>
  <si>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</si>
  <si>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</si>
  <si>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</si>
  <si>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</si>
  <si>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</si>
  <si>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</si>
  <si>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</si>
  <si>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</si>
  <si>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</si>
  <si>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</si>
  <si>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</si>
  <si>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</si>
  <si>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</si>
  <si>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</si>
  <si>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</si>
  <si>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</si>
  <si>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</si>
  <si>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</si>
  <si>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</si>
  <si>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</si>
  <si>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</si>
  <si>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</si>
  <si>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</si>
  <si>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</si>
  <si>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</si>
  <si>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</si>
  <si>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</si>
  <si>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</si>
  <si>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</si>
  <si>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</si>
  <si>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</si>
  <si>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</si>
  <si>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</si>
  <si>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</si>
  <si>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</si>
  <si>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</si>
  <si>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</si>
  <si>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</si>
  <si>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</si>
  <si>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</si>
  <si>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</si>
  <si>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</si>
  <si>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</si>
  <si>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</si>
  <si>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</si>
  <si>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</si>
  <si>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</si>
  <si>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</si>
  <si>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</si>
  <si>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</si>
  <si>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</si>
  <si>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</si>
  <si>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</si>
  <si>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</si>
  <si>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</si>
  <si>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</si>
  <si>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</si>
  <si>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</si>
  <si>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</si>
  <si>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</si>
  <si>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</si>
  <si>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</si>
  <si>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</si>
  <si>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</si>
  <si>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</si>
  <si>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</si>
  <si>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</si>
  <si>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</si>
  <si>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</si>
  <si>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</si>
  <si>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</si>
  <si>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</si>
  <si>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</si>
  <si>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</si>
  <si>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</si>
  <si>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</si>
  <si>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</si>
  <si>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</si>
  <si>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</si>
  <si>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</si>
  <si>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</si>
  <si>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</si>
  <si>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</si>
  <si>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</si>
  <si>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</si>
  <si>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</si>
  <si>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</si>
  <si>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</si>
  <si>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</si>
  <si>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</si>
  <si>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</si>
  <si>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</si>
  <si>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</si>
  <si>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</si>
  <si>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</si>
  <si>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</si>
  <si>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</si>
  <si>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</si>
  <si>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</si>
  <si>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</si>
  <si>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</si>
  <si>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</si>
  <si>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</si>
  <si>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</si>
  <si>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</si>
  <si>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</si>
  <si>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</si>
  <si>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</si>
  <si>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</si>
  <si>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</si>
  <si>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</si>
  <si>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</si>
  <si>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</si>
  <si>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</si>
  <si>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</si>
  <si>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</si>
  <si>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</si>
  <si>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</si>
  <si>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</si>
  <si>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</si>
  <si>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</si>
  <si>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</si>
  <si>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</si>
  <si>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</si>
  <si>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</si>
  <si>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</si>
  <si>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</si>
  <si>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</si>
  <si>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</si>
  <si>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</si>
  <si>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</si>
  <si>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</si>
  <si>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</si>
  <si>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</si>
  <si>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</si>
  <si>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</si>
  <si>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</si>
  <si>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</si>
  <si>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</si>
  <si>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</si>
  <si>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</si>
  <si>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</si>
  <si>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</si>
  <si>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</si>
  <si>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</si>
  <si>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</si>
  <si>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</si>
  <si>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</si>
  <si>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</si>
  <si>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</si>
  <si>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</si>
  <si>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</si>
  <si>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</si>
  <si>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</si>
  <si>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</si>
  <si>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</si>
  <si>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</si>
  <si>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</si>
  <si>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</si>
  <si>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</si>
  <si>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</si>
  <si>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</si>
  <si>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</si>
  <si>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</si>
  <si>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</si>
  <si>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</si>
  <si>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</si>
  <si>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</si>
  <si>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</si>
  <si>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</si>
  <si>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</si>
  <si>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</si>
  <si>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</si>
  <si>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</si>
  <si>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</si>
  <si>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</si>
  <si>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</si>
  <si>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</si>
  <si>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</si>
  <si>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</si>
  <si>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</si>
  <si>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</si>
  <si>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</si>
  <si>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</si>
  <si>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</si>
  <si>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</si>
  <si>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</si>
  <si>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</si>
  <si>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</si>
  <si>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</si>
  <si>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</si>
  <si>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</si>
  <si>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</si>
  <si>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</si>
  <si>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</si>
  <si>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</si>
  <si>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</si>
  <si>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</si>
  <si>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</si>
  <si>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</si>
  <si>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</si>
  <si>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</si>
  <si>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</si>
  <si>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</si>
  <si>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</si>
  <si>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</si>
  <si>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</si>
  <si>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</si>
  <si>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</si>
  <si>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</si>
  <si>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</si>
  <si>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</si>
  <si>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</si>
  <si>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</si>
  <si>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</si>
  <si>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</si>
  <si>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</si>
  <si>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</si>
  <si>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</si>
  <si>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</si>
  <si>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</si>
  <si>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</si>
  <si>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</si>
  <si>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</si>
  <si>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</si>
  <si>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</si>
  <si>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</si>
  <si>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</si>
  <si>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</si>
  <si>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</si>
  <si>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</si>
  <si>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</si>
  <si>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</si>
  <si>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</si>
  <si>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</si>
  <si>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</si>
  <si>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</si>
  <si>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</si>
  <si>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</si>
  <si>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</si>
  <si>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</si>
  <si>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</si>
  <si>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</si>
  <si>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</si>
  <si>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</si>
  <si>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</si>
  <si>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</si>
  <si>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</si>
  <si>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</si>
  <si>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</si>
  <si>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</si>
  <si>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</si>
  <si>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</si>
  <si>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</si>
  <si>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</si>
  <si>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</si>
  <si>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</si>
  <si>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</si>
  <si>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</si>
  <si>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</si>
  <si>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</si>
  <si>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</si>
  <si>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</si>
  <si>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</si>
  <si>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</si>
  <si>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</si>
  <si>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</si>
  <si>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</si>
  <si>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</si>
  <si>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</si>
  <si>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</si>
  <si>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</si>
  <si>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</si>
  <si>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</si>
  <si>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</si>
  <si>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</si>
  <si>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</si>
  <si>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</si>
  <si>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</si>
  <si>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</si>
  <si>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</si>
  <si>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</si>
  <si>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</si>
  <si>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</si>
  <si>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</si>
  <si>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</si>
  <si>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</si>
  <si>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</si>
  <si>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</si>
  <si>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</si>
  <si>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</si>
  <si>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</si>
  <si>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</si>
  <si>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</si>
  <si>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</si>
  <si>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</si>
  <si>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</si>
  <si>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</si>
  <si>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</si>
  <si>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</si>
  <si>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</si>
  <si>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</si>
  <si>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</si>
  <si>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</si>
  <si>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</si>
  <si>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</si>
  <si>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</si>
  <si>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</si>
  <si>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</si>
  <si>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</si>
  <si>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</si>
  <si>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</si>
  <si>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</si>
  <si>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</si>
  <si>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</si>
  <si>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</si>
  <si>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</si>
  <si>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</si>
  <si>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</si>
  <si>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</si>
  <si>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</si>
  <si>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</si>
  <si>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</si>
  <si>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</si>
  <si>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</si>
  <si>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</si>
  <si>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</si>
  <si>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</si>
  <si>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</si>
  <si>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</si>
  <si>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</si>
  <si>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</si>
  <si>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</si>
  <si>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</si>
  <si>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</si>
  <si>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</si>
  <si>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</si>
  <si>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</si>
  <si>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</si>
  <si>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</si>
  <si>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</si>
  <si>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</si>
  <si>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</si>
  <si>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</si>
  <si>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</si>
  <si>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</si>
  <si>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</si>
  <si>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</si>
  <si>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</si>
  <si>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</si>
  <si>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</si>
  <si>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</si>
  <si>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</si>
  <si>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</si>
  <si>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</si>
  <si>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</si>
  <si>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</si>
  <si>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</si>
  <si>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</si>
  <si>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</si>
  <si>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</si>
  <si>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</si>
  <si>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</si>
  <si>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</si>
  <si>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</si>
  <si>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</si>
  <si>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</si>
  <si>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</si>
  <si>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</si>
  <si>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</si>
  <si>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</si>
  <si>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</si>
  <si>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</si>
  <si>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</si>
  <si>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</si>
  <si>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</si>
  <si>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</si>
  <si>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</si>
  <si>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</si>
  <si>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</si>
  <si>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</si>
  <si>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</si>
  <si>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</si>
  <si>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</si>
  <si>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</si>
  <si>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</si>
  <si>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</si>
  <si>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</si>
  <si>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</si>
  <si>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</si>
  <si>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</si>
  <si>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</si>
  <si>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</si>
  <si>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</si>
  <si>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</si>
  <si>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</si>
  <si>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</si>
  <si>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</si>
  <si>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</si>
  <si>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</si>
  <si>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</si>
  <si>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</si>
  <si>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</si>
  <si>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</si>
  <si>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</si>
  <si>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</si>
  <si>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</si>
  <si>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</si>
  <si>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</si>
  <si>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</si>
  <si>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</si>
  <si>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</si>
  <si>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</si>
  <si>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</si>
  <si>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</si>
  <si>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</si>
  <si>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</si>
  <si>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</si>
  <si>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</si>
  <si>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</si>
  <si>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</si>
  <si>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</si>
  <si>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</si>
  <si>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</si>
  <si>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</si>
  <si>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</si>
  <si>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</si>
  <si>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</si>
  <si>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</si>
  <si>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</si>
  <si>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</si>
  <si>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</si>
  <si>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</si>
  <si>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</si>
  <si>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</si>
  <si>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</si>
  <si>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</si>
  <si>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</si>
  <si>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</si>
  <si>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</si>
  <si>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</si>
  <si>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</si>
  <si>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</si>
  <si>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</si>
  <si>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</si>
  <si>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</si>
  <si>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</si>
  <si>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</si>
  <si>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</si>
  <si>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</si>
  <si>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</si>
  <si>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</si>
  <si>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</si>
  <si>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</si>
  <si>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</si>
  <si>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</si>
  <si>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</si>
  <si>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</si>
  <si>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</si>
  <si>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</si>
  <si>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</si>
  <si>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</si>
  <si>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</si>
  <si>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</si>
  <si>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</si>
  <si>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</si>
  <si>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</si>
  <si>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</si>
  <si>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</si>
  <si>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</si>
  <si>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</si>
  <si>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</si>
  <si>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</si>
  <si>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</si>
  <si>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</si>
  <si>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</si>
  <si>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</si>
  <si>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</si>
  <si>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</si>
  <si>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</si>
  <si>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</si>
  <si>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</si>
  <si>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</si>
  <si>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</si>
  <si>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</si>
  <si>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</si>
  <si>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</si>
  <si>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</si>
  <si>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</si>
  <si>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</si>
  <si>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</si>
  <si>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</si>
  <si>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</si>
  <si>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</si>
  <si>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</si>
  <si>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</si>
  <si>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</si>
  <si>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</si>
  <si>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</si>
  <si>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</si>
  <si>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</si>
  <si>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</si>
  <si>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</si>
  <si>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</si>
  <si>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</si>
  <si>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</si>
  <si>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</si>
  <si>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</si>
  <si>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</si>
  <si>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</si>
  <si>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</si>
  <si>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</si>
  <si>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</si>
  <si>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</si>
  <si>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</si>
  <si>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</si>
  <si>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</si>
  <si>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</si>
  <si>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</si>
  <si>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</si>
  <si>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</si>
  <si>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</si>
  <si>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</si>
  <si>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</si>
  <si>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</si>
  <si>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</si>
  <si>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</si>
  <si>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</si>
  <si>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</si>
  <si>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</si>
  <si>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</si>
  <si>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</si>
  <si>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</si>
  <si>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</si>
  <si>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</si>
  <si>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</si>
  <si>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</si>
  <si>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</si>
  <si>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</si>
  <si>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</si>
  <si>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</si>
  <si>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</si>
  <si>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</si>
  <si>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</si>
  <si>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</si>
  <si>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</si>
  <si>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</si>
  <si>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</si>
  <si>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</si>
  <si>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</si>
  <si>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</si>
  <si>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</si>
  <si>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</si>
  <si>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</si>
  <si>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</si>
  <si>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</si>
  <si>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</si>
  <si>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</si>
  <si>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</si>
  <si>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</si>
  <si>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</si>
  <si>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</si>
  <si>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</si>
  <si>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</si>
  <si>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</si>
  <si>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</si>
  <si>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</si>
  <si>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</si>
  <si>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</si>
  <si>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</si>
  <si>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</si>
  <si>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</si>
  <si>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</si>
  <si>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</si>
  <si>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</si>
  <si>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</si>
  <si>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</si>
  <si>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</si>
  <si>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</si>
  <si>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</si>
  <si>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</si>
  <si>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</si>
  <si>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</si>
  <si>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</si>
  <si>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</si>
  <si>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</si>
  <si>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</si>
  <si>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</si>
  <si>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</si>
  <si>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</si>
  <si>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</si>
  <si>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</si>
  <si>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</si>
  <si>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</si>
  <si>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</si>
  <si>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</si>
  <si>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</si>
  <si>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</si>
  <si>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</si>
  <si>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</si>
  <si>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</si>
  <si>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</si>
  <si>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</si>
  <si>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</si>
  <si>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</si>
  <si>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</si>
  <si>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</si>
  <si>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</si>
  <si>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</si>
  <si>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</si>
  <si>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</si>
  <si>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</si>
  <si>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</si>
  <si>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</si>
  <si>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</si>
  <si>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</si>
  <si>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</si>
  <si>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</si>
  <si>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</si>
  <si>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</si>
  <si>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</si>
  <si>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</si>
  <si>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</si>
  <si>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</si>
  <si>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</si>
  <si>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</si>
  <si>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</si>
  <si>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</si>
  <si>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</si>
  <si>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</si>
  <si>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</si>
  <si>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</si>
  <si>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</si>
  <si>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</si>
  <si>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</si>
  <si>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</si>
  <si>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</si>
  <si>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</si>
  <si>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</si>
  <si>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</si>
  <si>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</si>
  <si>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</si>
  <si>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</si>
  <si>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</si>
  <si>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</si>
  <si>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</si>
  <si>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</si>
  <si>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</si>
  <si>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</si>
  <si>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</si>
  <si>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</si>
  <si>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</si>
  <si>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</si>
  <si>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</si>
  <si>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</si>
  <si>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</si>
  <si>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</si>
  <si>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</si>
  <si>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</si>
  <si>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</si>
  <si>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</si>
  <si>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</si>
  <si>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</si>
  <si>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</si>
  <si>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</si>
  <si>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</si>
  <si>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</si>
  <si>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</si>
  <si>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</si>
  <si>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</si>
  <si>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</si>
  <si>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</si>
  <si>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</si>
  <si>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</si>
  <si>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</si>
  <si>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</si>
  <si>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</si>
  <si>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</si>
  <si>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</si>
  <si>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</si>
  <si>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</si>
  <si>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</si>
  <si>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</si>
  <si>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</si>
  <si>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</si>
  <si>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</si>
  <si>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</si>
  <si>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</si>
  <si>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</si>
  <si>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</si>
  <si>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</si>
  <si>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</si>
  <si>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</si>
  <si>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</si>
  <si>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</si>
  <si>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</si>
  <si>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</si>
  <si>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</si>
  <si>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</si>
  <si>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</si>
  <si>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</si>
  <si>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</si>
  <si>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</si>
  <si>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</si>
  <si>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</si>
  <si>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</si>
  <si>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</si>
  <si>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</si>
  <si>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</si>
  <si>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</si>
  <si>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</si>
  <si>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</si>
  <si>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</si>
  <si>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</si>
  <si>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</si>
  <si>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</si>
  <si>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</si>
  <si>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</si>
  <si>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</si>
  <si>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</si>
  <si>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</si>
  <si>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</si>
  <si>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</si>
  <si>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</si>
  <si>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</si>
  <si>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</si>
  <si>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</si>
  <si>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</si>
  <si>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</si>
  <si>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</si>
  <si>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</si>
  <si>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</si>
  <si>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</si>
  <si>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</si>
  <si>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</si>
  <si>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</si>
  <si>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</si>
  <si>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</si>
  <si>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</si>
  <si>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</si>
  <si>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</si>
  <si>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</si>
  <si>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</si>
  <si>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</si>
  <si>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</si>
  <si>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</si>
  <si>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</si>
  <si>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</si>
  <si>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</si>
  <si>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</si>
  <si>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</si>
  <si>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</si>
  <si>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</si>
  <si>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</si>
  <si>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</si>
  <si>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</si>
  <si>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</si>
  <si>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</si>
  <si>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</si>
  <si>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</si>
  <si>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</si>
  <si>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</si>
  <si>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</si>
  <si>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</si>
  <si>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</si>
  <si>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</si>
  <si>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</si>
  <si>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</si>
  <si>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</si>
  <si>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</si>
  <si>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</si>
  <si>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</si>
  <si>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</si>
  <si>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</si>
  <si>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</si>
  <si>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</si>
  <si>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</si>
  <si>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</si>
  <si>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</si>
  <si>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</si>
  <si>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</si>
  <si>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</si>
  <si>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</si>
  <si>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</si>
  <si>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</si>
  <si>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</si>
  <si>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</si>
  <si>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</si>
  <si>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</si>
  <si>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</si>
  <si>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</si>
  <si>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</si>
  <si>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</si>
  <si>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</si>
  <si>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</si>
  <si>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</si>
  <si>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</si>
  <si>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</si>
  <si>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</si>
  <si>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</si>
  <si>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</si>
  <si>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</si>
  <si>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</si>
  <si>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</si>
  <si>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</si>
  <si>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</si>
  <si>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</si>
  <si>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</si>
  <si>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</si>
  <si>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</si>
  <si>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</si>
  <si>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</si>
  <si>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</si>
  <si>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</si>
  <si>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</si>
  <si>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</si>
  <si>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</si>
  <si>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</si>
  <si>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</si>
  <si>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</si>
  <si>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</si>
  <si>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</si>
  <si>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</si>
  <si>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</si>
  <si>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</si>
  <si>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</si>
  <si>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</si>
  <si>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</si>
  <si>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</si>
  <si>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</si>
  <si>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</si>
  <si>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</si>
  <si>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</si>
  <si>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</si>
  <si>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</si>
  <si>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</si>
  <si>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</si>
  <si>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</si>
  <si>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</si>
  <si>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</si>
  <si>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</si>
  <si>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</si>
  <si>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</si>
  <si>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</si>
  <si>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</si>
  <si>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</si>
  <si>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</si>
  <si>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</si>
  <si>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</si>
  <si>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</si>
  <si>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</si>
  <si>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</si>
  <si>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</si>
  <si>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</si>
  <si>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</si>
  <si>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</si>
  <si>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</si>
  <si>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</si>
  <si>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</si>
  <si>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</si>
  <si>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</si>
  <si>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</si>
  <si>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</si>
  <si>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</si>
  <si>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</si>
  <si>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</si>
  <si>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</si>
  <si>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</si>
  <si>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</si>
  <si>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</si>
  <si>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</si>
  <si>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</si>
  <si>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</si>
  <si>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</si>
  <si>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</si>
  <si>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</si>
  <si>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</si>
  <si>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</si>
  <si>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</si>
  <si>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</si>
  <si>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</si>
  <si>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</si>
  <si>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</si>
  <si>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</si>
  <si>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</si>
  <si>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</si>
  <si>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</si>
  <si>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</si>
  <si>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</si>
  <si>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</si>
  <si>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</si>
  <si>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</si>
  <si>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</si>
  <si>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</si>
  <si>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</si>
  <si>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</si>
  <si>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</si>
  <si>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</si>
  <si>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</si>
  <si>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</si>
  <si>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</si>
  <si>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</si>
  <si>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</si>
  <si>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</si>
  <si>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</si>
  <si>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</si>
  <si>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</si>
  <si>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</si>
  <si>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</si>
  <si>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</si>
  <si>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</si>
  <si>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</si>
  <si>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</si>
  <si>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</si>
  <si>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</si>
  <si>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</si>
  <si>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</si>
  <si>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</si>
  <si>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</si>
  <si>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</si>
  <si>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</si>
  <si>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</si>
  <si>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</si>
  <si>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</si>
  <si>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</si>
  <si>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</si>
  <si>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</si>
  <si>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</si>
  <si>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</si>
  <si>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</si>
  <si>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</si>
  <si>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</si>
  <si>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</si>
  <si>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</si>
  <si>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</si>
  <si>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</si>
  <si>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</si>
  <si>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</si>
  <si>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</si>
  <si>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</si>
  <si>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</si>
  <si>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</si>
  <si>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</si>
  <si>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</si>
  <si>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</si>
  <si>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</si>
  <si>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</si>
  <si>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</si>
  <si>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</si>
  <si>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</si>
  <si>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</si>
  <si>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</si>
  <si>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</si>
  <si>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</si>
  <si>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</si>
  <si>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</si>
  <si>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</si>
  <si>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</si>
  <si>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</si>
  <si>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</si>
  <si>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</si>
  <si>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</si>
  <si>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</si>
  <si>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</si>
  <si>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</si>
  <si>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</si>
  <si>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</si>
  <si>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</si>
  <si>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</si>
  <si>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</si>
  <si>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</si>
  <si>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</si>
  <si>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</si>
  <si>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</si>
  <si>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</si>
  <si>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</si>
  <si>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</si>
  <si>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</si>
  <si>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</si>
  <si>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</si>
  <si>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</si>
  <si>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</si>
  <si>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</si>
  <si>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</si>
  <si>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</si>
  <si>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</si>
  <si>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</si>
  <si>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</si>
  <si>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</si>
  <si>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</si>
  <si>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</si>
  <si>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</si>
  <si>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</si>
  <si>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</si>
  <si>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</si>
  <si>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</si>
  <si>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</si>
  <si>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</si>
  <si>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</si>
  <si>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</si>
  <si>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</si>
  <si>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</si>
  <si>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</si>
  <si>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</si>
  <si>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</si>
  <si>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</si>
  <si>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</si>
  <si>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</si>
  <si>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</si>
  <si>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</si>
  <si>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</si>
  <si>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</si>
  <si>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</si>
  <si>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</si>
  <si>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</si>
  <si>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</si>
  <si>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</si>
  <si>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</si>
  <si>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</si>
  <si>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</si>
  <si>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</si>
  <si>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</si>
  <si>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</si>
  <si>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</si>
  <si>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</si>
  <si>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</si>
  <si>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</si>
  <si>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</si>
  <si>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</si>
  <si>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</si>
  <si>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</si>
  <si>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</si>
  <si>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</si>
  <si>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</si>
  <si>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</si>
  <si>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</si>
  <si>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</si>
  <si>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</si>
  <si>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</si>
  <si>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</si>
  <si>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</si>
  <si>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</si>
  <si>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</si>
  <si>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</si>
  <si>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</si>
  <si>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</si>
  <si>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</si>
  <si>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</si>
  <si>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</si>
  <si>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</si>
  <si>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</si>
  <si>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</si>
  <si>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</si>
  <si>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</si>
  <si>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</si>
  <si>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</si>
  <si>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</si>
  <si>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</si>
  <si>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</si>
  <si>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</si>
  <si>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</si>
  <si>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</si>
  <si>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</si>
  <si>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</si>
  <si>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</si>
  <si>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</si>
  <si>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</si>
  <si>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</si>
  <si>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</si>
  <si>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</si>
  <si>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</si>
  <si>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</si>
  <si>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</si>
  <si>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</si>
  <si>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</si>
  <si>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</si>
  <si>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</si>
  <si>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</si>
  <si>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</si>
  <si>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</si>
  <si>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</si>
  <si>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</si>
  <si>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</si>
  <si>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</si>
  <si>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</si>
  <si>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</si>
  <si>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</si>
  <si>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</si>
  <si>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</si>
  <si>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</si>
  <si>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</si>
  <si>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</si>
  <si>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</si>
  <si>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</si>
  <si>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</si>
  <si>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</si>
  <si>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</si>
  <si>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</si>
  <si>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</si>
  <si>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</si>
  <si>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</si>
  <si>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</si>
  <si>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</si>
  <si>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</si>
  <si>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</si>
  <si>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</si>
  <si>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</si>
  <si>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</si>
  <si>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</si>
  <si>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</si>
  <si>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</si>
  <si>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</si>
  <si>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</si>
  <si>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</si>
  <si>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</si>
  <si>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</si>
  <si>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</si>
  <si>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</si>
  <si>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</si>
  <si>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</si>
  <si>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</si>
  <si>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</si>
  <si>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</si>
  <si>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</si>
  <si>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</si>
  <si>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</si>
  <si>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</si>
  <si>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</si>
  <si>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</si>
  <si>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</si>
  <si>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</si>
  <si>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</si>
  <si>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</si>
  <si>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</si>
  <si>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</si>
  <si>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</si>
  <si>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</si>
  <si>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</si>
  <si>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</si>
  <si>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</si>
  <si>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</si>
  <si>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</si>
  <si>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</si>
  <si>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</si>
  <si>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</si>
  <si>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</si>
  <si>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</si>
  <si>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</si>
  <si>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</si>
  <si>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</si>
  <si>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</si>
  <si>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</si>
  <si>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</si>
  <si>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</si>
  <si>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</si>
  <si>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</si>
  <si>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</si>
  <si>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</si>
  <si>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</si>
  <si>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</si>
  <si>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</si>
  <si>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</si>
  <si>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</si>
  <si>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</si>
  <si>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</si>
  <si>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</si>
  <si>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</si>
  <si>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</si>
  <si>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</si>
  <si>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</si>
  <si>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</si>
  <si>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</si>
  <si>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</si>
  <si>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</si>
  <si>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</si>
  <si>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</si>
  <si>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</si>
  <si>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</si>
  <si>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</si>
  <si>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</si>
  <si>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</si>
  <si>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</si>
  <si>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</si>
  <si>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</si>
  <si>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</si>
  <si>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</si>
  <si>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</si>
  <si>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</si>
  <si>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</si>
  <si>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</si>
  <si>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</si>
  <si>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</si>
  <si>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</si>
  <si>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</si>
  <si>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</si>
  <si>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</si>
  <si>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</si>
  <si>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</si>
  <si>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</si>
  <si>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</si>
  <si>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</si>
  <si>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</si>
  <si>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</si>
  <si>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</si>
  <si>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</si>
  <si>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</si>
  <si>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</si>
  <si>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</si>
  <si>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</si>
  <si>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</si>
  <si>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</si>
  <si>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</si>
  <si>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</si>
  <si>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</si>
  <si>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</si>
  <si>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</si>
  <si>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</si>
  <si>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</si>
  <si>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</si>
  <si>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</si>
  <si>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</si>
  <si>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</si>
  <si>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</si>
  <si>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</si>
  <si>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</si>
  <si>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</si>
  <si>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</si>
  <si>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</si>
  <si>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</si>
  <si>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</si>
  <si>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</si>
  <si>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</si>
  <si>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</si>
  <si>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</si>
  <si>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</si>
  <si>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</si>
  <si>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</si>
  <si>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</si>
  <si>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</si>
  <si>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</si>
  <si>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</si>
  <si>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</si>
  <si>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</si>
  <si>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</si>
  <si>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</si>
  <si>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</si>
  <si>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</si>
  <si>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</si>
  <si>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</si>
  <si>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</si>
  <si>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</si>
  <si>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</si>
  <si>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</si>
  <si>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</si>
  <si>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</si>
  <si>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</si>
  <si>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</si>
  <si>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</si>
  <si>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崔锴</t>
  </si>
  <si>
    <t>赵雯</t>
  </si>
  <si>
    <t>抵押</t>
  </si>
  <si>
    <t>抵押价格</t>
  </si>
  <si>
    <t>企业</t>
  </si>
  <si>
    <t>一致</t>
  </si>
  <si>
    <t>出让</t>
  </si>
  <si>
    <t>商业</t>
  </si>
  <si>
    <t>否</t>
  </si>
  <si>
    <t>居住项目</t>
  </si>
  <si>
    <t>场地平整</t>
  </si>
  <si>
    <t>通路</t>
  </si>
  <si>
    <t>通电</t>
  </si>
  <si>
    <t>通讯</t>
  </si>
  <si>
    <t>通上水</t>
  </si>
  <si>
    <t>通下水</t>
  </si>
  <si>
    <t>地上</t>
  </si>
  <si>
    <t>普通住宅</t>
  </si>
  <si>
    <t>C配套</t>
    <phoneticPr fontId="3" type="noConversion"/>
  </si>
  <si>
    <t>D配套</t>
    <phoneticPr fontId="3" type="noConversion"/>
  </si>
  <si>
    <t>E分界室</t>
    <phoneticPr fontId="3" type="noConversion"/>
  </si>
  <si>
    <t>2#地下车库A区</t>
    <phoneticPr fontId="3" type="noConversion"/>
  </si>
  <si>
    <t>地下</t>
  </si>
  <si>
    <t>配套商业</t>
  </si>
  <si>
    <t>配套商业</t>
    <phoneticPr fontId="14" type="noConversion"/>
  </si>
  <si>
    <t>车库</t>
  </si>
  <si>
    <t>2#地下车库B区</t>
    <phoneticPr fontId="3" type="noConversion"/>
  </si>
  <si>
    <t>仓储</t>
  </si>
  <si>
    <t>戊类库房</t>
  </si>
  <si>
    <t>5#人防室外出入口</t>
    <phoneticPr fontId="3" type="noConversion"/>
  </si>
  <si>
    <t>6#人防室外出入口</t>
    <phoneticPr fontId="3" type="noConversion"/>
  </si>
  <si>
    <t>7#人防室外出入口</t>
    <phoneticPr fontId="3" type="noConversion"/>
  </si>
  <si>
    <t>8#人防室外出入口</t>
    <phoneticPr fontId="3" type="noConversion"/>
  </si>
  <si>
    <t>9#人防室外出入口</t>
    <phoneticPr fontId="3" type="noConversion"/>
  </si>
  <si>
    <t>1#地下车库</t>
    <phoneticPr fontId="3" type="noConversion"/>
  </si>
  <si>
    <t>1#人防室外出入口</t>
    <phoneticPr fontId="3" type="noConversion"/>
  </si>
  <si>
    <t>2#人防室外出入口</t>
    <phoneticPr fontId="3" type="noConversion"/>
  </si>
  <si>
    <t>3#人防室外出入口</t>
    <phoneticPr fontId="3" type="noConversion"/>
  </si>
  <si>
    <t>4#人防室外出入口</t>
    <phoneticPr fontId="3" type="noConversion"/>
  </si>
  <si>
    <t>B分界室</t>
    <phoneticPr fontId="3" type="noConversion"/>
  </si>
  <si>
    <t>A配套</t>
    <phoneticPr fontId="3" type="noConversion"/>
  </si>
  <si>
    <t xml:space="preserve"> </t>
    <phoneticPr fontId="3" type="noConversion"/>
  </si>
  <si>
    <t>住宅</t>
    <phoneticPr fontId="7" type="noConversion"/>
  </si>
  <si>
    <t>商业</t>
    <phoneticPr fontId="7" type="noConversion"/>
  </si>
  <si>
    <t>车库</t>
    <phoneticPr fontId="7" type="noConversion"/>
  </si>
  <si>
    <t>库房</t>
  </si>
  <si>
    <t>库房</t>
    <phoneticPr fontId="7" type="noConversion"/>
  </si>
  <si>
    <t>较好</t>
  </si>
  <si>
    <t>较好</t>
    <phoneticPr fontId="3" type="noConversion"/>
  </si>
  <si>
    <t>一般</t>
  </si>
  <si>
    <t>一般</t>
    <phoneticPr fontId="3" type="noConversion"/>
  </si>
  <si>
    <t>七通</t>
  </si>
  <si>
    <t>七通</t>
    <phoneticPr fontId="3" type="noConversion"/>
  </si>
  <si>
    <t>较好</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</si>
  <si>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</si>
  <si>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</si>
  <si>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</si>
  <si>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</si>
  <si>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</si>
  <si>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</si>
  <si>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</si>
  <si>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</si>
  <si>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</si>
  <si>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</si>
  <si>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</si>
  <si>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</si>
  <si>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</si>
  <si>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</si>
  <si>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</si>
  <si>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</si>
  <si>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</si>
  <si>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</si>
  <si>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</si>
  <si>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</si>
  <si>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</si>
  <si>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</si>
  <si>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</si>
  <si>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</si>
  <si>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</si>
  <si>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</si>
  <si>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</si>
  <si>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</si>
  <si>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</si>
  <si>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</si>
  <si>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</si>
  <si>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</si>
  <si>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</si>
  <si>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</si>
  <si>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</si>
  <si>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</si>
  <si>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</si>
  <si>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</si>
  <si>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</si>
  <si>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</si>
  <si>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</si>
  <si>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</si>
  <si>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</si>
  <si>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</si>
  <si>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北京市大兴区魏善庄镇DX07-0102-6013地块R2二类居住用地、DX07-0102-6016地块A33基础教育用地</t>
  </si>
  <si>
    <t>综合用地(含住宅)</t>
  </si>
  <si>
    <t>大兴区</t>
  </si>
  <si>
    <t>大兴区魏善庄镇</t>
  </si>
  <si>
    <t>挂牌</t>
  </si>
  <si>
    <t>京土整储挂(兴)[2018]015号</t>
  </si>
  <si>
    <t>R2二类居住用地、A33基础教育用地</t>
  </si>
  <si>
    <t>R2≤30%;A33≤35%</t>
  </si>
  <si>
    <t>R2≤45;A33≤15</t>
  </si>
  <si>
    <t>限地价,限房价,竞自持,报高标准商品住宅建设方案</t>
  </si>
  <si>
    <t>限地价,限房价</t>
  </si>
  <si>
    <t>未开工</t>
  </si>
  <si>
    <t>2018-07-20</t>
  </si>
  <si>
    <t>2018-08-09</t>
  </si>
  <si>
    <t>2018-08-23</t>
  </si>
  <si>
    <t>已成交</t>
  </si>
  <si>
    <t>北京喜茂置业有限公司</t>
  </si>
  <si>
    <t>居住70年、商业40年、办公50年</t>
  </si>
  <si>
    <t>北京市大兴区魏善庄镇DX07-0102-6015地块R2二类居住用地</t>
  </si>
  <si>
    <t>住宅用地</t>
  </si>
  <si>
    <t>京土整储挂(兴)[2018]016号</t>
  </si>
  <si>
    <t>R2二类居住用地</t>
  </si>
  <si>
    <t>≤30%</t>
  </si>
  <si>
    <t>≤45</t>
  </si>
  <si>
    <t>限地价,限房价,竞配建,报高标准商品住宅建设方案</t>
  </si>
  <si>
    <t>北京中海地产有限公司</t>
  </si>
  <si>
    <t>北京市大兴区庞各庄镇PGZ02-21地块R2二类居住用地</t>
  </si>
  <si>
    <t>大兴区庞各庄镇</t>
  </si>
  <si>
    <t>京土整储挂(兴)[2017]115号</t>
  </si>
  <si>
    <t>≤30</t>
  </si>
  <si>
    <t>限地价,限房价,竞自持,报高标准商品住宅建设方案,90/70</t>
  </si>
  <si>
    <t>限地价,限房价,90/70</t>
  </si>
  <si>
    <t>2017-12-29</t>
  </si>
  <si>
    <t>2018-01-19</t>
  </si>
  <si>
    <t>2018-02-02</t>
  </si>
  <si>
    <t>北京市大兴区黄村镇三合庄0202-0206、0202-0208地块F1住宅混合公建用地</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</si>
  <si>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</si>
  <si>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</si>
  <si>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</si>
  <si>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</si>
  <si>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</si>
  <si>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</si>
  <si>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</si>
  <si>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</si>
  <si>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</si>
  <si>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</si>
  <si>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</si>
  <si>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</si>
  <si>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</si>
  <si>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</si>
  <si>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</si>
  <si>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</si>
  <si>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</si>
  <si>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</si>
  <si>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</si>
  <si>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居住建筑规模全部建设“共有产权住房”</t>
  </si>
  <si>
    <t>开工中</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</si>
  <si>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</si>
  <si>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</si>
  <si>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</si>
  <si>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</si>
  <si>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</si>
  <si>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</si>
  <si>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R2二类居住用地、F3其他类多功能用地、A33基础教育用地</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</si>
  <si>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</si>
  <si>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</si>
  <si>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</si>
  <si>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</si>
  <si>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</si>
  <si>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</si>
  <si>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</si>
  <si>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</si>
  <si>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</si>
  <si>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</si>
  <si>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</si>
  <si>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</si>
  <si>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</si>
  <si>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</si>
  <si>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</si>
  <si>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</si>
  <si>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</si>
  <si>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</si>
  <si>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</si>
  <si>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</si>
  <si>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</si>
  <si>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</si>
  <si>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</si>
  <si>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</si>
  <si>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</si>
  <si>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</si>
  <si>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</si>
  <si>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</si>
  <si>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</si>
  <si>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</si>
  <si>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</si>
  <si>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</si>
  <si>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</si>
  <si>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</si>
  <si>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</si>
  <si>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</si>
  <si>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</si>
  <si>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</si>
  <si>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</si>
  <si>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</si>
  <si>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</si>
  <si>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</si>
  <si>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</si>
  <si>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</si>
  <si>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</si>
  <si>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</si>
  <si>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</si>
  <si>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</si>
  <si>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</si>
  <si>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</si>
  <si>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</si>
  <si>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</si>
  <si>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</si>
  <si>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</si>
  <si>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</si>
  <si>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</si>
  <si>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</si>
  <si>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</si>
  <si>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</si>
  <si>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</si>
  <si>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</si>
  <si>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</si>
  <si>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</si>
  <si>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</si>
  <si>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</si>
  <si>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</si>
  <si>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</si>
  <si>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</si>
  <si>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</si>
  <si>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</si>
  <si>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</si>
  <si>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</si>
  <si>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</si>
  <si>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</si>
  <si>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</si>
  <si>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</si>
  <si>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</si>
  <si>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</si>
  <si>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</si>
  <si>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</si>
  <si>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</si>
  <si>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</si>
  <si>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</si>
  <si>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</si>
  <si>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2017-03-02</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</si>
  <si>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</si>
  <si>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</si>
  <si>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</si>
  <si>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</si>
  <si>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</si>
  <si>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</si>
  <si>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</si>
  <si>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</si>
  <si>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</si>
  <si>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</si>
  <si>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</si>
  <si>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</si>
  <si>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</si>
  <si>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</si>
  <si>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</si>
  <si>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</si>
  <si>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</si>
  <si>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</si>
  <si>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</si>
  <si>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</si>
  <si>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</si>
  <si>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</si>
  <si>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</si>
  <si>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</si>
  <si>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</si>
  <si>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</si>
  <si>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</si>
  <si>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</si>
  <si>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</si>
  <si>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已完工</t>
  </si>
  <si>
    <t>2015-11-19</t>
  </si>
  <si>
    <t>2015-12-09</t>
  </si>
  <si>
    <t>2015-12-23</t>
  </si>
  <si>
    <t>中铁置业集团北京有限公司</t>
  </si>
  <si>
    <t>楼面地价</t>
  </si>
  <si>
    <t>住宅</t>
    <phoneticPr fontId="26" type="noConversion"/>
  </si>
  <si>
    <t>有</t>
    <phoneticPr fontId="26" type="noConversion"/>
  </si>
  <si>
    <t>无</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</si>
  <si>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</si>
  <si>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</si>
  <si>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</si>
  <si>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</si>
  <si>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</si>
  <si>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</si>
  <si>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</si>
  <si>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</si>
  <si>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</si>
  <si>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</si>
  <si>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</si>
  <si>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</si>
  <si>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</si>
  <si>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</si>
  <si>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</si>
  <si>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</si>
  <si>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</si>
  <si>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</si>
  <si>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</si>
  <si>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</si>
  <si>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</si>
  <si>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</si>
  <si>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</si>
  <si>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比较法-住宅、综合</t>
  </si>
  <si>
    <t>剩余法-待开发</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</si>
  <si>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</si>
  <si>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</si>
  <si>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</si>
  <si>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</si>
  <si>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</si>
  <si>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</si>
  <si>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</si>
  <si>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</si>
  <si>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</si>
  <si>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不动产收益法-库房</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</si>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</sst>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6" fontId="159" fillId="0" borderId="2" xfId="1" applyNumberFormat="1" applyFont="1" applyFill="1" applyBorder="1" applyAlignment="1" applyProtection="1">
      <alignment horizontal="center" vertical="center" wrapText="1"/>
      <protection locked="0"/>
    </xf>
    <xf numFmtId="176" fontId="81" fillId="0" borderId="2" xfId="0" applyNumberFormat="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158" fillId="17" borderId="0" xfId="0" applyFon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942857"/>
        </a:xfrm>
        <a:prstGeom prst="rect">
          <a:avLst/>
        </a:prstGeom>
      </xdr:spPr>
    </xdr:pic>
    <xdr:clientData/>
  </xdr:twoCellAnchor>
  <xdr:twoCellAnchor editAs="oneCell">
    <xdr:from>
      <xdr:col>0</xdr:col>
      <xdr:colOff>0</xdr:colOff>
      <xdr:row>12</xdr:row>
      <xdr:rowOff>0</xdr:rowOff>
    </xdr:from>
    <xdr:to>
      <xdr:col>13</xdr:col>
      <xdr:colOff>579839</xdr:colOff>
      <xdr:row>43</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495239" cy="5419048"/>
        </a:xfrm>
        <a:prstGeom prst="rect">
          <a:avLst/>
        </a:prstGeom>
      </xdr:spPr>
    </xdr:pic>
    <xdr:clientData/>
  </xdr:twoCellAnchor>
  <xdr:twoCellAnchor editAs="oneCell">
    <xdr:from>
      <xdr:col>0</xdr:col>
      <xdr:colOff>0</xdr:colOff>
      <xdr:row>44</xdr:row>
      <xdr:rowOff>0</xdr:rowOff>
    </xdr:from>
    <xdr:to>
      <xdr:col>13</xdr:col>
      <xdr:colOff>675077</xdr:colOff>
      <xdr:row>54</xdr:row>
      <xdr:rowOff>28357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543800"/>
          <a:ext cx="9590477" cy="1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北京市出让国有建设用地使用权抵押价格预评估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崔锴、赵雯</v>
      </c>
      <c r="N4" s="2880" t="str">
        <f>'预评函-1'!A28</f>
        <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受贵公司委托，我公司对北京市出让国有建设用地使用权抵押价格进行了预评估。</v>
      </c>
      <c r="AM6" s="2903"/>
    </row>
    <row r="7" spans="1:55" s="2877" customFormat="1">
      <c r="A7" s="2878" t="s">
        <v>2659</v>
      </c>
      <c r="B7" s="2879" t="str">
        <f>'预评函-1'!A6</f>
        <v>估价对象为使用的、位于北京市出让国有建设用地使用权。根据《国有土地使用证》[]，估价对象（分摊）出让国有建设用地使用权面积为75237.13平方米。根据《建设工程规划许可证》[]、《出让合同》[]，估价对象规划建筑面积为265820.24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2018年9月4日（评估专业人员勘察现场之日）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根据委托估价方介绍及评估专业人员现场勘查，本次评估估价对象实际土地开发程度为红线外市政基础设施达“七通”（即通路、通电、通讯、通上水、通下水、、）、宗地红线内场地平整。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根据《国有土地使用证》[]，估价对象（分摊）出让国有建设用地使用权面积为75237.13平方米。根据《建设工程规划许可证》[]、《出让合同》[]，估价对象规划建筑面积为265820.24平方米。</v>
      </c>
    </row>
    <row r="16" spans="1:55" s="2877" customFormat="1">
      <c r="A16" s="2878" t="s">
        <v>2671</v>
      </c>
      <c r="B16" s="2879" t="str">
        <f>'预评函-1'!A22</f>
        <v>本次估价对象为出让国有建设用地使用权，《国有土地使用证》[]证载土地终止日期为住宅2087年5月21日、商业2057年5月21日、办公2067年5月21日、车库2067年5月21日、仓储2067年5月21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9月4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估价期日：2018年9月4日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红线外七通、宗地红线内场地平整</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75237.13</v>
      </c>
    </row>
    <row r="44" spans="1:2">
      <c r="A44" s="2878" t="s">
        <v>2742</v>
      </c>
      <c r="B44" s="2879" t="str">
        <f>'预评函-2'!O3</f>
        <v>规划建筑面积/㎡</v>
      </c>
    </row>
    <row r="45" spans="1:2">
      <c r="A45" s="2878" t="s">
        <v>2724</v>
      </c>
      <c r="B45" s="2879">
        <f>'预评函-2'!O5</f>
        <v>265820.24</v>
      </c>
    </row>
    <row r="46" spans="1:2">
      <c r="A46" s="2878" t="s">
        <v>2725</v>
      </c>
      <c r="B46" s="2879">
        <f ca="1">'预评函-2'!P5</f>
        <v>90977</v>
      </c>
    </row>
    <row r="47" spans="1:2">
      <c r="A47" s="2878" t="s">
        <v>2726</v>
      </c>
      <c r="B47" s="2879">
        <f ca="1">'预评函-2'!Q5</f>
        <v>25750</v>
      </c>
    </row>
    <row r="48" spans="1:2">
      <c r="A48" s="2878" t="s">
        <v>2727</v>
      </c>
      <c r="B48" s="2879">
        <f ca="1">'预评函-2'!R5</f>
        <v>684487</v>
      </c>
    </row>
    <row r="49" spans="1:2">
      <c r="A49" s="2878" t="s">
        <v>2743</v>
      </c>
      <c r="B49" s="2879" t="str">
        <f>'预评函-2'!A6</f>
        <v>抵押价格</v>
      </c>
    </row>
    <row r="50" spans="1:2">
      <c r="A50" s="2878" t="s">
        <v>2728</v>
      </c>
      <c r="B50" s="2879">
        <f ca="1">'预评函-2'!R6</f>
        <v>684487</v>
      </c>
    </row>
    <row r="51" spans="1:2">
      <c r="A51" s="2878" t="s">
        <v>2744</v>
      </c>
      <c r="B51" s="2879" t="str">
        <f>'预评函-2'!A7</f>
        <v>——</v>
      </c>
    </row>
    <row r="52" spans="1:2">
      <c r="A52" s="2878" t="s">
        <v>2729</v>
      </c>
      <c r="B52" s="2879" t="str">
        <f>'预评函-2'!R7</f>
        <v>——</v>
      </c>
    </row>
    <row r="53" spans="1:2">
      <c r="A53" s="2878" t="s">
        <v>2745</v>
      </c>
      <c r="B53" s="2879" t="str">
        <f>'预评函-2'!A8</f>
        <v>——</v>
      </c>
    </row>
    <row r="54" spans="1:2" s="2893" customFormat="1" ht="15" thickBot="1">
      <c r="A54" s="2900" t="s">
        <v>2730</v>
      </c>
      <c r="B54" s="2901" t="str">
        <f>'预评函-2'!R8</f>
        <v>——</v>
      </c>
    </row>
    <row r="55" spans="1:2" ht="15" thickTop="1">
      <c r="A55" s="2889" t="s">
        <v>2680</v>
      </c>
      <c r="B55" s="2890" t="str">
        <f>'预评函-3'!A2</f>
        <v>1.权利限制：根据估价对象《不动产权证书》复印件、《国有土地使用权》复印件，截至估价期日，估价对象抵押权未见登记。未设定租赁等其他他项权利。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2.基础设施条件：估价对象实际开发程度为红线外七通、宗地红线内场地平整；本次评估设定开发程度为红线外七通、宗地红线内场地。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（1）根据估价对象《不动产权证书》复印件、《国有土地使用权》复印件，截至估价期日，估价对象抵押权未见登记。</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崔锴</v>
      </c>
    </row>
    <row r="70" spans="1:2">
      <c r="A70" s="2878" t="s">
        <v>2692</v>
      </c>
      <c r="B70" s="2885">
        <f ca="1">'预评函-3'!B20</f>
        <v>2010110070</v>
      </c>
    </row>
    <row r="71" spans="1:2">
      <c r="A71" s="2878" t="s">
        <v>2693</v>
      </c>
      <c r="B71" s="2879" t="str">
        <f>'预评函-3'!A21</f>
        <v>赵雯</v>
      </c>
    </row>
    <row r="72" spans="1:2" s="2893" customFormat="1" ht="15" thickBot="1">
      <c r="A72" s="2900" t="s">
        <v>2693</v>
      </c>
      <c r="B72" s="2906">
        <f ca="1">'预评函-3'!B21</f>
        <v>2011110090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18" sqref="H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26" t="str">
        <f>IF(B10="北京市","北京市",C10)&amp;F10&amp;B16&amp;"国有建设用地使用权"&amp;B9&amp;"预评估"</f>
        <v>北京市出让国有建设用地使用权抵押价格预评估</v>
      </c>
      <c r="C1" s="3227"/>
      <c r="D1" s="3227"/>
      <c r="E1" s="3227"/>
      <c r="F1" s="3227"/>
      <c r="G1" s="3227"/>
      <c r="H1" s="3227"/>
      <c r="I1" s="3228"/>
      <c r="J1" s="1693"/>
      <c r="K1" s="2455" t="str">
        <f>IF(B10="北京市","北京市",C10)&amp;F10&amp;B16&amp;"国有建设用地使用权"&amp;B9</f>
        <v>北京市出让国有建设用地使用权抵押价格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北京市出让国有建设用地使用权</v>
      </c>
      <c r="L2" s="1722"/>
      <c r="M2" s="1722"/>
      <c r="N2" s="1693"/>
      <c r="O2" s="1694"/>
      <c r="P2" s="1693"/>
      <c r="Q2" s="1693"/>
      <c r="R2" s="1693"/>
      <c r="S2" s="1693"/>
      <c r="T2" s="1693"/>
      <c r="U2" s="1693"/>
    </row>
    <row r="3" spans="1:21">
      <c r="A3" s="1660" t="s">
        <v>1942</v>
      </c>
      <c r="B3" s="1661">
        <v>43347</v>
      </c>
      <c r="C3" s="1662" t="s">
        <v>1997</v>
      </c>
      <c r="D3" s="1661">
        <f>B3</f>
        <v>43347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2983</v>
      </c>
      <c r="C4" s="1845">
        <f ca="1">SUMIF(土地估价师,B4,估价师及机构信息!E3:E24)</f>
        <v>2010110070</v>
      </c>
      <c r="D4" s="1842" t="s">
        <v>2984</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崔锴、赵雯</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2985</v>
      </c>
      <c r="C8" s="1670"/>
      <c r="D8" s="3232" t="s">
        <v>1947</v>
      </c>
      <c r="E8" s="1843" t="s">
        <v>2986</v>
      </c>
      <c r="F8" s="1671"/>
      <c r="G8" s="1659"/>
      <c r="H8" s="1659"/>
      <c r="I8" s="1706"/>
      <c r="J8" s="1693"/>
      <c r="K8" s="1773"/>
      <c r="L8" s="1722"/>
      <c r="M8" s="1722"/>
      <c r="N8" s="1693"/>
      <c r="O8" s="1694"/>
      <c r="P8" s="1693"/>
      <c r="Q8" s="1693"/>
      <c r="R8" s="1693"/>
      <c r="S8" s="1693"/>
      <c r="T8" s="1693"/>
      <c r="U8" s="1693"/>
    </row>
    <row r="9" spans="1:21" ht="15" thickBot="1">
      <c r="A9" s="1672" t="s">
        <v>1946</v>
      </c>
      <c r="B9" s="1673" t="s">
        <v>2986</v>
      </c>
      <c r="C9" s="1674"/>
      <c r="D9" s="3233"/>
      <c r="E9" s="1673" t="s">
        <v>952</v>
      </c>
      <c r="F9" s="1746"/>
      <c r="G9" s="1741"/>
      <c r="H9" s="1741"/>
      <c r="I9" s="1742"/>
      <c r="J9" s="1693"/>
      <c r="K9" s="1773"/>
      <c r="L9" s="1722"/>
      <c r="M9" s="1722"/>
      <c r="N9" s="1693"/>
      <c r="O9" s="1694"/>
      <c r="P9" s="1693"/>
      <c r="Q9" s="1693"/>
      <c r="R9" s="1693"/>
      <c r="S9" s="1693"/>
      <c r="T9" s="1693"/>
      <c r="U9" s="1693"/>
    </row>
    <row r="10" spans="1:21" ht="15" thickTop="1">
      <c r="A10" s="1743" t="s">
        <v>2001</v>
      </c>
      <c r="B10" s="1718" t="s">
        <v>1948</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2002</v>
      </c>
      <c r="B11" s="1697" t="s">
        <v>2987</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29"/>
      <c r="C12" s="3230"/>
      <c r="D12" s="3231"/>
      <c r="E12" s="1698" t="s">
        <v>2063</v>
      </c>
      <c r="F12" s="3247" t="s">
        <v>2891</v>
      </c>
      <c r="G12" s="3248"/>
      <c r="H12" s="3248"/>
      <c r="I12" s="3249"/>
      <c r="J12" s="1693"/>
      <c r="K12" s="1773"/>
      <c r="L12" s="1722"/>
      <c r="M12" s="1722"/>
      <c r="N12" s="1693"/>
      <c r="O12" s="1694"/>
      <c r="P12" s="1693"/>
      <c r="Q12" s="1693"/>
      <c r="R12" s="1693"/>
      <c r="S12" s="1693"/>
      <c r="T12" s="1693"/>
      <c r="U12" s="1693"/>
    </row>
    <row r="13" spans="1:21">
      <c r="A13" s="1686" t="s">
        <v>2061</v>
      </c>
      <c r="B13" s="3229"/>
      <c r="C13" s="3230"/>
      <c r="D13" s="3231"/>
      <c r="E13" s="1698" t="s">
        <v>2063</v>
      </c>
      <c r="F13" s="3247" t="s">
        <v>2892</v>
      </c>
      <c r="G13" s="3248"/>
      <c r="H13" s="3248"/>
      <c r="I13" s="3249"/>
      <c r="J13" s="1693"/>
      <c r="K13" s="1773"/>
      <c r="L13" s="1722"/>
      <c r="M13" s="1722"/>
      <c r="N13" s="1693"/>
      <c r="O13" s="1694"/>
      <c r="P13" s="1693"/>
      <c r="Q13" s="1693"/>
      <c r="R13" s="1693"/>
      <c r="S13" s="1693"/>
      <c r="T13" s="1693"/>
      <c r="U13" s="1693"/>
    </row>
    <row r="14" spans="1:21">
      <c r="A14" s="1660" t="s">
        <v>2064</v>
      </c>
      <c r="B14" s="1698"/>
      <c r="C14" s="1844" t="s">
        <v>2988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2989</v>
      </c>
      <c r="C16" s="1698" t="s">
        <v>1951</v>
      </c>
      <c r="D16" s="2646" t="s">
        <v>1952</v>
      </c>
      <c r="E16" s="1721" t="s">
        <v>2990</v>
      </c>
      <c r="F16" s="1721" t="s">
        <v>1678</v>
      </c>
      <c r="G16" s="1721" t="s">
        <v>3008</v>
      </c>
      <c r="H16" s="1721" t="s">
        <v>3010</v>
      </c>
      <c r="I16" s="1685" t="s">
        <v>1957</v>
      </c>
      <c r="J16" s="1693"/>
      <c r="K16" s="2456" t="str">
        <f>IF(D17="","",D16&amp;TEXT(D17,"yyyy年m月d日;;"))</f>
        <v>住宅2087年5月21日</v>
      </c>
      <c r="L16" s="1698" t="str">
        <f>IF(OR(K16="",M16=""),"","、")</f>
        <v>、</v>
      </c>
      <c r="M16" s="2456" t="str">
        <f>IF(E17="","",E16&amp;TEXT(E17,"yyyy年m月d日;;"))</f>
        <v>商业2057年5月21日</v>
      </c>
      <c r="N16" s="1698" t="str">
        <f>IF(OR(M16="",O16=""),"","、")</f>
        <v>、</v>
      </c>
      <c r="O16" s="2456" t="str">
        <f>IF(F17="","",F16&amp;TEXT(F17,"yyyy年m月d日;;"))</f>
        <v>办公2067年5月21日</v>
      </c>
      <c r="P16" s="1698" t="str">
        <f>IF(OR(O16="",Q16=""),"","、")</f>
        <v>、</v>
      </c>
      <c r="Q16" s="2456" t="str">
        <f>IF(G17="","",G16&amp;TEXT(G17,"yyyy年m月d日;;"))</f>
        <v>车库2067年5月21日</v>
      </c>
      <c r="R16" s="1698" t="str">
        <f>IF(OR(Q16="",S16=""),"","、")</f>
        <v>、</v>
      </c>
      <c r="S16" s="2456" t="str">
        <f>IF(H17="","",H16&amp;TEXT(H17,"yyyy年m月d日;;"))</f>
        <v>仓储2067年5月21日</v>
      </c>
      <c r="T16" s="1698" t="str">
        <f>IF(OR(S16="",U16=""),"","、")</f>
        <v/>
      </c>
      <c r="U16" s="2456" t="str">
        <f>IF(I17="","",I16&amp;TEXT(I17,"yyyy年m月d日;;"))</f>
        <v/>
      </c>
    </row>
    <row r="17" spans="1:21">
      <c r="A17" s="1762"/>
      <c r="B17" s="1681"/>
      <c r="C17" s="1682" t="s">
        <v>1958</v>
      </c>
      <c r="D17" s="1699">
        <v>68443</v>
      </c>
      <c r="E17" s="1699">
        <v>57486</v>
      </c>
      <c r="F17" s="1699">
        <v>61138</v>
      </c>
      <c r="G17" s="1699">
        <v>61138</v>
      </c>
      <c r="H17" s="1699">
        <v>61138</v>
      </c>
      <c r="I17" s="1699"/>
      <c r="J17" s="1693"/>
      <c r="K17" s="2455" t="str">
        <f>CONCATENATE(K16,L16,M16,N16,O16,P16,Q16,R16,S16,T16,,U16)</f>
        <v>住宅2087年5月21日、商业2057年5月21日、办公2067年5月21日、车库2067年5月21日、仓储2067年5月21日</v>
      </c>
      <c r="L17" s="1722"/>
      <c r="M17" s="1722"/>
      <c r="N17" s="1693"/>
      <c r="O17" s="1694"/>
      <c r="P17" s="1693"/>
      <c r="Q17" s="1693"/>
      <c r="R17" s="1693"/>
      <c r="S17" s="1693"/>
      <c r="T17" s="1693"/>
      <c r="U17" s="1693"/>
    </row>
    <row r="18" spans="1:21">
      <c r="A18" s="1762"/>
      <c r="B18" s="1681"/>
      <c r="C18" s="1682" t="s">
        <v>1959</v>
      </c>
      <c r="D18" s="1683">
        <v>70</v>
      </c>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68.75</v>
      </c>
      <c r="E19" s="1684">
        <f>IF(B16="出让",IF(E17="","",ROUNDDOWN(MIN((E17-$D$3)/365,E18),2)),E18)</f>
        <v>38.729999999999997</v>
      </c>
      <c r="F19" s="1684">
        <f>IF(B16="出让",IF(F17="","",ROUNDDOWN(MIN((F17-$D$3)/365,F18),2)),F18)</f>
        <v>48.74</v>
      </c>
      <c r="G19" s="1684">
        <f>IF(B16="出让",IF(G17="","",ROUNDDOWN(MIN((G17-$D$3)/365,G18),2)),G18)</f>
        <v>48.74</v>
      </c>
      <c r="H19" s="1684">
        <f>IF(B16="出让",IF(H17="","",ROUNDDOWN(MIN((H17-$D$3)/365,H18),2)),H18)</f>
        <v>48.74</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4"/>
      <c r="E20" s="3245"/>
      <c r="F20" s="3245"/>
      <c r="G20" s="3245"/>
      <c r="H20" s="3245"/>
      <c r="I20" s="3246"/>
      <c r="J20" s="1693"/>
      <c r="K20" s="1773"/>
      <c r="L20" s="1722"/>
      <c r="M20" s="1722"/>
      <c r="N20" s="1693"/>
      <c r="O20" s="1694"/>
      <c r="P20" s="1693"/>
      <c r="Q20" s="1693"/>
      <c r="R20" s="1693"/>
      <c r="S20" s="1693"/>
      <c r="T20" s="1693"/>
      <c r="U20" s="1693"/>
    </row>
    <row r="21" spans="1:21">
      <c r="A21" s="1762" t="s">
        <v>1961</v>
      </c>
      <c r="B21" s="1763" t="s">
        <v>1962</v>
      </c>
      <c r="C21" s="1758">
        <f>'数据-汇总表'!E3</f>
        <v>265820.24</v>
      </c>
      <c r="D21" s="1759" t="s">
        <v>1963</v>
      </c>
      <c r="E21" s="3234" t="s">
        <v>2000</v>
      </c>
      <c r="F21" s="3235"/>
      <c r="G21" s="3235"/>
      <c r="H21" s="3235"/>
      <c r="I21" s="3236"/>
      <c r="J21" s="1693"/>
      <c r="K21" s="1773"/>
      <c r="L21" s="1722"/>
      <c r="M21" s="1722"/>
      <c r="N21" s="1693"/>
      <c r="O21" s="1694"/>
      <c r="P21" s="1693"/>
      <c r="Q21" s="1693"/>
      <c r="R21" s="1693"/>
      <c r="S21" s="1693"/>
      <c r="T21" s="1693"/>
      <c r="U21" s="1693"/>
    </row>
    <row r="22" spans="1:21">
      <c r="A22" s="3146" t="s">
        <v>952</v>
      </c>
      <c r="B22" s="1660" t="s">
        <v>1964</v>
      </c>
      <c r="C22" s="1685">
        <f>'数据-汇总表'!D3</f>
        <v>75237.13</v>
      </c>
      <c r="D22" s="1686" t="s">
        <v>1963</v>
      </c>
      <c r="E22" s="3234" t="s">
        <v>2893</v>
      </c>
      <c r="F22" s="3235"/>
      <c r="G22" s="3235"/>
      <c r="H22" s="3235"/>
      <c r="I22" s="3236"/>
      <c r="J22" s="1693"/>
      <c r="K22" s="1773"/>
      <c r="L22" s="1722"/>
      <c r="M22" s="1722"/>
      <c r="N22" s="1693"/>
      <c r="O22" s="1694"/>
      <c r="P22" s="1693"/>
      <c r="Q22" s="1693"/>
      <c r="R22" s="1693"/>
      <c r="S22" s="1693"/>
      <c r="T22" s="1693"/>
      <c r="U22" s="1693"/>
    </row>
    <row r="23" spans="1:21" ht="43.5" thickBot="1">
      <c r="A23" s="1764" t="s">
        <v>1965</v>
      </c>
      <c r="B23" s="1700" t="s">
        <v>1966</v>
      </c>
      <c r="C23" s="1701" t="s">
        <v>2991</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7" t="s">
        <v>1969</v>
      </c>
      <c r="C24" s="3238"/>
      <c r="D24" s="3239" t="s">
        <v>1970</v>
      </c>
      <c r="E24" s="3240"/>
      <c r="F24" s="1707" t="s">
        <v>1971</v>
      </c>
      <c r="G24" s="1693"/>
      <c r="H24" s="1693"/>
      <c r="I24" s="1706"/>
      <c r="J24" s="1693"/>
      <c r="K24" s="3225" t="s">
        <v>1972</v>
      </c>
      <c r="L24" s="245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952</v>
      </c>
      <c r="F25" s="1711"/>
      <c r="G25" s="1693"/>
      <c r="H25" s="1693"/>
      <c r="I25" s="1706"/>
      <c r="J25" s="1693"/>
      <c r="K25" s="322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2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11" t="s">
        <v>2003</v>
      </c>
      <c r="B31" s="1763" t="s">
        <v>2004</v>
      </c>
      <c r="C31" s="3250" t="s">
        <v>2992</v>
      </c>
      <c r="D31" s="3251"/>
      <c r="E31" s="1693"/>
      <c r="F31" s="1693"/>
      <c r="G31" s="1693"/>
      <c r="H31" s="1693"/>
      <c r="I31" s="1706"/>
      <c r="J31" s="1693"/>
      <c r="K31" s="2458"/>
      <c r="L31" s="1693"/>
      <c r="M31" s="1693"/>
      <c r="N31" s="1693"/>
      <c r="O31" s="1693"/>
      <c r="P31" s="1693"/>
      <c r="Q31" s="1693"/>
      <c r="R31" s="1693"/>
      <c r="S31" s="1693"/>
      <c r="T31" s="1693"/>
      <c r="U31" s="1693"/>
    </row>
    <row r="32" spans="1:21">
      <c r="A32" s="3211"/>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11"/>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12"/>
      <c r="B34" s="1660" t="s">
        <v>2007</v>
      </c>
      <c r="C34" s="3213"/>
      <c r="D34" s="3214"/>
      <c r="E34" s="1693"/>
      <c r="F34" s="1693"/>
      <c r="G34" s="1693"/>
      <c r="H34" s="1693"/>
      <c r="I34" s="1706"/>
      <c r="J34" s="1693"/>
      <c r="K34" s="2458"/>
      <c r="L34" s="1693"/>
      <c r="M34" s="1693"/>
      <c r="N34" s="1693"/>
      <c r="O34" s="1693"/>
      <c r="P34" s="1693"/>
      <c r="Q34" s="1693"/>
      <c r="R34" s="1693"/>
      <c r="S34" s="1693"/>
      <c r="T34" s="1693"/>
      <c r="U34" s="1693"/>
    </row>
    <row r="35" spans="1:21">
      <c r="A35" s="3215" t="s">
        <v>847</v>
      </c>
      <c r="B35" s="1721" t="s">
        <v>2993</v>
      </c>
      <c r="C35" s="1775" t="str">
        <f>IF(B35="场地平整","——","具体情况：")</f>
        <v>——</v>
      </c>
      <c r="D35" s="3217"/>
      <c r="E35" s="3218"/>
      <c r="F35" s="3218"/>
      <c r="G35" s="3218"/>
      <c r="H35" s="3218"/>
      <c r="I35" s="3219"/>
      <c r="J35" s="1693"/>
      <c r="K35" s="1774"/>
      <c r="L35" s="1722"/>
      <c r="M35" s="1722"/>
      <c r="N35" s="1693"/>
      <c r="O35" s="1694"/>
      <c r="P35" s="1693"/>
      <c r="Q35" s="1693"/>
      <c r="R35" s="1693"/>
      <c r="S35" s="1693"/>
      <c r="T35" s="1693"/>
      <c r="U35" s="1693"/>
    </row>
    <row r="36" spans="1:21">
      <c r="A36" s="3211"/>
      <c r="B36" s="3220" t="s">
        <v>2056</v>
      </c>
      <c r="C36" s="3221"/>
      <c r="D36" s="1791"/>
      <c r="E36" s="3222"/>
      <c r="F36" s="3222"/>
      <c r="G36" s="1686" t="str">
        <f>IF(B35="场地未平整","估价结果处理","")</f>
        <v/>
      </c>
      <c r="H36" s="3223"/>
      <c r="I36" s="3223"/>
      <c r="J36" s="1693"/>
      <c r="K36" s="1774"/>
      <c r="L36" s="1722"/>
      <c r="M36" s="1722"/>
      <c r="N36" s="1693"/>
      <c r="O36" s="1694"/>
      <c r="P36" s="1693"/>
      <c r="Q36" s="1693"/>
      <c r="R36" s="1693"/>
      <c r="S36" s="1693"/>
      <c r="T36" s="1693"/>
      <c r="U36" s="1693"/>
    </row>
    <row r="37" spans="1:21" ht="28.5">
      <c r="A37" s="3211"/>
      <c r="B37" s="324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1"/>
      <c r="B38" s="3242"/>
      <c r="C38" s="1668"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12"/>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2994</v>
      </c>
      <c r="C40" s="1689" t="s">
        <v>2995</v>
      </c>
      <c r="D40" s="1689" t="s">
        <v>2996</v>
      </c>
      <c r="E40" s="1689" t="s">
        <v>2997</v>
      </c>
      <c r="F40" s="1689" t="s">
        <v>2998</v>
      </c>
      <c r="G40" s="1689"/>
      <c r="H40" s="1689"/>
      <c r="I40" s="1706"/>
      <c r="J40" s="1693"/>
      <c r="K40" s="1729">
        <f>COUNTIF(B40:H40,"——")</f>
        <v>0</v>
      </c>
      <c r="L40" s="1698" t="s">
        <v>1980</v>
      </c>
      <c r="M40" s="1695" t="s">
        <v>1981</v>
      </c>
      <c r="N40" s="1695" t="s">
        <v>1982</v>
      </c>
      <c r="O40" s="1695" t="s">
        <v>1983</v>
      </c>
      <c r="P40" s="1695" t="s">
        <v>1984</v>
      </c>
      <c r="Q40" s="1695" t="s">
        <v>1985</v>
      </c>
      <c r="R40" s="1695" t="s">
        <v>1986</v>
      </c>
      <c r="S40" s="3224" t="s">
        <v>1987</v>
      </c>
      <c r="T40" s="1730" t="str">
        <f>NUMBERSTRING(7-K40,1)&amp;"通"</f>
        <v>七通</v>
      </c>
      <c r="U40" s="1693"/>
    </row>
    <row r="41" spans="1:21">
      <c r="A41" s="1662"/>
      <c r="B41" s="3216" t="s">
        <v>1722</v>
      </c>
      <c r="C41" s="3216"/>
      <c r="D41" s="3216"/>
      <c r="E41" s="3216"/>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24"/>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46" activePane="bottomRight" state="frozen"/>
      <selection pane="topRight" activeCell="E1" sqref="E1"/>
      <selection pane="bottomLeft" activeCell="A12" sqref="A12"/>
      <selection pane="bottomRight" activeCell="D55" sqref="D5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35460.43+45444.4</f>
        <v>80904.83</v>
      </c>
      <c r="B3" s="22">
        <f>IF(C3="否",G5-AT5,G5)</f>
        <v>285844.80000000005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285844.80000000005</v>
      </c>
      <c r="H5" s="27">
        <f t="shared" ref="H5:AT5" si="0">SUM(H13:H641)</f>
        <v>228719.75999999998</v>
      </c>
      <c r="I5" s="27">
        <f t="shared" si="0"/>
        <v>176613.7</v>
      </c>
      <c r="J5" s="27">
        <f t="shared" si="0"/>
        <v>0</v>
      </c>
      <c r="K5" s="27">
        <f t="shared" si="0"/>
        <v>4440</v>
      </c>
      <c r="L5" s="27">
        <f t="shared" si="0"/>
        <v>0</v>
      </c>
      <c r="M5" s="27">
        <f t="shared" si="0"/>
        <v>42971.25</v>
      </c>
      <c r="N5" s="27">
        <f t="shared" si="0"/>
        <v>0</v>
      </c>
      <c r="O5" s="27">
        <f t="shared" si="0"/>
        <v>4694.8100000000004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37100.479999999996</v>
      </c>
      <c r="AD5" s="27">
        <f t="shared" si="0"/>
        <v>385.15</v>
      </c>
      <c r="AE5" s="27">
        <f t="shared" si="0"/>
        <v>0</v>
      </c>
      <c r="AF5" s="27">
        <f t="shared" si="0"/>
        <v>2448</v>
      </c>
      <c r="AG5" s="27">
        <f t="shared" si="0"/>
        <v>0</v>
      </c>
      <c r="AH5" s="27">
        <f t="shared" si="0"/>
        <v>100</v>
      </c>
      <c r="AI5" s="27">
        <f t="shared" si="0"/>
        <v>0</v>
      </c>
      <c r="AJ5" s="27">
        <f t="shared" si="0"/>
        <v>200</v>
      </c>
      <c r="AK5" s="27">
        <f t="shared" si="0"/>
        <v>0</v>
      </c>
      <c r="AL5" s="27">
        <f t="shared" si="0"/>
        <v>0</v>
      </c>
      <c r="AM5" s="27">
        <f t="shared" si="0"/>
        <v>0</v>
      </c>
      <c r="AN5" s="27">
        <f t="shared" si="0"/>
        <v>33967.33</v>
      </c>
      <c r="AO5" s="27">
        <f t="shared" si="0"/>
        <v>0</v>
      </c>
      <c r="AP5" s="27">
        <f t="shared" si="0"/>
        <v>0</v>
      </c>
      <c r="AQ5" s="27">
        <f t="shared" si="0"/>
        <v>0</v>
      </c>
      <c r="AR5" s="27">
        <f t="shared" si="0"/>
        <v>0</v>
      </c>
      <c r="AS5" s="27">
        <f t="shared" si="0"/>
        <v>0</v>
      </c>
      <c r="AT5" s="27">
        <f t="shared" si="0"/>
        <v>20024.560000000001</v>
      </c>
      <c r="AU5" s="988"/>
      <c r="AV5" s="26" t="s">
        <v>168</v>
      </c>
      <c r="AW5" s="989"/>
      <c r="AX5" s="989"/>
      <c r="AY5" s="28" t="s">
        <v>3</v>
      </c>
      <c r="AZ5" s="29">
        <f t="shared" ref="AZ5:BT5" si="1">SUM(AZ13:AZ641)</f>
        <v>265820.24</v>
      </c>
      <c r="BA5" s="29">
        <f t="shared" si="1"/>
        <v>228719.75999999998</v>
      </c>
      <c r="BB5" s="29">
        <f t="shared" si="1"/>
        <v>176613.7</v>
      </c>
      <c r="BC5" s="29">
        <f t="shared" si="1"/>
        <v>4440</v>
      </c>
      <c r="BD5" s="29">
        <f t="shared" si="1"/>
        <v>42971.25</v>
      </c>
      <c r="BE5" s="29">
        <f t="shared" si="1"/>
        <v>4694.8100000000004</v>
      </c>
      <c r="BF5" s="29">
        <f t="shared" si="1"/>
        <v>0</v>
      </c>
      <c r="BG5" s="29">
        <f t="shared" si="1"/>
        <v>0</v>
      </c>
      <c r="BH5" s="29">
        <f t="shared" si="1"/>
        <v>0</v>
      </c>
      <c r="BI5" s="29">
        <f t="shared" si="1"/>
        <v>0</v>
      </c>
      <c r="BJ5" s="29">
        <f t="shared" si="1"/>
        <v>0</v>
      </c>
      <c r="BK5" s="29">
        <f t="shared" si="1"/>
        <v>0</v>
      </c>
      <c r="BL5" s="29">
        <f t="shared" si="1"/>
        <v>37100.479999999996</v>
      </c>
      <c r="BM5" s="29">
        <f t="shared" si="1"/>
        <v>385.15</v>
      </c>
      <c r="BN5" s="29">
        <f t="shared" si="1"/>
        <v>2448</v>
      </c>
      <c r="BO5" s="29">
        <f t="shared" si="1"/>
        <v>100</v>
      </c>
      <c r="BP5" s="29">
        <f t="shared" si="1"/>
        <v>200</v>
      </c>
      <c r="BQ5" s="29">
        <f t="shared" si="1"/>
        <v>0</v>
      </c>
      <c r="BR5" s="29">
        <f t="shared" si="1"/>
        <v>33967.33</v>
      </c>
      <c r="BS5" s="29">
        <f t="shared" si="1"/>
        <v>0</v>
      </c>
      <c r="BT5" s="30">
        <f t="shared" si="1"/>
        <v>0</v>
      </c>
    </row>
    <row r="6" spans="1:72" s="37" customFormat="1" ht="12.75">
      <c r="A6" s="26" t="s">
        <v>169</v>
      </c>
      <c r="B6" s="31"/>
      <c r="C6" s="31"/>
      <c r="D6" s="32"/>
      <c r="E6" s="27">
        <f>H6+AC6+AT6</f>
        <v>80904.83</v>
      </c>
      <c r="F6" s="27" t="s">
        <v>1</v>
      </c>
      <c r="G6" s="27" t="s">
        <v>2</v>
      </c>
      <c r="H6" s="33">
        <f>SUMIF(I$12:AB$12,"总值",I6:AB6)</f>
        <v>64736.3</v>
      </c>
      <c r="I6" s="27">
        <f t="shared" ref="I6:AB6" si="2">ROUND($A$3*I5/$B$3,2)</f>
        <v>49988.32</v>
      </c>
      <c r="J6" s="27">
        <f t="shared" si="2"/>
        <v>0</v>
      </c>
      <c r="K6" s="27">
        <f t="shared" si="2"/>
        <v>1256.69</v>
      </c>
      <c r="L6" s="27">
        <f t="shared" si="2"/>
        <v>0</v>
      </c>
      <c r="M6" s="27">
        <f t="shared" si="2"/>
        <v>12162.48</v>
      </c>
      <c r="N6" s="27">
        <f t="shared" si="2"/>
        <v>0</v>
      </c>
      <c r="O6" s="27">
        <f t="shared" si="2"/>
        <v>1328.81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10500.83</v>
      </c>
      <c r="AD6" s="27">
        <f t="shared" ref="AD6:AS6" si="3">ROUND($A$3*AD5/$B$3,2)</f>
        <v>109.01</v>
      </c>
      <c r="AE6" s="27">
        <f t="shared" si="3"/>
        <v>0</v>
      </c>
      <c r="AF6" s="27">
        <f t="shared" si="3"/>
        <v>692.88</v>
      </c>
      <c r="AG6" s="27">
        <f t="shared" si="3"/>
        <v>0</v>
      </c>
      <c r="AH6" s="27">
        <f t="shared" si="3"/>
        <v>28.3</v>
      </c>
      <c r="AI6" s="27">
        <f t="shared" si="3"/>
        <v>0</v>
      </c>
      <c r="AJ6" s="27">
        <f t="shared" si="3"/>
        <v>56.61</v>
      </c>
      <c r="AK6" s="27">
        <f t="shared" si="3"/>
        <v>0</v>
      </c>
      <c r="AL6" s="27">
        <f t="shared" si="3"/>
        <v>0</v>
      </c>
      <c r="AM6" s="27">
        <f t="shared" si="3"/>
        <v>0</v>
      </c>
      <c r="AN6" s="27">
        <f t="shared" si="3"/>
        <v>9614.0300000000007</v>
      </c>
      <c r="AO6" s="27">
        <f t="shared" si="3"/>
        <v>0</v>
      </c>
      <c r="AP6" s="27">
        <f t="shared" si="3"/>
        <v>0</v>
      </c>
      <c r="AQ6" s="27">
        <f t="shared" si="3"/>
        <v>0</v>
      </c>
      <c r="AR6" s="27">
        <f t="shared" si="3"/>
        <v>0</v>
      </c>
      <c r="AS6" s="27">
        <f t="shared" si="3"/>
        <v>0</v>
      </c>
      <c r="AT6" s="33">
        <f>IF(C3="是",ROUND($A$3*AT5/$B$3,2),0)</f>
        <v>5667.7</v>
      </c>
      <c r="AU6" s="34"/>
      <c r="AV6" s="26" t="s">
        <v>169</v>
      </c>
      <c r="AW6" s="31"/>
      <c r="AX6" s="31"/>
      <c r="AY6" s="35">
        <f>IF(AY3&gt;0,AY3,ROUND($A$3*AZ5/$B$3,2))</f>
        <v>75237.13</v>
      </c>
      <c r="AZ6" s="27" t="s">
        <v>3</v>
      </c>
      <c r="BA6" s="27">
        <f>ROUND($AY$6*BA5/$AZ$5,2)</f>
        <v>64736.3</v>
      </c>
      <c r="BB6" s="27">
        <f>ROUND($AY$6*BB5/$AZ$5,2)</f>
        <v>49988.32</v>
      </c>
      <c r="BC6" s="27">
        <f t="shared" ref="BC6:BH6" si="4">ROUND($AY$6*BC5/$AZ$5,2)</f>
        <v>1256.69</v>
      </c>
      <c r="BD6" s="27">
        <f t="shared" si="4"/>
        <v>12162.48</v>
      </c>
      <c r="BE6" s="27">
        <f t="shared" si="4"/>
        <v>1328.81</v>
      </c>
      <c r="BF6" s="27">
        <f t="shared" si="4"/>
        <v>0</v>
      </c>
      <c r="BG6" s="27">
        <f t="shared" si="4"/>
        <v>0</v>
      </c>
      <c r="BH6" s="27">
        <f t="shared" si="4"/>
        <v>0</v>
      </c>
      <c r="BI6" s="27">
        <f t="shared" ref="BI6:BT6" si="5">ROUND($AY$6*BI5/$AZ$5,2)</f>
        <v>0</v>
      </c>
      <c r="BJ6" s="27">
        <f t="shared" si="5"/>
        <v>0</v>
      </c>
      <c r="BK6" s="27">
        <f t="shared" si="5"/>
        <v>0</v>
      </c>
      <c r="BL6" s="27">
        <f t="shared" si="5"/>
        <v>10500.83</v>
      </c>
      <c r="BM6" s="27">
        <f t="shared" si="5"/>
        <v>109.01</v>
      </c>
      <c r="BN6" s="27">
        <f t="shared" si="5"/>
        <v>692.88</v>
      </c>
      <c r="BO6" s="27">
        <f t="shared" si="5"/>
        <v>28.3</v>
      </c>
      <c r="BP6" s="27">
        <f t="shared" si="5"/>
        <v>56.61</v>
      </c>
      <c r="BQ6" s="27">
        <f t="shared" si="5"/>
        <v>0</v>
      </c>
      <c r="BR6" s="27">
        <f t="shared" si="5"/>
        <v>9614.0300000000007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2999</v>
      </c>
      <c r="J9" s="51"/>
      <c r="K9" s="3017" t="s">
        <v>3005</v>
      </c>
      <c r="L9" s="51"/>
      <c r="M9" s="3017" t="s">
        <v>3005</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2990</v>
      </c>
      <c r="L10" s="51"/>
      <c r="M10" s="3019" t="s">
        <v>3008</v>
      </c>
      <c r="N10" s="51"/>
      <c r="O10" s="66" t="s">
        <v>3010</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3000</v>
      </c>
      <c r="J11" s="71"/>
      <c r="K11" s="3018" t="s">
        <v>3006</v>
      </c>
      <c r="L11" s="71"/>
      <c r="M11" s="70" t="s">
        <v>3008</v>
      </c>
      <c r="N11" s="71"/>
      <c r="O11" s="70" t="s">
        <v>3011</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配套商业</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v>21</v>
      </c>
      <c r="C13" s="3013">
        <v>11</v>
      </c>
      <c r="D13" s="3014" t="s">
        <v>1679</v>
      </c>
      <c r="E13" s="27">
        <f t="shared" ref="E13:E20" si="6">IF($C$3="是",ROUND($A$3*G13/$B$3,2),ROUND($A$3*(G13-AT13)/$B$3,2))</f>
        <v>1809.46</v>
      </c>
      <c r="F13" s="81"/>
      <c r="G13" s="82">
        <f t="shared" ref="G13:G20" si="7">H13+AC13+AT13</f>
        <v>6393</v>
      </c>
      <c r="H13" s="33">
        <f t="shared" ref="H13:H20" si="8">SUMIF(I$12:AB$12,"总值",I13:AB13)</f>
        <v>6393</v>
      </c>
      <c r="I13" s="3016">
        <v>6393</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21</v>
      </c>
      <c r="AX13" s="17">
        <f t="shared" si="10"/>
        <v>11</v>
      </c>
      <c r="AY13" s="996">
        <f t="shared" ref="AY13:AY20" si="11">ROUND($AY$6*AZ13/$AZ$5,2)</f>
        <v>1809.46</v>
      </c>
      <c r="AZ13" s="27">
        <f t="shared" ref="AZ13:AZ20" si="12">BA13+BL13</f>
        <v>6393</v>
      </c>
      <c r="BA13" s="27">
        <f t="shared" ref="BA13:BA20" si="13">SUM(BB13:BK13)</f>
        <v>6393</v>
      </c>
      <c r="BB13" s="27">
        <f t="shared" ref="BB13:BB20" si="14">IF($D13="是",I13-J13,0)</f>
        <v>6393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v>12</v>
      </c>
      <c r="D14" s="3014" t="s">
        <v>1679</v>
      </c>
      <c r="E14" s="27">
        <f t="shared" si="6"/>
        <v>3319.75</v>
      </c>
      <c r="F14" s="81"/>
      <c r="G14" s="82">
        <f t="shared" si="7"/>
        <v>11729</v>
      </c>
      <c r="H14" s="33">
        <f t="shared" si="8"/>
        <v>11729</v>
      </c>
      <c r="I14" s="3016">
        <v>11729</v>
      </c>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12</v>
      </c>
      <c r="AY14" s="996">
        <f t="shared" si="11"/>
        <v>3319.75</v>
      </c>
      <c r="AZ14" s="27">
        <f t="shared" si="12"/>
        <v>11729</v>
      </c>
      <c r="BA14" s="27">
        <f t="shared" si="13"/>
        <v>11729</v>
      </c>
      <c r="BB14" s="27">
        <f t="shared" si="14"/>
        <v>11729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v>13</v>
      </c>
      <c r="D15" s="3014" t="s">
        <v>1679</v>
      </c>
      <c r="E15" s="27">
        <f t="shared" si="6"/>
        <v>1201.21</v>
      </c>
      <c r="F15" s="81"/>
      <c r="G15" s="82">
        <f t="shared" si="7"/>
        <v>4244</v>
      </c>
      <c r="H15" s="33">
        <f t="shared" si="8"/>
        <v>4244</v>
      </c>
      <c r="I15" s="3016">
        <v>4244</v>
      </c>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13</v>
      </c>
      <c r="AY15" s="996">
        <f t="shared" si="11"/>
        <v>1201.21</v>
      </c>
      <c r="AZ15" s="27">
        <f t="shared" si="12"/>
        <v>4244</v>
      </c>
      <c r="BA15" s="27">
        <f t="shared" si="13"/>
        <v>4244</v>
      </c>
      <c r="BB15" s="27">
        <f t="shared" si="14"/>
        <v>4244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v>14</v>
      </c>
      <c r="D16" s="3014" t="s">
        <v>1679</v>
      </c>
      <c r="E16" s="27">
        <f t="shared" si="6"/>
        <v>1509.72</v>
      </c>
      <c r="F16" s="81"/>
      <c r="G16" s="82">
        <f t="shared" si="7"/>
        <v>5334</v>
      </c>
      <c r="H16" s="33">
        <f t="shared" si="8"/>
        <v>5334</v>
      </c>
      <c r="I16" s="3016">
        <v>5334</v>
      </c>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14</v>
      </c>
      <c r="AY16" s="996">
        <f t="shared" si="11"/>
        <v>1509.72</v>
      </c>
      <c r="AZ16" s="27">
        <f t="shared" si="12"/>
        <v>5334</v>
      </c>
      <c r="BA16" s="27">
        <f t="shared" si="13"/>
        <v>5334</v>
      </c>
      <c r="BB16" s="27">
        <f t="shared" si="14"/>
        <v>5334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v>15</v>
      </c>
      <c r="D17" s="3014" t="s">
        <v>1679</v>
      </c>
      <c r="E17" s="27">
        <f t="shared" si="6"/>
        <v>2028.25</v>
      </c>
      <c r="F17" s="81"/>
      <c r="G17" s="82">
        <f t="shared" si="7"/>
        <v>7166</v>
      </c>
      <c r="H17" s="33">
        <f t="shared" si="8"/>
        <v>7166</v>
      </c>
      <c r="I17" s="3016">
        <v>7166</v>
      </c>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15</v>
      </c>
      <c r="AY17" s="996">
        <f t="shared" si="11"/>
        <v>2028.25</v>
      </c>
      <c r="AZ17" s="27">
        <f t="shared" si="12"/>
        <v>7166</v>
      </c>
      <c r="BA17" s="27">
        <f t="shared" si="13"/>
        <v>7166</v>
      </c>
      <c r="BB17" s="27">
        <f t="shared" si="14"/>
        <v>7166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16</v>
      </c>
      <c r="D18" s="3014" t="s">
        <v>1679</v>
      </c>
      <c r="E18" s="87">
        <f t="shared" si="6"/>
        <v>4006.4</v>
      </c>
      <c r="F18" s="88"/>
      <c r="G18" s="89">
        <f t="shared" si="7"/>
        <v>14155</v>
      </c>
      <c r="H18" s="90">
        <f t="shared" si="8"/>
        <v>14155</v>
      </c>
      <c r="I18" s="1394">
        <v>14155</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16</v>
      </c>
      <c r="AY18" s="95">
        <f t="shared" si="11"/>
        <v>4006.4</v>
      </c>
      <c r="AZ18" s="87">
        <f t="shared" si="12"/>
        <v>14155</v>
      </c>
      <c r="BA18" s="87">
        <f t="shared" si="13"/>
        <v>14155</v>
      </c>
      <c r="BB18" s="87">
        <f t="shared" si="14"/>
        <v>14155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v>17</v>
      </c>
      <c r="D19" s="3014" t="s">
        <v>1679</v>
      </c>
      <c r="E19" s="87">
        <f t="shared" si="6"/>
        <v>2216.1799999999998</v>
      </c>
      <c r="F19" s="88"/>
      <c r="G19" s="89">
        <f t="shared" si="7"/>
        <v>7830</v>
      </c>
      <c r="H19" s="90">
        <f t="shared" si="8"/>
        <v>7830</v>
      </c>
      <c r="I19" s="1394">
        <v>7830</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17</v>
      </c>
      <c r="AY19" s="95">
        <f t="shared" si="11"/>
        <v>2216.1799999999998</v>
      </c>
      <c r="AZ19" s="87">
        <f t="shared" si="12"/>
        <v>7830</v>
      </c>
      <c r="BA19" s="87">
        <f t="shared" si="13"/>
        <v>7830</v>
      </c>
      <c r="BB19" s="87">
        <f t="shared" si="14"/>
        <v>7830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18</v>
      </c>
      <c r="D20" s="3014" t="s">
        <v>1679</v>
      </c>
      <c r="E20" s="87">
        <f t="shared" si="6"/>
        <v>1415.47</v>
      </c>
      <c r="F20" s="88"/>
      <c r="G20" s="89">
        <f t="shared" si="7"/>
        <v>5001</v>
      </c>
      <c r="H20" s="90">
        <f t="shared" si="8"/>
        <v>5001</v>
      </c>
      <c r="I20" s="1394">
        <v>5001</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18</v>
      </c>
      <c r="AY20" s="95">
        <f t="shared" si="11"/>
        <v>1415.47</v>
      </c>
      <c r="AZ20" s="87">
        <f t="shared" si="12"/>
        <v>5001</v>
      </c>
      <c r="BA20" s="87">
        <f t="shared" si="13"/>
        <v>5001</v>
      </c>
      <c r="BB20" s="87">
        <f t="shared" si="14"/>
        <v>5001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19</v>
      </c>
      <c r="D21" s="3014" t="s">
        <v>1679</v>
      </c>
      <c r="E21" s="87">
        <f t="shared" ref="E21:E112" si="33">IF($C$3="是",ROUND($A$3*G21/$B$3,2),ROUND($A$3*(G21-AT21)/$B$3,2))</f>
        <v>906.85</v>
      </c>
      <c r="F21" s="88"/>
      <c r="G21" s="89">
        <f t="shared" ref="G21:G109" si="34">H21+AC21+AT21</f>
        <v>3204</v>
      </c>
      <c r="H21" s="90">
        <f t="shared" ref="H21:H109" si="35">SUMIF(I$12:AB$12,"总值",I21:AB21)</f>
        <v>3204</v>
      </c>
      <c r="I21" s="1396">
        <v>3204</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19</v>
      </c>
      <c r="AY21" s="95">
        <f t="shared" ref="AY21:AY109" si="40">ROUND($AY$6*AZ21/$AZ$5,2)</f>
        <v>906.85</v>
      </c>
      <c r="AZ21" s="87">
        <f t="shared" ref="AZ21:AZ109" si="41">BA21+BL21</f>
        <v>3204</v>
      </c>
      <c r="BA21" s="87">
        <f t="shared" ref="BA21:BA109" si="42">SUM(BB21:BK21)</f>
        <v>3204</v>
      </c>
      <c r="BB21" s="87">
        <f t="shared" ref="BB21:BB109" si="43">IF($D21="是",I21-J21,0)</f>
        <v>3204</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v>20</v>
      </c>
      <c r="D22" s="3014" t="s">
        <v>1679</v>
      </c>
      <c r="E22" s="87">
        <f t="shared" si="33"/>
        <v>906.85</v>
      </c>
      <c r="F22" s="88"/>
      <c r="G22" s="89">
        <f t="shared" si="34"/>
        <v>3204</v>
      </c>
      <c r="H22" s="90">
        <f t="shared" si="35"/>
        <v>3204</v>
      </c>
      <c r="I22" s="1396">
        <v>3204</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20</v>
      </c>
      <c r="AY22" s="95">
        <f t="shared" si="40"/>
        <v>906.85</v>
      </c>
      <c r="AZ22" s="87">
        <f t="shared" si="41"/>
        <v>3204</v>
      </c>
      <c r="BA22" s="87">
        <f t="shared" si="42"/>
        <v>3204</v>
      </c>
      <c r="BB22" s="87">
        <f t="shared" si="43"/>
        <v>3204</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v>21</v>
      </c>
      <c r="D23" s="3014" t="s">
        <v>1679</v>
      </c>
      <c r="E23" s="87">
        <f t="shared" si="33"/>
        <v>1206.31</v>
      </c>
      <c r="F23" s="88"/>
      <c r="G23" s="89">
        <f t="shared" si="34"/>
        <v>4262</v>
      </c>
      <c r="H23" s="90">
        <f t="shared" si="35"/>
        <v>4262</v>
      </c>
      <c r="I23" s="1396">
        <v>4262</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21</v>
      </c>
      <c r="AY23" s="95">
        <f t="shared" si="40"/>
        <v>1206.31</v>
      </c>
      <c r="AZ23" s="87">
        <f t="shared" si="41"/>
        <v>4262</v>
      </c>
      <c r="BA23" s="87">
        <f t="shared" si="42"/>
        <v>4262</v>
      </c>
      <c r="BB23" s="87">
        <f t="shared" si="43"/>
        <v>4262</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v>22</v>
      </c>
      <c r="D24" s="3014" t="s">
        <v>1679</v>
      </c>
      <c r="E24" s="87">
        <f t="shared" si="33"/>
        <v>3823.27</v>
      </c>
      <c r="F24" s="88"/>
      <c r="G24" s="89">
        <f t="shared" si="34"/>
        <v>13508</v>
      </c>
      <c r="H24" s="90">
        <f t="shared" si="35"/>
        <v>13508</v>
      </c>
      <c r="I24" s="1396">
        <v>13508</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22</v>
      </c>
      <c r="AY24" s="95">
        <f t="shared" si="40"/>
        <v>3823.27</v>
      </c>
      <c r="AZ24" s="87">
        <f t="shared" si="41"/>
        <v>13508</v>
      </c>
      <c r="BA24" s="87">
        <f t="shared" si="42"/>
        <v>13508</v>
      </c>
      <c r="BB24" s="87">
        <f t="shared" si="43"/>
        <v>13508</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v>23</v>
      </c>
      <c r="D25" s="3014" t="s">
        <v>1679</v>
      </c>
      <c r="E25" s="87">
        <f t="shared" si="33"/>
        <v>3809.69</v>
      </c>
      <c r="F25" s="88"/>
      <c r="G25" s="89">
        <f t="shared" si="34"/>
        <v>13460</v>
      </c>
      <c r="H25" s="90">
        <f t="shared" si="35"/>
        <v>13460</v>
      </c>
      <c r="I25" s="1396">
        <v>13460</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23</v>
      </c>
      <c r="AY25" s="95">
        <f t="shared" si="40"/>
        <v>3809.69</v>
      </c>
      <c r="AZ25" s="87">
        <f t="shared" si="41"/>
        <v>13460</v>
      </c>
      <c r="BA25" s="87">
        <f t="shared" si="42"/>
        <v>13460</v>
      </c>
      <c r="BB25" s="87">
        <f t="shared" si="43"/>
        <v>13460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t="s">
        <v>3001</v>
      </c>
      <c r="D26" s="3014" t="s">
        <v>1679</v>
      </c>
      <c r="E26" s="87">
        <f t="shared" si="33"/>
        <v>67.41</v>
      </c>
      <c r="F26" s="88"/>
      <c r="G26" s="89">
        <f t="shared" si="34"/>
        <v>238.15</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238.15</v>
      </c>
      <c r="AD26" s="92">
        <v>238.15</v>
      </c>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t="str">
        <f t="shared" si="39"/>
        <v>C配套</v>
      </c>
      <c r="AY26" s="95">
        <f t="shared" si="40"/>
        <v>67.41</v>
      </c>
      <c r="AZ26" s="87">
        <f t="shared" si="41"/>
        <v>238.15</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238.15</v>
      </c>
      <c r="BM26" s="87">
        <f t="shared" si="54"/>
        <v>238.15</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t="s">
        <v>3002</v>
      </c>
      <c r="D27" s="3014" t="s">
        <v>1679</v>
      </c>
      <c r="E27" s="87">
        <f t="shared" si="33"/>
        <v>7.93</v>
      </c>
      <c r="F27" s="88"/>
      <c r="G27" s="89">
        <f t="shared" si="34"/>
        <v>28</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28</v>
      </c>
      <c r="AD27" s="92">
        <v>28</v>
      </c>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t="str">
        <f t="shared" si="39"/>
        <v>D配套</v>
      </c>
      <c r="AY27" s="95">
        <f t="shared" si="40"/>
        <v>7.93</v>
      </c>
      <c r="AZ27" s="87">
        <f t="shared" si="41"/>
        <v>28</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28</v>
      </c>
      <c r="BM27" s="87">
        <f t="shared" si="54"/>
        <v>28</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t="s">
        <v>3003</v>
      </c>
      <c r="D28" s="3014" t="s">
        <v>1679</v>
      </c>
      <c r="E28" s="87">
        <f t="shared" si="33"/>
        <v>13.87</v>
      </c>
      <c r="F28" s="88"/>
      <c r="G28" s="89">
        <f t="shared" si="34"/>
        <v>49</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49</v>
      </c>
      <c r="AD28" s="92">
        <v>49</v>
      </c>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t="str">
        <f t="shared" si="39"/>
        <v>E分界室</v>
      </c>
      <c r="AY28" s="95">
        <f t="shared" si="40"/>
        <v>13.87</v>
      </c>
      <c r="AZ28" s="87">
        <f t="shared" si="41"/>
        <v>49</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49</v>
      </c>
      <c r="BM28" s="87">
        <f t="shared" si="54"/>
        <v>49</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3476"/>
      <c r="C29" s="1396" t="s">
        <v>3004</v>
      </c>
      <c r="D29" s="3014" t="s">
        <v>1679</v>
      </c>
      <c r="E29" s="87">
        <f t="shared" si="33"/>
        <v>11151.68</v>
      </c>
      <c r="F29" s="88"/>
      <c r="G29" s="89">
        <f t="shared" si="34"/>
        <v>39400</v>
      </c>
      <c r="H29" s="90">
        <f t="shared" si="35"/>
        <v>12378.11</v>
      </c>
      <c r="I29" s="1396"/>
      <c r="J29" s="91"/>
      <c r="K29" s="1396">
        <v>3940</v>
      </c>
      <c r="L29" s="91"/>
      <c r="M29" s="91">
        <f>5288.11+3150</f>
        <v>8438.11</v>
      </c>
      <c r="N29" s="91"/>
      <c r="O29" s="91"/>
      <c r="P29" s="91"/>
      <c r="Q29" s="91"/>
      <c r="R29" s="91"/>
      <c r="S29" s="91"/>
      <c r="T29" s="91"/>
      <c r="U29" s="91"/>
      <c r="V29" s="91"/>
      <c r="W29" s="91"/>
      <c r="X29" s="91"/>
      <c r="Y29" s="91"/>
      <c r="Z29" s="91"/>
      <c r="AA29" s="91"/>
      <c r="AB29" s="91"/>
      <c r="AC29" s="87">
        <f t="shared" si="36"/>
        <v>15824.23</v>
      </c>
      <c r="AD29" s="92"/>
      <c r="AE29" s="92"/>
      <c r="AF29" s="92">
        <f>175+909+909+455</f>
        <v>2448</v>
      </c>
      <c r="AG29" s="92"/>
      <c r="AH29" s="92"/>
      <c r="AI29" s="92"/>
      <c r="AJ29" s="92"/>
      <c r="AK29" s="92"/>
      <c r="AL29" s="92"/>
      <c r="AM29" s="92"/>
      <c r="AN29" s="92">
        <f>630+1000+180+510+6170+40+545+2200+2101.23</f>
        <v>13376.23</v>
      </c>
      <c r="AO29" s="92"/>
      <c r="AP29" s="92"/>
      <c r="AQ29" s="92"/>
      <c r="AR29" s="92"/>
      <c r="AS29" s="92"/>
      <c r="AT29" s="93">
        <v>11197.66</v>
      </c>
      <c r="AU29" s="94"/>
      <c r="AV29" s="1979">
        <f t="shared" si="37"/>
        <v>0</v>
      </c>
      <c r="AW29" s="1979">
        <f t="shared" si="38"/>
        <v>0</v>
      </c>
      <c r="AX29" s="1979" t="str">
        <f t="shared" si="39"/>
        <v>2#地下车库A区</v>
      </c>
      <c r="AY29" s="95">
        <f t="shared" si="40"/>
        <v>7982.32</v>
      </c>
      <c r="AZ29" s="87">
        <f t="shared" si="41"/>
        <v>28202.34</v>
      </c>
      <c r="BA29" s="87">
        <f t="shared" si="42"/>
        <v>12378.11</v>
      </c>
      <c r="BB29" s="87">
        <f t="shared" si="43"/>
        <v>0</v>
      </c>
      <c r="BC29" s="87">
        <f t="shared" si="44"/>
        <v>3940</v>
      </c>
      <c r="BD29" s="87">
        <f t="shared" si="45"/>
        <v>8438.11</v>
      </c>
      <c r="BE29" s="87">
        <f t="shared" si="46"/>
        <v>0</v>
      </c>
      <c r="BF29" s="87">
        <f t="shared" si="47"/>
        <v>0</v>
      </c>
      <c r="BG29" s="87">
        <f t="shared" si="48"/>
        <v>0</v>
      </c>
      <c r="BH29" s="87">
        <f t="shared" si="49"/>
        <v>0</v>
      </c>
      <c r="BI29" s="87">
        <f t="shared" si="50"/>
        <v>0</v>
      </c>
      <c r="BJ29" s="87">
        <f t="shared" si="51"/>
        <v>0</v>
      </c>
      <c r="BK29" s="87">
        <f t="shared" si="52"/>
        <v>0</v>
      </c>
      <c r="BL29" s="87">
        <f t="shared" si="53"/>
        <v>15824.23</v>
      </c>
      <c r="BM29" s="87">
        <f t="shared" si="54"/>
        <v>0</v>
      </c>
      <c r="BN29" s="87">
        <f t="shared" si="55"/>
        <v>2448</v>
      </c>
      <c r="BO29" s="87">
        <f t="shared" si="56"/>
        <v>0</v>
      </c>
      <c r="BP29" s="87">
        <f t="shared" si="57"/>
        <v>0</v>
      </c>
      <c r="BQ29" s="87">
        <f t="shared" si="58"/>
        <v>0</v>
      </c>
      <c r="BR29" s="87">
        <f t="shared" si="59"/>
        <v>13376.23</v>
      </c>
      <c r="BS29" s="87">
        <f t="shared" si="60"/>
        <v>0</v>
      </c>
      <c r="BT29" s="96">
        <f t="shared" si="61"/>
        <v>0</v>
      </c>
    </row>
    <row r="30" spans="1:72" ht="28.5">
      <c r="A30" s="84"/>
      <c r="B30" s="1393"/>
      <c r="C30" s="1394" t="s">
        <v>3009</v>
      </c>
      <c r="D30" s="3014" t="s">
        <v>1679</v>
      </c>
      <c r="E30" s="87">
        <f t="shared" si="33"/>
        <v>7152.36</v>
      </c>
      <c r="F30" s="88"/>
      <c r="G30" s="89">
        <f t="shared" si="34"/>
        <v>25270</v>
      </c>
      <c r="H30" s="90">
        <f t="shared" si="35"/>
        <v>16900</v>
      </c>
      <c r="I30" s="1396"/>
      <c r="J30" s="91"/>
      <c r="K30" s="1396"/>
      <c r="L30" s="91"/>
      <c r="M30" s="91">
        <f>7100+8200</f>
        <v>15300</v>
      </c>
      <c r="N30" s="91"/>
      <c r="O30" s="91">
        <f>420+630+550</f>
        <v>1600</v>
      </c>
      <c r="P30" s="91"/>
      <c r="Q30" s="91"/>
      <c r="R30" s="91"/>
      <c r="S30" s="91"/>
      <c r="T30" s="91"/>
      <c r="U30" s="91"/>
      <c r="V30" s="91"/>
      <c r="W30" s="91"/>
      <c r="X30" s="91"/>
      <c r="Y30" s="91"/>
      <c r="Z30" s="91"/>
      <c r="AA30" s="91"/>
      <c r="AB30" s="91"/>
      <c r="AC30" s="87">
        <f t="shared" si="36"/>
        <v>8370</v>
      </c>
      <c r="AD30" s="92"/>
      <c r="AE30" s="92"/>
      <c r="AF30" s="1396"/>
      <c r="AG30" s="92"/>
      <c r="AH30" s="92"/>
      <c r="AI30" s="92"/>
      <c r="AJ30" s="92"/>
      <c r="AK30" s="92"/>
      <c r="AL30" s="92"/>
      <c r="AM30" s="92"/>
      <c r="AN30" s="92">
        <f>80+3355+4760+175</f>
        <v>8370</v>
      </c>
      <c r="AO30" s="92"/>
      <c r="AP30" s="92"/>
      <c r="AQ30" s="92"/>
      <c r="AR30" s="92"/>
      <c r="AS30" s="92"/>
      <c r="AT30" s="93"/>
      <c r="AU30" s="94"/>
      <c r="AV30" s="1979">
        <f t="shared" si="37"/>
        <v>0</v>
      </c>
      <c r="AW30" s="1979">
        <f t="shared" si="38"/>
        <v>0</v>
      </c>
      <c r="AX30" s="1979" t="str">
        <f t="shared" si="39"/>
        <v>2#地下车库B区</v>
      </c>
      <c r="AY30" s="95">
        <f t="shared" si="40"/>
        <v>7152.36</v>
      </c>
      <c r="AZ30" s="87">
        <f t="shared" si="41"/>
        <v>25270</v>
      </c>
      <c r="BA30" s="87">
        <f t="shared" si="42"/>
        <v>16900</v>
      </c>
      <c r="BB30" s="87">
        <f t="shared" si="43"/>
        <v>0</v>
      </c>
      <c r="BC30" s="87">
        <f t="shared" si="44"/>
        <v>0</v>
      </c>
      <c r="BD30" s="87">
        <f t="shared" si="45"/>
        <v>15300</v>
      </c>
      <c r="BE30" s="87">
        <f t="shared" si="46"/>
        <v>1600</v>
      </c>
      <c r="BF30" s="87">
        <f t="shared" si="47"/>
        <v>0</v>
      </c>
      <c r="BG30" s="87">
        <f t="shared" si="48"/>
        <v>0</v>
      </c>
      <c r="BH30" s="87">
        <f t="shared" si="49"/>
        <v>0</v>
      </c>
      <c r="BI30" s="87">
        <f t="shared" si="50"/>
        <v>0</v>
      </c>
      <c r="BJ30" s="87">
        <f t="shared" si="51"/>
        <v>0</v>
      </c>
      <c r="BK30" s="87">
        <f t="shared" si="52"/>
        <v>0</v>
      </c>
      <c r="BL30" s="87">
        <f t="shared" si="53"/>
        <v>8370</v>
      </c>
      <c r="BM30" s="87">
        <f t="shared" si="54"/>
        <v>0</v>
      </c>
      <c r="BN30" s="87">
        <f t="shared" si="55"/>
        <v>0</v>
      </c>
      <c r="BO30" s="87">
        <f t="shared" si="56"/>
        <v>0</v>
      </c>
      <c r="BP30" s="87">
        <f t="shared" si="57"/>
        <v>0</v>
      </c>
      <c r="BQ30" s="87">
        <f t="shared" si="58"/>
        <v>0</v>
      </c>
      <c r="BR30" s="87">
        <f t="shared" si="59"/>
        <v>8370</v>
      </c>
      <c r="BS30" s="87">
        <f t="shared" si="60"/>
        <v>0</v>
      </c>
      <c r="BT30" s="96">
        <f t="shared" si="61"/>
        <v>0</v>
      </c>
    </row>
    <row r="31" spans="1:72" ht="28.5">
      <c r="A31" s="84"/>
      <c r="B31" s="1393"/>
      <c r="C31" s="1394" t="s">
        <v>3012</v>
      </c>
      <c r="D31" s="3014" t="s">
        <v>1679</v>
      </c>
      <c r="E31" s="87">
        <f t="shared" si="33"/>
        <v>10.33</v>
      </c>
      <c r="F31" s="88"/>
      <c r="G31" s="89">
        <f t="shared" si="34"/>
        <v>36.49</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v>36.49</v>
      </c>
      <c r="AU31" s="94"/>
      <c r="AV31" s="1979">
        <f t="shared" si="37"/>
        <v>0</v>
      </c>
      <c r="AW31" s="1979">
        <f t="shared" si="38"/>
        <v>0</v>
      </c>
      <c r="AX31" s="1979" t="str">
        <f t="shared" si="39"/>
        <v>5#人防室外出入口</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c r="A32" s="84"/>
      <c r="B32" s="1393"/>
      <c r="C32" s="1394" t="s">
        <v>3013</v>
      </c>
      <c r="D32" s="3014" t="s">
        <v>1679</v>
      </c>
      <c r="E32" s="87">
        <f t="shared" si="33"/>
        <v>10.1</v>
      </c>
      <c r="F32" s="88"/>
      <c r="G32" s="89">
        <f t="shared" si="34"/>
        <v>35.700000000000003</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v>35.700000000000003</v>
      </c>
      <c r="AU32" s="94"/>
      <c r="AV32" s="1979">
        <f t="shared" si="37"/>
        <v>0</v>
      </c>
      <c r="AW32" s="1979">
        <f t="shared" si="38"/>
        <v>0</v>
      </c>
      <c r="AX32" s="1979" t="str">
        <f t="shared" si="39"/>
        <v>6#人防室外出入口</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3"/>
      <c r="C33" s="1394" t="s">
        <v>3014</v>
      </c>
      <c r="D33" s="3014" t="s">
        <v>1679</v>
      </c>
      <c r="E33" s="87">
        <f t="shared" si="33"/>
        <v>6.81</v>
      </c>
      <c r="F33" s="88"/>
      <c r="G33" s="89">
        <f t="shared" si="34"/>
        <v>24.06</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v>24.06</v>
      </c>
      <c r="AU33" s="94"/>
      <c r="AV33" s="1979">
        <f t="shared" si="37"/>
        <v>0</v>
      </c>
      <c r="AW33" s="1979">
        <f t="shared" si="38"/>
        <v>0</v>
      </c>
      <c r="AX33" s="1979" t="str">
        <f t="shared" si="39"/>
        <v>7#人防室外出入口</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28.5">
      <c r="A34" s="84"/>
      <c r="B34" s="1393"/>
      <c r="C34" s="1394" t="s">
        <v>3015</v>
      </c>
      <c r="D34" s="3014" t="s">
        <v>1679</v>
      </c>
      <c r="E34" s="87">
        <f t="shared" si="33"/>
        <v>9.98</v>
      </c>
      <c r="F34" s="88"/>
      <c r="G34" s="89">
        <f t="shared" si="34"/>
        <v>35.25</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v>35.25</v>
      </c>
      <c r="AU34" s="94"/>
      <c r="AV34" s="1979">
        <f t="shared" si="37"/>
        <v>0</v>
      </c>
      <c r="AW34" s="1979">
        <f t="shared" si="38"/>
        <v>0</v>
      </c>
      <c r="AX34" s="1979" t="str">
        <f t="shared" si="39"/>
        <v>8#人防室外出入口</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28.5">
      <c r="A35" s="84"/>
      <c r="B35" s="1393"/>
      <c r="C35" s="1394" t="s">
        <v>3016</v>
      </c>
      <c r="D35" s="3014" t="s">
        <v>1679</v>
      </c>
      <c r="E35" s="87">
        <f t="shared" si="33"/>
        <v>11.59</v>
      </c>
      <c r="F35" s="88"/>
      <c r="G35" s="89">
        <f t="shared" si="34"/>
        <v>40.950000000000003</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v>40.950000000000003</v>
      </c>
      <c r="AU35" s="94"/>
      <c r="AV35" s="1979">
        <f t="shared" si="37"/>
        <v>0</v>
      </c>
      <c r="AW35" s="1979">
        <f t="shared" si="38"/>
        <v>0</v>
      </c>
      <c r="AX35" s="1979" t="str">
        <f t="shared" si="39"/>
        <v>9#人防室外出入口</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v>18</v>
      </c>
      <c r="C36" s="1394">
        <v>1</v>
      </c>
      <c r="D36" s="3014" t="s">
        <v>1679</v>
      </c>
      <c r="E36" s="87">
        <f t="shared" si="33"/>
        <v>3066.74</v>
      </c>
      <c r="F36" s="88"/>
      <c r="G36" s="89">
        <f t="shared" si="34"/>
        <v>10835.1</v>
      </c>
      <c r="H36" s="90">
        <f t="shared" si="35"/>
        <v>10835.1</v>
      </c>
      <c r="I36" s="1396">
        <v>10835.1</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18</v>
      </c>
      <c r="AX36" s="1979">
        <f t="shared" si="39"/>
        <v>1</v>
      </c>
      <c r="AY36" s="95">
        <f t="shared" si="40"/>
        <v>3066.74</v>
      </c>
      <c r="AZ36" s="87">
        <f t="shared" si="41"/>
        <v>10835.1</v>
      </c>
      <c r="BA36" s="87">
        <f t="shared" si="42"/>
        <v>10835.1</v>
      </c>
      <c r="BB36" s="87">
        <f t="shared" si="43"/>
        <v>10835.1</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v>2</v>
      </c>
      <c r="D37" s="3014" t="s">
        <v>1679</v>
      </c>
      <c r="E37" s="87">
        <f t="shared" si="33"/>
        <v>3217.01</v>
      </c>
      <c r="F37" s="88"/>
      <c r="G37" s="89">
        <f t="shared" si="34"/>
        <v>11366</v>
      </c>
      <c r="H37" s="90">
        <f t="shared" si="35"/>
        <v>11366</v>
      </c>
      <c r="I37" s="1396">
        <v>11366</v>
      </c>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v>
      </c>
      <c r="AY37" s="95">
        <f t="shared" si="40"/>
        <v>3217.01</v>
      </c>
      <c r="AZ37" s="87">
        <f t="shared" si="41"/>
        <v>11366</v>
      </c>
      <c r="BA37" s="87">
        <f t="shared" si="42"/>
        <v>11366</v>
      </c>
      <c r="BB37" s="87">
        <f t="shared" si="43"/>
        <v>11366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v>3</v>
      </c>
      <c r="D38" s="3014" t="s">
        <v>1679</v>
      </c>
      <c r="E38" s="87">
        <f t="shared" si="33"/>
        <v>2923.52</v>
      </c>
      <c r="F38" s="88"/>
      <c r="G38" s="89">
        <f t="shared" si="34"/>
        <v>10329.1</v>
      </c>
      <c r="H38" s="90">
        <f t="shared" si="35"/>
        <v>10329.1</v>
      </c>
      <c r="I38" s="1396">
        <v>10329.1</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3</v>
      </c>
      <c r="AY38" s="95">
        <f t="shared" si="40"/>
        <v>2923.52</v>
      </c>
      <c r="AZ38" s="87">
        <f t="shared" si="41"/>
        <v>10329.1</v>
      </c>
      <c r="BA38" s="87">
        <f t="shared" si="42"/>
        <v>10329.1</v>
      </c>
      <c r="BB38" s="87">
        <f t="shared" si="43"/>
        <v>10329.1</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v>4</v>
      </c>
      <c r="D39" s="3014" t="s">
        <v>1679</v>
      </c>
      <c r="E39" s="87">
        <f t="shared" si="33"/>
        <v>592.05999999999995</v>
      </c>
      <c r="F39" s="88"/>
      <c r="G39" s="89">
        <f t="shared" si="34"/>
        <v>2091.8000000000002</v>
      </c>
      <c r="H39" s="90">
        <f t="shared" si="35"/>
        <v>2091.8000000000002</v>
      </c>
      <c r="I39" s="1396">
        <v>2091.8000000000002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4</v>
      </c>
      <c r="AY39" s="95">
        <f t="shared" si="40"/>
        <v>592.05999999999995</v>
      </c>
      <c r="AZ39" s="87">
        <f t="shared" si="41"/>
        <v>2091.8000000000002</v>
      </c>
      <c r="BA39" s="87">
        <f t="shared" si="42"/>
        <v>2091.8000000000002</v>
      </c>
      <c r="BB39" s="87">
        <f t="shared" si="43"/>
        <v>2091.8000000000002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v>5</v>
      </c>
      <c r="D40" s="3014" t="s">
        <v>1679</v>
      </c>
      <c r="E40" s="87">
        <f t="shared" si="33"/>
        <v>1516.26</v>
      </c>
      <c r="F40" s="88"/>
      <c r="G40" s="89">
        <f t="shared" si="34"/>
        <v>5357.1</v>
      </c>
      <c r="H40" s="90">
        <f t="shared" si="35"/>
        <v>5357.1</v>
      </c>
      <c r="I40" s="1396">
        <v>5357.1</v>
      </c>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5</v>
      </c>
      <c r="AY40" s="95">
        <f t="shared" si="40"/>
        <v>1516.26</v>
      </c>
      <c r="AZ40" s="87">
        <f t="shared" si="41"/>
        <v>5357.1</v>
      </c>
      <c r="BA40" s="87">
        <f t="shared" si="42"/>
        <v>5357.1</v>
      </c>
      <c r="BB40" s="87">
        <f t="shared" si="43"/>
        <v>5357.1</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v>6</v>
      </c>
      <c r="D41" s="3014" t="s">
        <v>1679</v>
      </c>
      <c r="E41" s="87">
        <f t="shared" si="33"/>
        <v>2937.53</v>
      </c>
      <c r="F41" s="88"/>
      <c r="G41" s="89">
        <f t="shared" si="34"/>
        <v>10378.6</v>
      </c>
      <c r="H41" s="90">
        <f t="shared" si="35"/>
        <v>10378.6</v>
      </c>
      <c r="I41" s="1396">
        <v>10378.6</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6</v>
      </c>
      <c r="AY41" s="95">
        <f t="shared" si="40"/>
        <v>2937.53</v>
      </c>
      <c r="AZ41" s="87">
        <f t="shared" si="41"/>
        <v>10378.6</v>
      </c>
      <c r="BA41" s="87">
        <f t="shared" si="42"/>
        <v>10378.6</v>
      </c>
      <c r="BB41" s="87">
        <f t="shared" si="43"/>
        <v>10378.6</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v>7</v>
      </c>
      <c r="D42" s="3014" t="s">
        <v>1679</v>
      </c>
      <c r="E42" s="87">
        <f t="shared" si="33"/>
        <v>3229.2</v>
      </c>
      <c r="F42" s="88"/>
      <c r="G42" s="89">
        <f t="shared" si="34"/>
        <v>11409.1</v>
      </c>
      <c r="H42" s="90">
        <f t="shared" si="35"/>
        <v>11409.1</v>
      </c>
      <c r="I42" s="1396">
        <v>11409.1</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7</v>
      </c>
      <c r="AY42" s="95">
        <f t="shared" si="40"/>
        <v>3229.2</v>
      </c>
      <c r="AZ42" s="87">
        <f t="shared" si="41"/>
        <v>11409.1</v>
      </c>
      <c r="BA42" s="87">
        <f t="shared" si="42"/>
        <v>11409.1</v>
      </c>
      <c r="BB42" s="87">
        <f t="shared" si="43"/>
        <v>11409.1</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v>8</v>
      </c>
      <c r="D43" s="3014" t="s">
        <v>1679</v>
      </c>
      <c r="E43" s="87">
        <f t="shared" si="33"/>
        <v>2543.4</v>
      </c>
      <c r="F43" s="88"/>
      <c r="G43" s="89">
        <f t="shared" si="34"/>
        <v>8986.1</v>
      </c>
      <c r="H43" s="90">
        <f t="shared" si="35"/>
        <v>8986.1</v>
      </c>
      <c r="I43" s="1396">
        <v>8986.1</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8</v>
      </c>
      <c r="AY43" s="95">
        <f t="shared" si="40"/>
        <v>2543.4</v>
      </c>
      <c r="AZ43" s="87">
        <f t="shared" si="41"/>
        <v>8986.1</v>
      </c>
      <c r="BA43" s="87">
        <f t="shared" si="42"/>
        <v>8986.1</v>
      </c>
      <c r="BB43" s="87">
        <f t="shared" si="43"/>
        <v>8986.1</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v>9</v>
      </c>
      <c r="D44" s="3014" t="s">
        <v>1679</v>
      </c>
      <c r="E44" s="87">
        <f t="shared" si="33"/>
        <v>1211.1199999999999</v>
      </c>
      <c r="F44" s="88"/>
      <c r="G44" s="89">
        <f t="shared" si="34"/>
        <v>4279</v>
      </c>
      <c r="H44" s="90">
        <f t="shared" si="35"/>
        <v>4279</v>
      </c>
      <c r="I44" s="1396">
        <v>4279</v>
      </c>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9</v>
      </c>
      <c r="AY44" s="95">
        <f t="shared" si="40"/>
        <v>1211.1199999999999</v>
      </c>
      <c r="AZ44" s="87">
        <f t="shared" si="41"/>
        <v>4279</v>
      </c>
      <c r="BA44" s="87">
        <f t="shared" si="42"/>
        <v>4279</v>
      </c>
      <c r="BB44" s="87">
        <f t="shared" si="43"/>
        <v>4279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v>10</v>
      </c>
      <c r="D45" s="3014" t="s">
        <v>1679</v>
      </c>
      <c r="E45" s="87">
        <f t="shared" si="33"/>
        <v>592.05999999999995</v>
      </c>
      <c r="F45" s="88"/>
      <c r="G45" s="89">
        <f t="shared" si="34"/>
        <v>2091.8000000000002</v>
      </c>
      <c r="H45" s="90">
        <f t="shared" si="35"/>
        <v>2091.8000000000002</v>
      </c>
      <c r="I45" s="1396">
        <v>2091.8000000000002</v>
      </c>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10</v>
      </c>
      <c r="AY45" s="95">
        <f t="shared" si="40"/>
        <v>592.05999999999995</v>
      </c>
      <c r="AZ45" s="87">
        <f t="shared" si="41"/>
        <v>2091.8000000000002</v>
      </c>
      <c r="BA45" s="87">
        <f t="shared" si="42"/>
        <v>2091.8000000000002</v>
      </c>
      <c r="BB45" s="87">
        <f t="shared" si="43"/>
        <v>2091.8000000000002</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28.5">
      <c r="A46" s="92"/>
      <c r="B46" s="1393"/>
      <c r="C46" s="1394" t="s">
        <v>3017</v>
      </c>
      <c r="D46" s="3014" t="s">
        <v>1679</v>
      </c>
      <c r="E46" s="87">
        <f t="shared" si="33"/>
        <v>12012.68</v>
      </c>
      <c r="F46" s="88"/>
      <c r="G46" s="89">
        <f t="shared" si="34"/>
        <v>42442</v>
      </c>
      <c r="H46" s="90">
        <f t="shared" si="35"/>
        <v>21785.65</v>
      </c>
      <c r="I46" s="1396"/>
      <c r="J46" s="91"/>
      <c r="K46" s="1396"/>
      <c r="L46" s="91"/>
      <c r="M46" s="91">
        <f>4115.94+15117.2</f>
        <v>19233.14</v>
      </c>
      <c r="N46" s="91"/>
      <c r="O46" s="91">
        <v>2552.5100000000002</v>
      </c>
      <c r="P46" s="91"/>
      <c r="Q46" s="91"/>
      <c r="R46" s="91"/>
      <c r="S46" s="91"/>
      <c r="T46" s="91"/>
      <c r="U46" s="91"/>
      <c r="V46" s="91"/>
      <c r="W46" s="91"/>
      <c r="X46" s="91"/>
      <c r="Y46" s="91"/>
      <c r="Z46" s="91"/>
      <c r="AA46" s="91"/>
      <c r="AB46" s="91"/>
      <c r="AC46" s="87">
        <f t="shared" si="36"/>
        <v>12175.8</v>
      </c>
      <c r="AD46" s="92"/>
      <c r="AE46" s="92"/>
      <c r="AF46" s="1396"/>
      <c r="AG46" s="92"/>
      <c r="AH46" s="92"/>
      <c r="AI46" s="92"/>
      <c r="AJ46" s="92"/>
      <c r="AK46" s="92"/>
      <c r="AL46" s="92"/>
      <c r="AM46" s="92"/>
      <c r="AN46" s="92">
        <f>467+769.87+155.26+3410.49+1109.13+646.8+540+3903.38+1173.87</f>
        <v>12175.8</v>
      </c>
      <c r="AO46" s="92"/>
      <c r="AP46" s="92"/>
      <c r="AQ46" s="92"/>
      <c r="AR46" s="92"/>
      <c r="AS46" s="92"/>
      <c r="AT46" s="93">
        <v>8480.5499999999993</v>
      </c>
      <c r="AU46" s="94"/>
      <c r="AV46" s="1979">
        <f t="shared" si="37"/>
        <v>0</v>
      </c>
      <c r="AW46" s="1979">
        <f t="shared" si="38"/>
        <v>0</v>
      </c>
      <c r="AX46" s="1979" t="str">
        <f t="shared" si="39"/>
        <v>1#地下车库</v>
      </c>
      <c r="AY46" s="95">
        <f t="shared" si="40"/>
        <v>9612.3700000000008</v>
      </c>
      <c r="AZ46" s="87">
        <f t="shared" si="41"/>
        <v>33961.449999999997</v>
      </c>
      <c r="BA46" s="87">
        <f t="shared" si="42"/>
        <v>21785.65</v>
      </c>
      <c r="BB46" s="87">
        <f t="shared" si="43"/>
        <v>0</v>
      </c>
      <c r="BC46" s="87">
        <f t="shared" si="44"/>
        <v>0</v>
      </c>
      <c r="BD46" s="87">
        <f t="shared" si="45"/>
        <v>19233.14</v>
      </c>
      <c r="BE46" s="87">
        <f t="shared" si="46"/>
        <v>2552.5100000000002</v>
      </c>
      <c r="BF46" s="87">
        <f t="shared" si="47"/>
        <v>0</v>
      </c>
      <c r="BG46" s="87">
        <f t="shared" si="48"/>
        <v>0</v>
      </c>
      <c r="BH46" s="87">
        <f t="shared" si="49"/>
        <v>0</v>
      </c>
      <c r="BI46" s="87">
        <f t="shared" si="50"/>
        <v>0</v>
      </c>
      <c r="BJ46" s="87">
        <f t="shared" si="51"/>
        <v>0</v>
      </c>
      <c r="BK46" s="87">
        <f t="shared" si="52"/>
        <v>0</v>
      </c>
      <c r="BL46" s="87">
        <f t="shared" si="53"/>
        <v>12175.8</v>
      </c>
      <c r="BM46" s="87">
        <f t="shared" si="54"/>
        <v>0</v>
      </c>
      <c r="BN46" s="87">
        <f t="shared" si="55"/>
        <v>0</v>
      </c>
      <c r="BO46" s="87">
        <f t="shared" si="56"/>
        <v>0</v>
      </c>
      <c r="BP46" s="87">
        <f t="shared" si="57"/>
        <v>0</v>
      </c>
      <c r="BQ46" s="87">
        <f t="shared" si="58"/>
        <v>0</v>
      </c>
      <c r="BR46" s="87">
        <f t="shared" si="59"/>
        <v>12175.8</v>
      </c>
      <c r="BS46" s="87">
        <f t="shared" si="60"/>
        <v>0</v>
      </c>
      <c r="BT46" s="96">
        <f t="shared" si="61"/>
        <v>0</v>
      </c>
    </row>
    <row r="47" spans="1:72" ht="28.5">
      <c r="A47" s="84"/>
      <c r="B47" s="1393"/>
      <c r="C47" s="1394" t="s">
        <v>3018</v>
      </c>
      <c r="D47" s="3014" t="s">
        <v>1679</v>
      </c>
      <c r="E47" s="87">
        <f t="shared" si="33"/>
        <v>17.55</v>
      </c>
      <c r="F47" s="88"/>
      <c r="G47" s="89">
        <f t="shared" si="34"/>
        <v>61.99</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v>61.99</v>
      </c>
      <c r="AU47" s="94"/>
      <c r="AV47" s="1979">
        <f t="shared" si="37"/>
        <v>0</v>
      </c>
      <c r="AW47" s="1979">
        <f t="shared" si="38"/>
        <v>0</v>
      </c>
      <c r="AX47" s="1979" t="str">
        <f t="shared" si="39"/>
        <v>1#人防室外出入口</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28.5">
      <c r="A48" s="84"/>
      <c r="B48" s="1393"/>
      <c r="C48" s="1394" t="s">
        <v>3019</v>
      </c>
      <c r="D48" s="3014" t="s">
        <v>1679</v>
      </c>
      <c r="E48" s="87">
        <f t="shared" si="33"/>
        <v>7.06</v>
      </c>
      <c r="F48" s="88"/>
      <c r="G48" s="89">
        <f t="shared" si="34"/>
        <v>24.96</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v>24.96</v>
      </c>
      <c r="AU48" s="94"/>
      <c r="AV48" s="1979">
        <f t="shared" si="37"/>
        <v>0</v>
      </c>
      <c r="AW48" s="1979">
        <f t="shared" si="38"/>
        <v>0</v>
      </c>
      <c r="AX48" s="1979" t="str">
        <f t="shared" si="39"/>
        <v>2#人防室外出入口</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28.5">
      <c r="A49" s="84"/>
      <c r="B49" s="1393"/>
      <c r="C49" s="1394" t="s">
        <v>3020</v>
      </c>
      <c r="D49" s="3014" t="s">
        <v>1679</v>
      </c>
      <c r="E49" s="87">
        <f t="shared" si="33"/>
        <v>7.06</v>
      </c>
      <c r="F49" s="88"/>
      <c r="G49" s="89">
        <f t="shared" si="34"/>
        <v>24.96</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v>24.96</v>
      </c>
      <c r="AU49" s="94"/>
      <c r="AV49" s="1979">
        <f t="shared" si="37"/>
        <v>0</v>
      </c>
      <c r="AW49" s="1979">
        <f t="shared" si="38"/>
        <v>0</v>
      </c>
      <c r="AX49" s="1979" t="str">
        <f t="shared" si="39"/>
        <v>3#人防室外出入口</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28.5">
      <c r="A50" s="84"/>
      <c r="B50" s="1393"/>
      <c r="C50" s="1394" t="s">
        <v>3021</v>
      </c>
      <c r="D50" s="3014" t="s">
        <v>1679</v>
      </c>
      <c r="E50" s="87">
        <f t="shared" si="33"/>
        <v>17.55</v>
      </c>
      <c r="F50" s="88"/>
      <c r="G50" s="89">
        <f t="shared" si="34"/>
        <v>61.99</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v>61.99</v>
      </c>
      <c r="AU50" s="94"/>
      <c r="AV50" s="1979">
        <f t="shared" si="37"/>
        <v>0</v>
      </c>
      <c r="AW50" s="1979">
        <f t="shared" si="38"/>
        <v>0</v>
      </c>
      <c r="AX50" s="1979" t="str">
        <f t="shared" si="39"/>
        <v>4#人防室外出入口</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t="s">
        <v>3022</v>
      </c>
      <c r="D51" s="3014" t="s">
        <v>1679</v>
      </c>
      <c r="E51" s="87">
        <f t="shared" si="33"/>
        <v>12.82</v>
      </c>
      <c r="F51" s="88"/>
      <c r="G51" s="89">
        <f t="shared" si="34"/>
        <v>45.3</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45.3</v>
      </c>
      <c r="AD51" s="92"/>
      <c r="AE51" s="92"/>
      <c r="AF51" s="1394"/>
      <c r="AG51" s="92"/>
      <c r="AH51" s="92"/>
      <c r="AI51" s="92"/>
      <c r="AJ51" s="92"/>
      <c r="AK51" s="92"/>
      <c r="AL51" s="92"/>
      <c r="AM51" s="92"/>
      <c r="AN51" s="92">
        <v>45.3</v>
      </c>
      <c r="AO51" s="92"/>
      <c r="AP51" s="92"/>
      <c r="AQ51" s="92"/>
      <c r="AR51" s="92"/>
      <c r="AS51" s="92"/>
      <c r="AT51" s="93"/>
      <c r="AU51" s="94"/>
      <c r="AV51" s="1979">
        <f t="shared" si="37"/>
        <v>0</v>
      </c>
      <c r="AW51" s="1979">
        <f t="shared" si="38"/>
        <v>0</v>
      </c>
      <c r="AX51" s="1979" t="str">
        <f t="shared" si="39"/>
        <v>B分界室</v>
      </c>
      <c r="AY51" s="95">
        <f t="shared" si="40"/>
        <v>12.82</v>
      </c>
      <c r="AZ51" s="87">
        <f t="shared" si="41"/>
        <v>45.3</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45.3</v>
      </c>
      <c r="BM51" s="87">
        <f t="shared" si="54"/>
        <v>0</v>
      </c>
      <c r="BN51" s="87">
        <f t="shared" si="55"/>
        <v>0</v>
      </c>
      <c r="BO51" s="87">
        <f t="shared" si="56"/>
        <v>0</v>
      </c>
      <c r="BP51" s="87">
        <f t="shared" si="57"/>
        <v>0</v>
      </c>
      <c r="BQ51" s="87">
        <f t="shared" si="58"/>
        <v>0</v>
      </c>
      <c r="BR51" s="87">
        <f t="shared" si="59"/>
        <v>45.3</v>
      </c>
      <c r="BS51" s="87">
        <f t="shared" si="60"/>
        <v>0</v>
      </c>
      <c r="BT51" s="96">
        <f t="shared" si="61"/>
        <v>0</v>
      </c>
    </row>
    <row r="52" spans="1:72">
      <c r="A52" s="84"/>
      <c r="B52" s="1393"/>
      <c r="C52" s="1394" t="s">
        <v>3023</v>
      </c>
      <c r="D52" s="3014" t="s">
        <v>1679</v>
      </c>
      <c r="E52" s="87">
        <f t="shared" si="33"/>
        <v>399.73</v>
      </c>
      <c r="F52" s="88"/>
      <c r="G52" s="89">
        <f t="shared" si="34"/>
        <v>1412.3</v>
      </c>
      <c r="H52" s="90">
        <f t="shared" si="35"/>
        <v>1042.3</v>
      </c>
      <c r="I52" s="1394"/>
      <c r="J52" s="91"/>
      <c r="K52" s="1394">
        <v>500</v>
      </c>
      <c r="L52" s="91"/>
      <c r="M52" s="91"/>
      <c r="N52" s="91"/>
      <c r="O52" s="91">
        <v>542.29999999999995</v>
      </c>
      <c r="P52" s="91"/>
      <c r="Q52" s="91"/>
      <c r="R52" s="91"/>
      <c r="S52" s="91"/>
      <c r="T52" s="91"/>
      <c r="U52" s="91"/>
      <c r="V52" s="91"/>
      <c r="W52" s="91"/>
      <c r="X52" s="91"/>
      <c r="Y52" s="91"/>
      <c r="Z52" s="91"/>
      <c r="AA52" s="91"/>
      <c r="AB52" s="91"/>
      <c r="AC52" s="87">
        <f t="shared" si="36"/>
        <v>370</v>
      </c>
      <c r="AD52" s="92">
        <v>70</v>
      </c>
      <c r="AE52" s="92"/>
      <c r="AF52" s="1394"/>
      <c r="AG52" s="92"/>
      <c r="AH52" s="92">
        <v>100</v>
      </c>
      <c r="AI52" s="92"/>
      <c r="AJ52" s="92">
        <v>200</v>
      </c>
      <c r="AK52" s="92"/>
      <c r="AL52" s="92"/>
      <c r="AM52" s="92"/>
      <c r="AN52" s="92"/>
      <c r="AO52" s="92"/>
      <c r="AP52" s="92"/>
      <c r="AQ52" s="92"/>
      <c r="AR52" s="92"/>
      <c r="AS52" s="92"/>
      <c r="AT52" s="93"/>
      <c r="AU52" s="94"/>
      <c r="AV52" s="1979">
        <f t="shared" si="37"/>
        <v>0</v>
      </c>
      <c r="AW52" s="1979">
        <f t="shared" si="38"/>
        <v>0</v>
      </c>
      <c r="AX52" s="1979" t="str">
        <f t="shared" si="39"/>
        <v>A配套</v>
      </c>
      <c r="AY52" s="95">
        <f t="shared" si="40"/>
        <v>399.73</v>
      </c>
      <c r="AZ52" s="87">
        <f t="shared" si="41"/>
        <v>1412.3</v>
      </c>
      <c r="BA52" s="87">
        <f t="shared" si="42"/>
        <v>1042.3</v>
      </c>
      <c r="BB52" s="87">
        <f t="shared" si="43"/>
        <v>0</v>
      </c>
      <c r="BC52" s="87">
        <f t="shared" si="44"/>
        <v>500</v>
      </c>
      <c r="BD52" s="87">
        <f t="shared" si="45"/>
        <v>0</v>
      </c>
      <c r="BE52" s="87">
        <f t="shared" si="46"/>
        <v>542.29999999999995</v>
      </c>
      <c r="BF52" s="87">
        <f t="shared" si="47"/>
        <v>0</v>
      </c>
      <c r="BG52" s="87">
        <f t="shared" si="48"/>
        <v>0</v>
      </c>
      <c r="BH52" s="87">
        <f t="shared" si="49"/>
        <v>0</v>
      </c>
      <c r="BI52" s="87">
        <f t="shared" si="50"/>
        <v>0</v>
      </c>
      <c r="BJ52" s="87">
        <f t="shared" si="51"/>
        <v>0</v>
      </c>
      <c r="BK52" s="87">
        <f t="shared" si="52"/>
        <v>0</v>
      </c>
      <c r="BL52" s="87">
        <f t="shared" si="53"/>
        <v>370</v>
      </c>
      <c r="BM52" s="87">
        <f t="shared" si="54"/>
        <v>70</v>
      </c>
      <c r="BN52" s="87">
        <f t="shared" si="55"/>
        <v>0</v>
      </c>
      <c r="BO52" s="87">
        <f t="shared" si="56"/>
        <v>100</v>
      </c>
      <c r="BP52" s="87">
        <f t="shared" si="57"/>
        <v>200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3477" t="s">
        <v>3024</v>
      </c>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75237.13</v>
      </c>
      <c r="E3" s="107">
        <f>'数据-基础表'!AZ5</f>
        <v>265820.24</v>
      </c>
      <c r="F3" s="1984"/>
      <c r="G3" s="280" t="s">
        <v>858</v>
      </c>
      <c r="H3" s="275" t="s">
        <v>859</v>
      </c>
      <c r="I3" s="1976">
        <f>ROUND('数据-基础表'!B3/'数据-基础表'!A3,2)</f>
        <v>3.53</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2.19</v>
      </c>
      <c r="J4" s="1984"/>
      <c r="K4" s="1984"/>
      <c r="L4" s="1984"/>
    </row>
    <row r="5" spans="1:16">
      <c r="A5" s="110" t="s">
        <v>207</v>
      </c>
      <c r="B5" s="3268" t="s">
        <v>230</v>
      </c>
      <c r="C5" s="3268"/>
      <c r="D5" s="111">
        <f>ROUND($D$3*E5/$E$3,2)</f>
        <v>49988.32</v>
      </c>
      <c r="E5" s="112">
        <f>SUMIF('数据-基础表'!$11:$11,"住宅",'数据-基础表'!$5:$5)</f>
        <v>176613.7</v>
      </c>
      <c r="F5" s="1984"/>
      <c r="G5" s="280" t="s">
        <v>861</v>
      </c>
      <c r="H5" s="275" t="s">
        <v>859</v>
      </c>
      <c r="I5" s="1976">
        <f>ROUND(E31/D31,2)</f>
        <v>3.53</v>
      </c>
      <c r="J5" s="1984"/>
      <c r="K5" s="1984"/>
      <c r="L5" s="1984"/>
    </row>
    <row r="6" spans="1:16" ht="15" thickBot="1">
      <c r="A6" s="113"/>
      <c r="B6" s="3268" t="s">
        <v>208</v>
      </c>
      <c r="C6" s="3268"/>
      <c r="D6" s="111">
        <f>ROUND($D$3*E6/$E$3,2)</f>
        <v>25248.81</v>
      </c>
      <c r="E6" s="112">
        <f>E3-E5</f>
        <v>89206.539999999979</v>
      </c>
      <c r="F6" s="1984"/>
      <c r="G6" s="1201"/>
      <c r="H6" s="275" t="s">
        <v>860</v>
      </c>
      <c r="I6" s="1976">
        <f>ROUND(F31/D31,2)</f>
        <v>2.35</v>
      </c>
      <c r="J6" s="1984"/>
      <c r="K6" s="1984"/>
      <c r="L6" s="1984"/>
    </row>
    <row r="7" spans="1:16" ht="15">
      <c r="A7" s="3260"/>
      <c r="B7" s="3261"/>
      <c r="C7" s="3262"/>
      <c r="D7" s="108" t="s">
        <v>204</v>
      </c>
      <c r="E7" s="114" t="s">
        <v>231</v>
      </c>
      <c r="F7" s="1984"/>
      <c r="G7" s="1156" t="s">
        <v>1646</v>
      </c>
      <c r="H7" s="1157"/>
      <c r="I7" s="1846"/>
      <c r="J7" s="1984"/>
      <c r="K7" s="1984"/>
      <c r="L7" s="1984"/>
    </row>
    <row r="8" spans="1:16">
      <c r="A8" s="110" t="s">
        <v>209</v>
      </c>
      <c r="B8" s="115" t="s">
        <v>210</v>
      </c>
      <c r="C8" s="111" t="s">
        <v>211</v>
      </c>
      <c r="D8" s="111">
        <f t="shared" ref="D8:D15" si="0">ROUND($D$3*E8/$E$3,2)</f>
        <v>49988.32</v>
      </c>
      <c r="E8" s="116">
        <f>SUMIF('数据-基础表'!BB10:BK10,"地上",'数据-基础表'!BB5:BK5)</f>
        <v>176613.7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1256.69</v>
      </c>
      <c r="E10" s="116">
        <f>SUMPRODUCT(('数据-基础表'!BB10:BK10="地下")*('数据-基础表'!BB11:BK11="商业")*('数据-基础表'!BB5:BK5))</f>
        <v>4440</v>
      </c>
      <c r="F10" s="1984"/>
      <c r="G10" s="1986"/>
      <c r="H10" s="1986"/>
      <c r="I10" s="1984"/>
      <c r="J10" s="1984"/>
      <c r="K10" s="1984"/>
      <c r="L10" s="1984"/>
    </row>
    <row r="11" spans="1:16">
      <c r="A11" s="117"/>
      <c r="B11" s="118"/>
      <c r="C11" s="2331" t="s">
        <v>2329</v>
      </c>
      <c r="D11" s="111">
        <f t="shared" si="0"/>
        <v>56.61</v>
      </c>
      <c r="E11" s="116">
        <f>SUMPRODUCT(('数据-基础表'!BB10:BK10="地下")*('数据-基础表'!BB11:BK11="办公")*('数据-基础表'!BB5:BK5))+'数据-基础表'!AJ5</f>
        <v>200</v>
      </c>
      <c r="F11" s="1984"/>
      <c r="G11" s="1986"/>
      <c r="H11" s="1986"/>
      <c r="I11" s="1984"/>
      <c r="J11" s="1984"/>
      <c r="K11" s="1984"/>
      <c r="L11" s="1984"/>
    </row>
    <row r="12" spans="1:16">
      <c r="A12" s="117"/>
      <c r="B12" s="118"/>
      <c r="C12" s="111" t="s">
        <v>214</v>
      </c>
      <c r="D12" s="111">
        <f t="shared" si="0"/>
        <v>1328.81</v>
      </c>
      <c r="E12" s="116">
        <f>SUMPRODUCT(('数据-基础表'!BB10:BK10="地下")*('数据-基础表'!BB11:BK11="仓储")*('数据-基础表'!BB5:BK5))</f>
        <v>4694.8100000000004</v>
      </c>
      <c r="F12" s="1984"/>
      <c r="G12" s="1986"/>
      <c r="H12" s="1986"/>
      <c r="I12" s="1984"/>
      <c r="J12" s="1984"/>
      <c r="K12" s="1984"/>
      <c r="L12" s="1984"/>
    </row>
    <row r="13" spans="1:16">
      <c r="A13" s="117"/>
      <c r="B13" s="118"/>
      <c r="C13" s="2331" t="s">
        <v>2336</v>
      </c>
      <c r="D13" s="111">
        <f t="shared" si="0"/>
        <v>12162.48</v>
      </c>
      <c r="E13" s="116">
        <f>SUMPRODUCT(('数据-基础表'!BB10:BK10="地下")*('数据-基础表'!BB11:BK11="车库")*('数据-基础表'!BB5:BK5))</f>
        <v>42971.25</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64792.91</v>
      </c>
      <c r="E16" s="120">
        <f>SUM(E8:E15)</f>
        <v>228919.76</v>
      </c>
      <c r="F16" s="1984"/>
      <c r="G16" s="1986"/>
      <c r="H16" s="968" t="s">
        <v>219</v>
      </c>
      <c r="I16" s="969"/>
      <c r="J16" s="1984"/>
      <c r="K16" s="3254" t="s">
        <v>2568</v>
      </c>
      <c r="L16" s="3255"/>
      <c r="M16" s="3255"/>
      <c r="N16" s="3255"/>
      <c r="O16" s="3255"/>
      <c r="P16" s="3256"/>
    </row>
    <row r="17" spans="1:19" ht="15">
      <c r="A17" s="121" t="s">
        <v>216</v>
      </c>
      <c r="B17" s="122" t="s">
        <v>217</v>
      </c>
      <c r="C17" s="2298" t="s">
        <v>2315</v>
      </c>
      <c r="D17" s="108" t="s">
        <v>204</v>
      </c>
      <c r="E17" s="124" t="s">
        <v>205</v>
      </c>
      <c r="F17" s="125"/>
      <c r="G17" s="1365"/>
      <c r="H17" s="970" t="s">
        <v>218</v>
      </c>
      <c r="I17" s="971" t="s">
        <v>2314</v>
      </c>
      <c r="J17" s="1984"/>
      <c r="K17" s="3257" t="s">
        <v>2569</v>
      </c>
      <c r="L17" s="3258"/>
      <c r="M17" s="3259"/>
      <c r="N17" s="3257" t="s">
        <v>2570</v>
      </c>
      <c r="O17" s="3258"/>
      <c r="P17" s="3259"/>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3" t="s">
        <v>3025</v>
      </c>
      <c r="D19" s="111">
        <f t="shared" ref="D19:D26" si="1">ROUND($D$3*E19/$E$3,2)</f>
        <v>49988.32</v>
      </c>
      <c r="E19" s="134">
        <f t="shared" ref="E19:E26" si="2">SUM(F19:G19)</f>
        <v>176613.7</v>
      </c>
      <c r="F19" s="135">
        <f>'数据-基础表'!I5</f>
        <v>176613.7</v>
      </c>
      <c r="G19" s="1367"/>
      <c r="H19" s="974">
        <f>ROUND($D$3*I19/$E$3,2)</f>
        <v>8310.6</v>
      </c>
      <c r="I19" s="116">
        <f>IF($I$17="自定义",P19,M19)</f>
        <v>29362.170000000002</v>
      </c>
      <c r="J19" s="1984"/>
      <c r="K19" s="2608">
        <f t="shared" ref="K19:K26" si="3">ROUND(E$28*E19/E$27,2)</f>
        <v>26229.02</v>
      </c>
      <c r="L19" s="275">
        <f t="shared" ref="L19:L26" si="4">ROUND(IF(COUNTIF(C19,"*住宅*")&gt;0,E$29*E19/E$32,0),2)</f>
        <v>3133.15</v>
      </c>
      <c r="M19" s="2609">
        <f>K19+L19</f>
        <v>29362.170000000002</v>
      </c>
      <c r="N19" s="2610"/>
      <c r="O19" s="2611"/>
      <c r="P19" s="2612">
        <f>N19+O19</f>
        <v>0</v>
      </c>
      <c r="R19" s="275">
        <f t="shared" ref="R19:S26" si="5">D19+H19</f>
        <v>58298.92</v>
      </c>
      <c r="S19" s="2301">
        <f t="shared" si="5"/>
        <v>205975.87000000002</v>
      </c>
    </row>
    <row r="20" spans="1:19">
      <c r="A20" s="138"/>
      <c r="B20" s="115" t="s">
        <v>226</v>
      </c>
      <c r="C20" s="3023" t="s">
        <v>3026</v>
      </c>
      <c r="D20" s="111">
        <f t="shared" si="1"/>
        <v>1256.69</v>
      </c>
      <c r="E20" s="134">
        <f t="shared" si="2"/>
        <v>4440</v>
      </c>
      <c r="F20" s="135"/>
      <c r="G20" s="1367">
        <f>'数据-基础表'!K5</f>
        <v>4440</v>
      </c>
      <c r="H20" s="974">
        <f t="shared" ref="H20:H26" si="6">ROUND($D$3*I20/$E$3,2)</f>
        <v>186.63</v>
      </c>
      <c r="I20" s="116">
        <f t="shared" ref="I20:I26" si="7">IF($I$17="自定义",P20,M20)</f>
        <v>659.39</v>
      </c>
      <c r="J20" s="1984"/>
      <c r="K20" s="2608">
        <f t="shared" si="3"/>
        <v>659.39</v>
      </c>
      <c r="L20" s="275">
        <f t="shared" si="4"/>
        <v>0</v>
      </c>
      <c r="M20" s="2609">
        <f t="shared" ref="M20:M26" si="8">K20+L20</f>
        <v>659.39</v>
      </c>
      <c r="N20" s="2610"/>
      <c r="O20" s="2611"/>
      <c r="P20" s="2612">
        <f t="shared" ref="P20:P26" si="9">N20+O20</f>
        <v>0</v>
      </c>
      <c r="R20" s="275">
        <f t="shared" si="5"/>
        <v>1443.3200000000002</v>
      </c>
      <c r="S20" s="2301">
        <f t="shared" si="5"/>
        <v>5099.3900000000003</v>
      </c>
    </row>
    <row r="21" spans="1:19">
      <c r="A21" s="138"/>
      <c r="B21" s="115" t="s">
        <v>226</v>
      </c>
      <c r="C21" s="3023" t="s">
        <v>3027</v>
      </c>
      <c r="D21" s="111">
        <f t="shared" si="1"/>
        <v>12162.48</v>
      </c>
      <c r="E21" s="134">
        <f t="shared" si="2"/>
        <v>42971.25</v>
      </c>
      <c r="F21" s="135"/>
      <c r="G21" s="1367">
        <f>'数据-基础表'!M5</f>
        <v>42971.25</v>
      </c>
      <c r="H21" s="974">
        <f t="shared" si="6"/>
        <v>1806.26</v>
      </c>
      <c r="I21" s="116">
        <f t="shared" si="7"/>
        <v>6381.69</v>
      </c>
      <c r="J21" s="1984"/>
      <c r="K21" s="2608">
        <f t="shared" si="3"/>
        <v>6381.69</v>
      </c>
      <c r="L21" s="275">
        <f t="shared" si="4"/>
        <v>0</v>
      </c>
      <c r="M21" s="2609">
        <f t="shared" si="8"/>
        <v>6381.69</v>
      </c>
      <c r="N21" s="2610"/>
      <c r="O21" s="2611"/>
      <c r="P21" s="2612">
        <f t="shared" si="9"/>
        <v>0</v>
      </c>
      <c r="R21" s="275">
        <f t="shared" si="5"/>
        <v>13968.74</v>
      </c>
      <c r="S21" s="2301">
        <f t="shared" si="5"/>
        <v>49352.94</v>
      </c>
    </row>
    <row r="22" spans="1:19">
      <c r="A22" s="138"/>
      <c r="B22" s="115" t="s">
        <v>226</v>
      </c>
      <c r="C22" s="3478" t="s">
        <v>3029</v>
      </c>
      <c r="D22" s="111">
        <f t="shared" si="1"/>
        <v>1328.81</v>
      </c>
      <c r="E22" s="134">
        <f t="shared" si="2"/>
        <v>4694.8100000000004</v>
      </c>
      <c r="F22" s="140"/>
      <c r="G22" s="1368">
        <f>'数据-基础表'!O5</f>
        <v>4694.8100000000004</v>
      </c>
      <c r="H22" s="974">
        <f t="shared" si="6"/>
        <v>197.34</v>
      </c>
      <c r="I22" s="116">
        <f t="shared" si="7"/>
        <v>697.23</v>
      </c>
      <c r="J22" s="1984"/>
      <c r="K22" s="2608">
        <f t="shared" si="3"/>
        <v>697.23</v>
      </c>
      <c r="L22" s="275">
        <f t="shared" si="4"/>
        <v>0</v>
      </c>
      <c r="M22" s="2609">
        <f t="shared" si="8"/>
        <v>697.23</v>
      </c>
      <c r="N22" s="2610"/>
      <c r="O22" s="2611"/>
      <c r="P22" s="2612">
        <f t="shared" si="9"/>
        <v>0</v>
      </c>
      <c r="R22" s="275">
        <f t="shared" si="5"/>
        <v>1526.1499999999999</v>
      </c>
      <c r="S22" s="2301">
        <f t="shared" si="5"/>
        <v>5392.0400000000009</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64736.3</v>
      </c>
      <c r="E27" s="143">
        <f>IF(SUM(E19:E26)='数据-基础表'!BA5,SUM(E19:E26),IF(F27="地上面积有误","面积有误","地下面积有误"))</f>
        <v>228719.76</v>
      </c>
      <c r="F27" s="134">
        <f>IF(SUM(F19:F26)=E8,SUM(F19:F26),"地上面积有误")</f>
        <v>176613.7</v>
      </c>
      <c r="G27" s="112">
        <f>SUM(G19:G26)</f>
        <v>52106.06</v>
      </c>
      <c r="H27" s="975">
        <f>SUM(H19:H26)</f>
        <v>10500.83</v>
      </c>
      <c r="I27" s="976">
        <f>SUM(I19:I26)</f>
        <v>37100.480000000003</v>
      </c>
      <c r="J27" s="1984"/>
      <c r="K27" s="2617">
        <f>SUM(K19:K26)</f>
        <v>33967.33</v>
      </c>
      <c r="L27" s="2618">
        <f>SUM(L19:L26)</f>
        <v>3133.15</v>
      </c>
      <c r="M27" s="2619">
        <f>SUM(M19:M26)</f>
        <v>37100.480000000003</v>
      </c>
      <c r="N27" s="2617">
        <f t="shared" ref="N27:O27" si="10">SUM(N19:N26)</f>
        <v>0</v>
      </c>
      <c r="O27" s="2618">
        <f t="shared" si="10"/>
        <v>0</v>
      </c>
      <c r="P27" s="2620">
        <f>SUM(P19:P26)</f>
        <v>0</v>
      </c>
      <c r="R27" s="2305">
        <f>IF(SUM(R19:R26)=$D$3,SUM(R19:R26),SUM(R19:R26)&amp;"误差"&amp;ROUND(SUM(R19:R26)-$D$3,2))</f>
        <v>75237.12999999999</v>
      </c>
      <c r="S27" s="275">
        <f>IF(SUM(S19:S26)=$E$3,SUM(S19:S26),SUM(S19:S26)&amp;"误差"&amp;ROUND(SUM(S19:S26)-E3,2))</f>
        <v>265820.24000000005</v>
      </c>
    </row>
    <row r="28" spans="1:19">
      <c r="A28" s="138"/>
      <c r="B28" s="115" t="s">
        <v>227</v>
      </c>
      <c r="C28" s="136" t="s">
        <v>228</v>
      </c>
      <c r="D28" s="111">
        <f>ROUND($D$3*E28/$E$3,2)</f>
        <v>9614.0300000000007</v>
      </c>
      <c r="E28" s="134">
        <f>SUM(F28:G28)</f>
        <v>33967.33</v>
      </c>
      <c r="F28" s="144">
        <f>'数据-基础表'!BQ5+'数据-基础表'!BS5</f>
        <v>0</v>
      </c>
      <c r="G28" s="145">
        <f>'数据-基础表'!BR5+'数据-基础表'!BT5</f>
        <v>33967.33</v>
      </c>
      <c r="H28" s="1984"/>
      <c r="I28" s="1984"/>
      <c r="J28" s="1984"/>
      <c r="K28" s="1984"/>
      <c r="L28" s="1984"/>
    </row>
    <row r="29" spans="1:19">
      <c r="A29" s="138"/>
      <c r="B29" s="115" t="s">
        <v>227</v>
      </c>
      <c r="C29" s="2313" t="s">
        <v>2322</v>
      </c>
      <c r="D29" s="111">
        <f>ROUND($D$3*E29/$E$3,2)</f>
        <v>886.8</v>
      </c>
      <c r="E29" s="134">
        <f>SUM(F29:G29)</f>
        <v>3133.15</v>
      </c>
      <c r="F29" s="144">
        <f>'数据-基础表'!BM5+'数据-基础表'!BO5</f>
        <v>485.15</v>
      </c>
      <c r="G29" s="146">
        <f>'数据-基础表'!BN5+'数据-基础表'!BP5</f>
        <v>2648</v>
      </c>
      <c r="H29" s="1984"/>
      <c r="I29" s="1984"/>
      <c r="J29" s="1984"/>
      <c r="K29" s="1984"/>
      <c r="L29" s="1984"/>
    </row>
    <row r="30" spans="1:19">
      <c r="A30" s="138"/>
      <c r="B30" s="111"/>
      <c r="C30" s="147" t="s">
        <v>215</v>
      </c>
      <c r="D30" s="134">
        <f>SUM(D28:D29)</f>
        <v>10500.83</v>
      </c>
      <c r="E30" s="134">
        <f>SUM(E28:E29)</f>
        <v>37100.480000000003</v>
      </c>
      <c r="F30" s="134">
        <f>SUM(F28:F29)</f>
        <v>485.15</v>
      </c>
      <c r="G30" s="112">
        <f>SUM(G28:G29)</f>
        <v>36615.33</v>
      </c>
      <c r="H30" s="1984"/>
      <c r="I30" s="1984"/>
      <c r="J30" s="1984"/>
      <c r="K30" s="1984"/>
      <c r="L30" s="1984"/>
    </row>
    <row r="31" spans="1:19" ht="32.25" customHeight="1" thickBot="1">
      <c r="A31" s="1369"/>
      <c r="B31" s="1370" t="s">
        <v>229</v>
      </c>
      <c r="C31" s="2330" t="s">
        <v>2324</v>
      </c>
      <c r="D31" s="1371">
        <f>D27+D30</f>
        <v>75237.13</v>
      </c>
      <c r="E31" s="1371">
        <f>E27+E30</f>
        <v>265820.24</v>
      </c>
      <c r="F31" s="1372">
        <f>F27+F30</f>
        <v>177098.85</v>
      </c>
      <c r="G31" s="1373">
        <f>G27+G30</f>
        <v>88721.39</v>
      </c>
      <c r="H31" s="1984"/>
      <c r="I31" s="1984"/>
      <c r="J31" s="1984"/>
      <c r="K31" s="1984"/>
      <c r="L31" s="1984"/>
    </row>
    <row r="32" spans="1:19">
      <c r="A32" s="1984"/>
      <c r="B32" s="2363" t="s">
        <v>2323</v>
      </c>
      <c r="C32" s="2647"/>
      <c r="D32" s="1201"/>
      <c r="E32" s="1201">
        <f>SUMIF(C19:C26,"*住宅*",E19:E26)</f>
        <v>176613.7</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O6" sqref="AO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43347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68443</v>
      </c>
      <c r="F6" s="174">
        <f>SUMIF(项目基本情况!D$15:I$15,C6,项目基本情况!D$19:I$19)</f>
        <v>68.75</v>
      </c>
      <c r="G6" s="175">
        <f>IF(ISERROR(ROUND(POWER(1+H6,D6-F6)*(POWER(1+H6,F6)-1)/(POWER(1+H6,D6)-1),3)),0,ROUND(POWER(1+H6,D6-F6)*(POWER(1+H6,F6)-1)/(POWER(1+H6,D6)-1),3))</f>
        <v>0.997</v>
      </c>
      <c r="H6" s="3024">
        <v>0.04</v>
      </c>
      <c r="I6" s="3024">
        <v>4.4999999999999998E-2</v>
      </c>
      <c r="J6" s="176"/>
      <c r="K6" s="179">
        <f>SUMIF('数据-汇总表'!C$19:C$33,'数据-取费表'!A6,'数据-汇总表'!E$19:E$33)</f>
        <v>176613.7</v>
      </c>
      <c r="L6" s="3025">
        <v>2500</v>
      </c>
      <c r="M6" s="177">
        <f t="shared" ref="M6:M14" si="0">ROUND(K6*L6/10000,0)</f>
        <v>44153</v>
      </c>
      <c r="N6" s="3026">
        <v>0</v>
      </c>
      <c r="O6" s="177">
        <f>IF($N$5="成新度","——",ROUND(M6*N6,0))</f>
        <v>0</v>
      </c>
      <c r="P6" s="178">
        <f>IF($N$5="成新度","——",M6-O6)</f>
        <v>44153</v>
      </c>
      <c r="Q6" s="3027">
        <v>0.05</v>
      </c>
      <c r="R6" s="179">
        <f>SUMIF('数据-汇总表'!C$19:C$33,A6,'数据-汇总表'!R$19:R$33)</f>
        <v>58298.92</v>
      </c>
      <c r="S6" s="132">
        <f>IF('数据-汇总表'!$I$17="按面积比例",SUMIF('数据-汇总表'!C$19:C$33,A6,'数据-汇总表'!K$19:K$33),SUMIF('数据-汇总表'!C$19:C$33,A6,'数据-汇总表'!N$19:N$33))</f>
        <v>26229.02</v>
      </c>
      <c r="T6" s="2234">
        <f>IF($T$4="按面积比例",IF(ISERROR(ROUND($M$14*S6/S$16,0)),"0",ROUND($M$14*S6/S$16,0)),"需自行计算录入")</f>
        <v>6557</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8"/>
      <c r="AN6" s="2392"/>
      <c r="AO6" s="2000"/>
      <c r="AP6" s="1204">
        <f>ROUND(1-1/(1+H6)^F6,3)</f>
        <v>0.93300000000000005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57486</v>
      </c>
      <c r="F7" s="174">
        <f>SUMIF(项目基本情况!D$15:I$15,C7,项目基本情况!D$19:I$19)</f>
        <v>38.729999999999997</v>
      </c>
      <c r="G7" s="175">
        <f t="shared" ref="G7:G11" si="2">IF(ISERROR(ROUND(POWER(1+H7,D7-F7)*(POWER(1+H7,F7)-1)/(POWER(1+H7,D7)-1),3)),0,ROUND(POWER(1+H7,D7-F7)*(POWER(1+H7,F7)-1)/(POWER(1+H7,D7)-1),3))</f>
        <v>0.98899999999999999</v>
      </c>
      <c r="H7" s="3024">
        <v>0.05</v>
      </c>
      <c r="I7" s="3024">
        <v>5.5E-2</v>
      </c>
      <c r="J7" s="176"/>
      <c r="K7" s="179">
        <f>SUMIF('数据-汇总表'!C$19:C$33,'数据-取费表'!A7,'数据-汇总表'!E$19:E$33)</f>
        <v>4440</v>
      </c>
      <c r="L7" s="3025">
        <f>L6</f>
        <v>2500</v>
      </c>
      <c r="M7" s="177">
        <f t="shared" si="0"/>
        <v>1110</v>
      </c>
      <c r="N7" s="3026">
        <f>N6</f>
        <v>0</v>
      </c>
      <c r="O7" s="177">
        <f t="shared" ref="O7:O14" si="3">IF($N$5="成新度","——",ROUND(M7*N7,0))</f>
        <v>0</v>
      </c>
      <c r="P7" s="178">
        <f t="shared" ref="P7:P14" si="4">IF($N$5="成新度","——",M7-O7)</f>
        <v>1110</v>
      </c>
      <c r="Q7" s="3027">
        <v>0.05</v>
      </c>
      <c r="R7" s="179">
        <f>SUMIF('数据-汇总表'!C$19:C$33,A7,'数据-汇总表'!R$19:R$33)</f>
        <v>1443.3200000000002</v>
      </c>
      <c r="S7" s="132">
        <f>IF('数据-汇总表'!$I$17="按面积比例",SUMIF('数据-汇总表'!C$19:C$33,A7,'数据-汇总表'!K$19:K$33),SUMIF('数据-汇总表'!C$19:C$33,A7,'数据-汇总表'!N$19:N$33))</f>
        <v>659.39</v>
      </c>
      <c r="T7" s="2234">
        <f t="shared" ref="T7:T13" si="5">IF($T$4="按面积比例",IF(ISERROR(ROUND($M$14*S7/S$16,0)),"0",ROUND($M$14*S7/S$16,0)),"需自行计算录入")</f>
        <v>165</v>
      </c>
      <c r="U7" s="180">
        <v>1.5</v>
      </c>
      <c r="V7" s="181">
        <v>0.02</v>
      </c>
      <c r="W7" s="181">
        <v>0.1</v>
      </c>
      <c r="X7" s="2321"/>
      <c r="Y7" s="182">
        <v>1</v>
      </c>
      <c r="Z7" s="183"/>
      <c r="AA7" s="176"/>
      <c r="AB7" s="176"/>
      <c r="AC7" s="2324"/>
      <c r="AD7" s="184"/>
      <c r="AE7" s="972">
        <f t="shared" ref="AE7:AE13" ca="1" si="6">IF(AN7="",0,SUMIF(INDIRECT("'"&amp;AN7&amp;"'"&amp;"!E:E"),$AE$5,INDIRECT("'"&amp;AN7&amp;"'"&amp;"!F:F")))</f>
        <v>36.729999999999997</v>
      </c>
      <c r="AF7" s="141"/>
      <c r="AG7" s="1213">
        <f t="shared" ref="AG7:AG13" si="7">IF(AF7="",0,AE7-AF7)</f>
        <v>0</v>
      </c>
      <c r="AH7" s="141"/>
      <c r="AI7" s="187">
        <v>365</v>
      </c>
      <c r="AJ7" s="188"/>
      <c r="AK7" s="189">
        <v>1.4999999999999999E-2</v>
      </c>
      <c r="AL7" s="190">
        <v>1.5E-3</v>
      </c>
      <c r="AM7" s="2390">
        <v>0.01</v>
      </c>
      <c r="AN7" s="2392" t="s">
        <v>3298</v>
      </c>
      <c r="AO7" s="2000"/>
      <c r="AP7" s="1204">
        <f t="shared" ref="AP7:AP13" si="8">ROUND(1-1/(1+H7)^F7,3)</f>
        <v>0.84899999999999998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3008</v>
      </c>
      <c r="D8" s="2308">
        <f>SUMIF(项目基本情况!D$15:I$15,C8,项目基本情况!D$18:I$18)</f>
        <v>50</v>
      </c>
      <c r="E8" s="2309">
        <f>IF(B8="","",SUMIF(项目基本情况!D$15:I$15,C8,项目基本情况!D$17:I$17))</f>
        <v>61138</v>
      </c>
      <c r="F8" s="174">
        <f>SUMIF(项目基本情况!D$15:I$15,C8,项目基本情况!D$19:I$19)</f>
        <v>48.74</v>
      </c>
      <c r="G8" s="175">
        <f t="shared" si="2"/>
        <v>0.99299999999999999</v>
      </c>
      <c r="H8" s="3024">
        <v>4.4999999999999998E-2</v>
      </c>
      <c r="I8" s="3024">
        <v>0.05</v>
      </c>
      <c r="J8" s="176"/>
      <c r="K8" s="179">
        <f>SUMIF('数据-汇总表'!C$19:C$33,'数据-取费表'!A8,'数据-汇总表'!E$19:E$33)</f>
        <v>42971.25</v>
      </c>
      <c r="L8" s="3025">
        <f>L6</f>
        <v>2500</v>
      </c>
      <c r="M8" s="177">
        <f>ROUND(K8*L8/10000,0)</f>
        <v>10743</v>
      </c>
      <c r="N8" s="3026">
        <f>N6</f>
        <v>0</v>
      </c>
      <c r="O8" s="177">
        <f t="shared" si="3"/>
        <v>0</v>
      </c>
      <c r="P8" s="178">
        <f t="shared" si="4"/>
        <v>10743</v>
      </c>
      <c r="Q8" s="3027">
        <v>0.05</v>
      </c>
      <c r="R8" s="179">
        <f>SUMIF('数据-汇总表'!C$19:C$33,A8,'数据-汇总表'!R$19:R$33)</f>
        <v>13968.74</v>
      </c>
      <c r="S8" s="132">
        <f>IF('数据-汇总表'!$I$17="按面积比例",SUMIF('数据-汇总表'!C$19:C$33,A8,'数据-汇总表'!K$19:K$33),SUMIF('数据-汇总表'!C$19:C$33,A8,'数据-汇总表'!N$19:N$33))</f>
        <v>6381.69</v>
      </c>
      <c r="T8" s="2234">
        <f t="shared" si="5"/>
        <v>1595</v>
      </c>
      <c r="U8" s="180">
        <v>600</v>
      </c>
      <c r="V8" s="181">
        <f>V7</f>
        <v>0.02</v>
      </c>
      <c r="W8" s="181">
        <f>W7</f>
        <v>0.1</v>
      </c>
      <c r="X8" s="2321"/>
      <c r="Y8" s="182">
        <f>Y7</f>
        <v>1</v>
      </c>
      <c r="Z8" s="183"/>
      <c r="AA8" s="176"/>
      <c r="AB8" s="176"/>
      <c r="AC8" s="2324"/>
      <c r="AD8" s="184"/>
      <c r="AE8" s="972">
        <f t="shared" ca="1" si="6"/>
        <v>46.74</v>
      </c>
      <c r="AF8" s="141"/>
      <c r="AG8" s="1213">
        <f t="shared" si="7"/>
        <v>0</v>
      </c>
      <c r="AH8" s="141">
        <v>1227</v>
      </c>
      <c r="AI8" s="187">
        <v>12</v>
      </c>
      <c r="AJ8" s="188"/>
      <c r="AK8" s="189">
        <f>AK7</f>
        <v>1.4999999999999999E-2</v>
      </c>
      <c r="AL8" s="190">
        <f>AL7</f>
        <v>1.5E-3</v>
      </c>
      <c r="AM8" s="2390">
        <f>AM7</f>
        <v>0.01</v>
      </c>
      <c r="AN8" s="2392" t="s">
        <v>3300</v>
      </c>
      <c r="AO8" s="2000"/>
      <c r="AP8" s="1204">
        <f t="shared" si="8"/>
        <v>0.88300000000000001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库房</v>
      </c>
      <c r="B9" s="2337" t="str">
        <f t="shared" si="1"/>
        <v>经营性</v>
      </c>
      <c r="C9" s="173" t="s">
        <v>3010</v>
      </c>
      <c r="D9" s="2308">
        <f>SUMIF(项目基本情况!D$15:I$15,C9,项目基本情况!D$18:I$18)</f>
        <v>50</v>
      </c>
      <c r="E9" s="2309">
        <f>IF(B9="","",SUMIF(项目基本情况!D$15:I$15,C9,项目基本情况!D$17:I$17))</f>
        <v>61138</v>
      </c>
      <c r="F9" s="174">
        <f>SUMIF(项目基本情况!D$15:I$15,C9,项目基本情况!D$19:I$19)</f>
        <v>48.74</v>
      </c>
      <c r="G9" s="175">
        <f t="shared" si="2"/>
        <v>0.99299999999999999</v>
      </c>
      <c r="H9" s="176">
        <v>4.4999999999999998E-2</v>
      </c>
      <c r="I9" s="176">
        <v>0.05</v>
      </c>
      <c r="J9" s="176"/>
      <c r="K9" s="179">
        <f>SUMIF('数据-汇总表'!C$19:C$33,'数据-取费表'!A9,'数据-汇总表'!E$19:E$33)</f>
        <v>4694.8100000000004</v>
      </c>
      <c r="L9" s="193">
        <f>L6</f>
        <v>2500</v>
      </c>
      <c r="M9" s="177">
        <f t="shared" si="0"/>
        <v>1174</v>
      </c>
      <c r="N9" s="194">
        <f>N6</f>
        <v>0</v>
      </c>
      <c r="O9" s="177">
        <f t="shared" si="3"/>
        <v>0</v>
      </c>
      <c r="P9" s="178">
        <f t="shared" si="4"/>
        <v>1174</v>
      </c>
      <c r="Q9" s="192">
        <v>0.05</v>
      </c>
      <c r="R9" s="179">
        <f>SUMIF('数据-汇总表'!C$19:C$33,A9,'数据-汇总表'!R$19:R$33)</f>
        <v>1526.1499999999999</v>
      </c>
      <c r="S9" s="132">
        <f>IF('数据-汇总表'!$I$17="按面积比例",SUMIF('数据-汇总表'!C$19:C$33,A9,'数据-汇总表'!K$19:K$33),SUMIF('数据-汇总表'!C$19:C$33,A9,'数据-汇总表'!N$19:N$33))</f>
        <v>697.23</v>
      </c>
      <c r="T9" s="2234">
        <f t="shared" si="5"/>
        <v>174</v>
      </c>
      <c r="U9" s="180">
        <v>1</v>
      </c>
      <c r="V9" s="181">
        <f>V7</f>
        <v>0.02</v>
      </c>
      <c r="W9" s="181">
        <f>W7</f>
        <v>0.1</v>
      </c>
      <c r="X9" s="2321"/>
      <c r="Y9" s="182">
        <f>Y7</f>
        <v>1</v>
      </c>
      <c r="Z9" s="183"/>
      <c r="AA9" s="176"/>
      <c r="AB9" s="176"/>
      <c r="AC9" s="2324"/>
      <c r="AD9" s="184"/>
      <c r="AE9" s="972">
        <f t="shared" ca="1" si="6"/>
        <v>46.74</v>
      </c>
      <c r="AF9" s="141"/>
      <c r="AG9" s="1213">
        <f t="shared" si="7"/>
        <v>0</v>
      </c>
      <c r="AH9" s="141"/>
      <c r="AI9" s="187">
        <v>365</v>
      </c>
      <c r="AJ9" s="188"/>
      <c r="AK9" s="189">
        <f>AK7</f>
        <v>1.4999999999999999E-2</v>
      </c>
      <c r="AL9" s="190">
        <f>AL7</f>
        <v>1.5E-3</v>
      </c>
      <c r="AM9" s="2390">
        <f>AM7</f>
        <v>0.01</v>
      </c>
      <c r="AN9" s="2392" t="s">
        <v>3302</v>
      </c>
      <c r="AO9" s="2000"/>
      <c r="AP9" s="1204">
        <f t="shared" si="8"/>
        <v>0.88300000000000001</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1680</v>
      </c>
      <c r="C14" s="2307" t="s">
        <v>2316</v>
      </c>
      <c r="D14" s="2308"/>
      <c r="E14" s="2309"/>
      <c r="F14" s="174"/>
      <c r="G14" s="175"/>
      <c r="H14" s="2310"/>
      <c r="I14" s="2310"/>
      <c r="J14" s="2310"/>
      <c r="K14" s="179">
        <f>SUMIF('数据-汇总表'!C$19:C$33,'数据-取费表'!A14,'数据-汇总表'!E$19:E$33)</f>
        <v>33967.33</v>
      </c>
      <c r="L14" s="193">
        <f>L6</f>
        <v>2500</v>
      </c>
      <c r="M14" s="177">
        <f t="shared" si="0"/>
        <v>8492</v>
      </c>
      <c r="N14" s="194">
        <f>N6</f>
        <v>0</v>
      </c>
      <c r="O14" s="177">
        <f t="shared" si="3"/>
        <v>0</v>
      </c>
      <c r="P14" s="178">
        <f t="shared" si="4"/>
        <v>8492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1680</v>
      </c>
      <c r="C15" s="2307" t="s">
        <v>2317</v>
      </c>
      <c r="D15" s="2308"/>
      <c r="E15" s="2309"/>
      <c r="F15" s="174"/>
      <c r="G15" s="175"/>
      <c r="H15" s="2310"/>
      <c r="I15" s="2310"/>
      <c r="J15" s="2310"/>
      <c r="K15" s="179">
        <f>SUMIF('数据-汇总表'!C$19:C$33,'数据-取费表'!A15,'数据-汇总表'!E$19:E$33)</f>
        <v>3133.15</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4.1000000000000002E-2</v>
      </c>
      <c r="I16" s="204"/>
      <c r="J16" s="204"/>
      <c r="K16" s="205">
        <f>SUM(K6:K15)</f>
        <v>265820.24000000005</v>
      </c>
      <c r="L16" s="206">
        <f>ROUND(M16*10000/SUM(K6:K14),0)</f>
        <v>2500</v>
      </c>
      <c r="M16" s="206">
        <f>SUM(M6:M14)</f>
        <v>65672</v>
      </c>
      <c r="N16" s="207">
        <f>ROUND(SUMPRODUCT(M6:M14,N6:N14)/M16,3)</f>
        <v>0</v>
      </c>
      <c r="O16" s="206">
        <f>SUM(O6:O14)</f>
        <v>0</v>
      </c>
      <c r="P16" s="206">
        <f>SUM(P6:P14)</f>
        <v>65672</v>
      </c>
      <c r="Q16" s="208">
        <f>ROUND(SUMPRODUCT(Q6:Q13,K6:K13)/SUMPRODUCT((Q6:Q13&gt;0)*(K6:K13)),2)</f>
        <v>0.05</v>
      </c>
      <c r="R16" s="2311">
        <f>SUM(R6:R13)</f>
        <v>75237.12999999999</v>
      </c>
      <c r="S16" s="209">
        <f>SUM(S6:S13)</f>
        <v>33967.33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0.92100000000000004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3"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4"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5" t="s">
        <v>2906</v>
      </c>
      <c r="D53" s="3076"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2908</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2909</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2910</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2911</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2912</v>
      </c>
      <c r="B58" s="186"/>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2913</v>
      </c>
      <c r="B59" s="186">
        <v>1.5</v>
      </c>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479" t="s">
        <v>3031</v>
      </c>
      <c r="D3" s="2009"/>
      <c r="E3" s="1229" t="s">
        <v>1667</v>
      </c>
      <c r="F3" s="1230" t="s">
        <v>1655</v>
      </c>
      <c r="G3" s="3083" t="s">
        <v>2922</v>
      </c>
      <c r="H3" s="2008"/>
      <c r="I3" s="2008"/>
      <c r="J3" s="2008"/>
      <c r="K3" s="2008"/>
      <c r="L3" s="2008"/>
      <c r="M3" s="2008"/>
      <c r="N3" s="2008"/>
      <c r="O3" s="2008"/>
      <c r="P3" s="2008"/>
      <c r="Q3" s="2008"/>
      <c r="R3" s="2008"/>
    </row>
    <row r="4" spans="1:18" ht="40.5">
      <c r="A4" s="1229"/>
      <c r="B4" s="1231" t="s">
        <v>1668</v>
      </c>
      <c r="C4" s="3480" t="s">
        <v>3033</v>
      </c>
      <c r="D4" s="2009"/>
      <c r="E4" s="1232"/>
      <c r="F4" s="1233" t="s">
        <v>1669</v>
      </c>
      <c r="G4" s="3081" t="s">
        <v>2919</v>
      </c>
      <c r="H4" s="2008"/>
      <c r="I4" s="2008"/>
      <c r="J4" s="2008"/>
      <c r="K4" s="2008"/>
      <c r="L4" s="2008"/>
      <c r="M4" s="2008"/>
      <c r="N4" s="2008"/>
      <c r="O4" s="2008"/>
      <c r="P4" s="2008"/>
      <c r="Q4" s="2008"/>
      <c r="R4" s="2008"/>
    </row>
    <row r="5" spans="1:18" ht="27">
      <c r="A5" s="1229"/>
      <c r="B5" s="1231" t="s">
        <v>1670</v>
      </c>
      <c r="C5" s="3080"/>
      <c r="D5" s="2009"/>
      <c r="E5" s="1232"/>
      <c r="F5" s="1231" t="s">
        <v>2548</v>
      </c>
      <c r="G5" s="3081" t="s">
        <v>2920</v>
      </c>
      <c r="H5" s="2008"/>
      <c r="I5" s="2008"/>
      <c r="J5" s="2008"/>
      <c r="K5" s="2008"/>
      <c r="L5" s="2008"/>
      <c r="M5" s="2008"/>
      <c r="N5" s="2008"/>
      <c r="O5" s="2008"/>
      <c r="P5" s="2008"/>
      <c r="Q5" s="2008"/>
      <c r="R5" s="2008"/>
    </row>
    <row r="6" spans="1:18" ht="27">
      <c r="A6" s="1229"/>
      <c r="B6" s="1231" t="s">
        <v>1656</v>
      </c>
      <c r="C6" s="3481" t="s">
        <v>3033</v>
      </c>
      <c r="D6" s="2009"/>
      <c r="E6" s="1232"/>
      <c r="F6" s="1231" t="s">
        <v>2549</v>
      </c>
      <c r="G6" s="3081" t="s">
        <v>2918</v>
      </c>
      <c r="H6" s="2008"/>
      <c r="I6" s="2008"/>
      <c r="J6" s="2008"/>
      <c r="K6" s="2008"/>
      <c r="L6" s="2008"/>
      <c r="M6" s="2008"/>
      <c r="N6" s="2008"/>
      <c r="O6" s="2008"/>
      <c r="P6" s="2008"/>
      <c r="Q6" s="2008"/>
      <c r="R6" s="2008"/>
    </row>
    <row r="7" spans="1:18" ht="41.25" thickBot="1">
      <c r="A7" s="1229"/>
      <c r="B7" s="1231" t="s">
        <v>2548</v>
      </c>
      <c r="C7" s="3481" t="s">
        <v>3033</v>
      </c>
      <c r="D7" s="2010"/>
      <c r="E7" s="1234"/>
      <c r="F7" s="1235" t="s">
        <v>1671</v>
      </c>
      <c r="G7" s="3084" t="s">
        <v>2921</v>
      </c>
      <c r="H7" s="2008"/>
      <c r="I7" s="2008"/>
      <c r="J7" s="2008"/>
      <c r="K7" s="2008"/>
      <c r="L7" s="2008"/>
      <c r="M7" s="2008"/>
      <c r="N7" s="2008"/>
      <c r="O7" s="2008"/>
      <c r="P7" s="2008"/>
      <c r="Q7" s="2008"/>
      <c r="R7" s="2008"/>
    </row>
    <row r="8" spans="1:18">
      <c r="A8" s="1229"/>
      <c r="B8" s="1231" t="s">
        <v>2549</v>
      </c>
      <c r="C8" s="3481" t="s">
        <v>3035</v>
      </c>
      <c r="D8" s="2010"/>
      <c r="E8" s="2010"/>
      <c r="F8" s="1553"/>
      <c r="G8" s="1553"/>
      <c r="H8" s="2008"/>
      <c r="I8" s="2008"/>
      <c r="J8" s="2008"/>
      <c r="K8" s="2008"/>
      <c r="L8" s="2008"/>
      <c r="M8" s="2008"/>
      <c r="N8" s="2008"/>
      <c r="O8" s="2008"/>
      <c r="P8" s="2008"/>
      <c r="Q8" s="2008"/>
      <c r="R8" s="2008"/>
    </row>
    <row r="9" spans="1:18">
      <c r="A9" s="1229"/>
      <c r="B9" s="1231" t="s">
        <v>1657</v>
      </c>
      <c r="C9" s="3480" t="s">
        <v>3036</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2"/>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较好</v>
      </c>
      <c r="D15" s="2009"/>
      <c r="E15" s="2585" t="s">
        <v>1659</v>
      </c>
      <c r="F15" s="1242" t="s">
        <v>1674</v>
      </c>
      <c r="G15" s="1244" t="str">
        <f>G3</f>
        <v>估价对象位于XX开发区，园区建设成熟度XX，产业集聚程度XX</v>
      </c>
    </row>
    <row r="16" spans="1:18" ht="40.5">
      <c r="A16" s="2589"/>
      <c r="B16" s="1245" t="s">
        <v>1668</v>
      </c>
      <c r="C16" s="1246" t="str">
        <f>C4</f>
        <v>一般</v>
      </c>
      <c r="D16" s="2009"/>
      <c r="E16" s="2586"/>
      <c r="F16" s="1247" t="s">
        <v>1669</v>
      </c>
      <c r="G16" s="1005" t="str">
        <f>G4</f>
        <v>估价对象周边道路状况、公共交通通达情况、停车便捷程度，综合评价交通便捷度较好</v>
      </c>
    </row>
    <row r="17" spans="1:7" ht="40.5">
      <c r="A17" s="2589"/>
      <c r="B17" s="1245" t="s">
        <v>1670</v>
      </c>
      <c r="C17" s="1246">
        <f>C5</f>
        <v>0</v>
      </c>
      <c r="D17" s="2010"/>
      <c r="E17" s="2586"/>
      <c r="F17" s="1247" t="s">
        <v>1675</v>
      </c>
      <c r="G17" s="2794"/>
    </row>
    <row r="18" spans="1:7" ht="54">
      <c r="A18" s="2589"/>
      <c r="B18" s="1247" t="s">
        <v>1656</v>
      </c>
      <c r="C18" s="1005" t="str">
        <f>C6</f>
        <v>一般</v>
      </c>
      <c r="D18" s="2010"/>
      <c r="E18" s="2586"/>
      <c r="F18" s="1247" t="s">
        <v>1671</v>
      </c>
      <c r="G18" s="1005" t="str">
        <f>G7</f>
        <v>该园区内是否有污染型企业，绿化情况，卫生条件，整体环境状况判断</v>
      </c>
    </row>
    <row r="19" spans="1:7" ht="27">
      <c r="A19" s="2589"/>
      <c r="B19" s="1247" t="s">
        <v>1660</v>
      </c>
      <c r="C19" s="3482" t="s">
        <v>3037</v>
      </c>
      <c r="D19" s="2009"/>
      <c r="E19" s="2586"/>
      <c r="F19" s="1231" t="s">
        <v>2548</v>
      </c>
      <c r="G19" s="1005" t="str">
        <f>G5</f>
        <v>估价对象所在区域公共配套设施齐备情况</v>
      </c>
    </row>
    <row r="20" spans="1:7" ht="40.5">
      <c r="A20" s="2589"/>
      <c r="B20" s="1247" t="s">
        <v>1661</v>
      </c>
      <c r="C20" s="1246" t="str">
        <f>C9</f>
        <v>较好</v>
      </c>
      <c r="D20" s="2010"/>
      <c r="E20" s="2586"/>
      <c r="F20" s="1231" t="s">
        <v>2549</v>
      </c>
      <c r="G20" s="1005" t="str">
        <f>G6</f>
        <v>估价对象所在区域基础设施水平</v>
      </c>
    </row>
    <row r="21" spans="1:7" ht="27">
      <c r="A21" s="2589"/>
      <c r="B21" s="1231" t="s">
        <v>2548</v>
      </c>
      <c r="C21" s="1005" t="str">
        <f>C7</f>
        <v>一般</v>
      </c>
      <c r="D21" s="2009"/>
      <c r="E21" s="2586"/>
      <c r="F21" s="1247" t="s">
        <v>1662</v>
      </c>
      <c r="G21" s="3085"/>
    </row>
    <row r="22" spans="1:7" ht="27">
      <c r="A22" s="2589"/>
      <c r="B22" s="1231" t="s">
        <v>2549</v>
      </c>
      <c r="C22" s="1005" t="str">
        <f>C8</f>
        <v>七通</v>
      </c>
      <c r="D22" s="2009"/>
      <c r="E22" s="2586"/>
      <c r="F22" s="1247" t="s">
        <v>1672</v>
      </c>
      <c r="G22" s="2794"/>
    </row>
    <row r="23" spans="1:7" ht="15" thickBot="1">
      <c r="A23" s="2589"/>
      <c r="B23" s="1247" t="s">
        <v>1662</v>
      </c>
      <c r="C23" s="3085"/>
      <c r="E23" s="2587"/>
      <c r="F23" s="1248" t="s">
        <v>1676</v>
      </c>
      <c r="G23" s="3086"/>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2846</v>
      </c>
      <c r="B1" s="3044">
        <f>SUM(B14:B23)</f>
        <v>265820.24</v>
      </c>
      <c r="C1" s="3045"/>
      <c r="D1" s="3045"/>
      <c r="E1" s="3045"/>
      <c r="F1" s="3045"/>
    </row>
    <row r="2" spans="1:9" ht="16.5">
      <c r="A2" s="3044" t="s">
        <v>2847</v>
      </c>
      <c r="B2" s="3044">
        <f>SUM(C14:C23)</f>
        <v>75237.13</v>
      </c>
      <c r="C2" s="3045"/>
      <c r="D2" s="3045"/>
      <c r="E2" s="3045"/>
      <c r="F2" s="3045"/>
    </row>
    <row r="3" spans="1:9" ht="16.5">
      <c r="A3" s="3044" t="s">
        <v>2848</v>
      </c>
      <c r="B3" s="3046">
        <f>项目基本情况!D3</f>
        <v>43347</v>
      </c>
      <c r="C3" s="3045"/>
      <c r="D3" s="3045"/>
      <c r="E3" s="3045"/>
      <c r="F3" s="3045"/>
    </row>
    <row r="4" spans="1:9" ht="33">
      <c r="A4" s="3044" t="s">
        <v>2849</v>
      </c>
      <c r="B4" s="3044" t="s">
        <v>2850</v>
      </c>
      <c r="C4" s="3044" t="s">
        <v>2851</v>
      </c>
      <c r="D4" s="3044" t="s">
        <v>2852</v>
      </c>
      <c r="E4" s="3045"/>
      <c r="F4" s="3045"/>
    </row>
    <row r="5" spans="1:9" ht="16.5">
      <c r="A5" s="3044" t="s">
        <v>2853</v>
      </c>
      <c r="B5" s="3044">
        <f ca="1">SUM(D14:D23)</f>
        <v>684487</v>
      </c>
      <c r="C5" s="3044">
        <f ca="1">ROUND(B5*10000/$B$1,0)</f>
        <v>25750</v>
      </c>
      <c r="D5" s="3044">
        <f ca="1">ROUND(B5*10000/$B$2,0)</f>
        <v>90977</v>
      </c>
      <c r="E5" s="3045"/>
      <c r="F5" s="3045"/>
    </row>
    <row r="6" spans="1:9" ht="16.5">
      <c r="A6" s="3044" t="s">
        <v>2854</v>
      </c>
      <c r="B6" s="3044">
        <f ca="1">SUM(G14:G23)</f>
        <v>684487</v>
      </c>
      <c r="C6" s="3044">
        <f t="shared" ref="C6:C8" ca="1" si="0">ROUND(B6*10000/$B$1,0)</f>
        <v>25750</v>
      </c>
      <c r="D6" s="3044">
        <f t="shared" ref="D6:D8" ca="1" si="1">ROUND(B6*10000/$B$2,0)</f>
        <v>90977</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265820.24</v>
      </c>
      <c r="C14" s="3048">
        <f>结果表!K38</f>
        <v>75237.13</v>
      </c>
      <c r="D14" s="3048">
        <f ca="1">结果表!C42</f>
        <v>684487</v>
      </c>
      <c r="E14" s="3048">
        <f ca="1">ROUND(D14*10000/B14,0)</f>
        <v>25750</v>
      </c>
      <c r="F14" s="3048">
        <f ca="1">ROUND(D14*10000/C14,0)</f>
        <v>90977</v>
      </c>
      <c r="G14" s="3048">
        <f ca="1">结果表!C44</f>
        <v>684487</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307" t="str">
        <f>项目基本情况!K2</f>
        <v>北京市出让国有建设用地使用权</v>
      </c>
      <c r="B2" s="3308"/>
      <c r="C2" s="3309"/>
      <c r="D2" s="3309"/>
      <c r="E2" s="3309"/>
      <c r="F2" s="3309"/>
      <c r="G2" s="3308"/>
      <c r="H2" s="3308"/>
      <c r="I2" s="3310"/>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8" t="s">
        <v>299</v>
      </c>
      <c r="B4" s="259" t="s">
        <v>300</v>
      </c>
      <c r="C4" s="260" t="s">
        <v>3291</v>
      </c>
      <c r="D4" s="260" t="s">
        <v>3292</v>
      </c>
      <c r="E4" s="3272" t="s">
        <v>301</v>
      </c>
      <c r="F4" s="3273"/>
      <c r="G4" s="3273"/>
      <c r="H4" s="3273"/>
      <c r="I4" s="330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1" t="s">
        <v>302</v>
      </c>
      <c r="B5" s="3297">
        <v>25</v>
      </c>
      <c r="C5" s="3295"/>
      <c r="D5" s="3299"/>
      <c r="E5" s="261" t="s">
        <v>303</v>
      </c>
      <c r="F5" s="262"/>
      <c r="G5" s="262"/>
      <c r="H5" s="262"/>
      <c r="I5" s="263"/>
      <c r="J5" s="2030"/>
      <c r="K5" s="2029"/>
      <c r="L5" s="2029"/>
      <c r="M5" s="2029"/>
      <c r="N5" s="2029"/>
      <c r="O5" s="2029"/>
      <c r="P5" s="2029"/>
      <c r="Q5" s="2029"/>
      <c r="R5" s="2029"/>
      <c r="S5" s="2029"/>
      <c r="T5" s="2029"/>
      <c r="U5" s="2029"/>
      <c r="V5" s="2029"/>
    </row>
    <row r="6" spans="1:22" ht="14.25">
      <c r="A6" s="3271"/>
      <c r="B6" s="3297"/>
      <c r="C6" s="3298"/>
      <c r="D6" s="3299"/>
      <c r="E6" s="261" t="s">
        <v>304</v>
      </c>
      <c r="F6" s="262"/>
      <c r="G6" s="262"/>
      <c r="H6" s="262"/>
      <c r="I6" s="263"/>
      <c r="J6" s="2030"/>
      <c r="K6" s="2029"/>
      <c r="L6" s="2029"/>
      <c r="M6" s="2029"/>
      <c r="N6" s="2029"/>
      <c r="O6" s="2029"/>
      <c r="P6" s="2029"/>
      <c r="Q6" s="2029"/>
      <c r="R6" s="2029"/>
      <c r="S6" s="2029"/>
      <c r="T6" s="2029"/>
      <c r="U6" s="2029"/>
      <c r="V6" s="2029"/>
    </row>
    <row r="7" spans="1:22" ht="14.25">
      <c r="A7" s="3271"/>
      <c r="B7" s="3297"/>
      <c r="C7" s="3296"/>
      <c r="D7" s="3299"/>
      <c r="E7" s="261" t="s">
        <v>305</v>
      </c>
      <c r="F7" s="262"/>
      <c r="G7" s="262"/>
      <c r="H7" s="262"/>
      <c r="I7" s="263"/>
      <c r="J7" s="2030"/>
      <c r="K7" s="2029"/>
      <c r="L7" s="2029"/>
      <c r="M7" s="2029"/>
      <c r="N7" s="2029"/>
      <c r="O7" s="2029"/>
      <c r="P7" s="2029"/>
      <c r="Q7" s="2029"/>
      <c r="R7" s="2029"/>
      <c r="S7" s="2029"/>
      <c r="T7" s="2029"/>
      <c r="U7" s="2029"/>
      <c r="V7" s="2029"/>
    </row>
    <row r="8" spans="1:22" ht="14.25">
      <c r="A8" s="3271" t="s">
        <v>306</v>
      </c>
      <c r="B8" s="3297">
        <v>15</v>
      </c>
      <c r="C8" s="3295"/>
      <c r="D8" s="3299"/>
      <c r="E8" s="261" t="s">
        <v>307</v>
      </c>
      <c r="F8" s="262"/>
      <c r="G8" s="262"/>
      <c r="H8" s="262"/>
      <c r="I8" s="263"/>
      <c r="J8" s="2030"/>
      <c r="K8" s="2029"/>
      <c r="L8" s="2029"/>
      <c r="M8" s="2029"/>
      <c r="N8" s="2029"/>
      <c r="O8" s="2029"/>
      <c r="P8" s="2029"/>
      <c r="Q8" s="2029"/>
      <c r="R8" s="2029"/>
      <c r="S8" s="2029"/>
      <c r="T8" s="2029"/>
      <c r="U8" s="2029"/>
      <c r="V8" s="2029"/>
    </row>
    <row r="9" spans="1:22" ht="14.25">
      <c r="A9" s="3271"/>
      <c r="B9" s="3297"/>
      <c r="C9" s="3296"/>
      <c r="D9" s="3299"/>
      <c r="E9" s="261" t="s">
        <v>308</v>
      </c>
      <c r="F9" s="262"/>
      <c r="G9" s="262"/>
      <c r="H9" s="262"/>
      <c r="I9" s="263"/>
      <c r="J9" s="2030"/>
      <c r="K9" s="2029"/>
      <c r="L9" s="2029"/>
      <c r="M9" s="2029"/>
      <c r="N9" s="2029"/>
      <c r="O9" s="2029"/>
      <c r="P9" s="2029"/>
      <c r="Q9" s="2029"/>
      <c r="R9" s="2029"/>
      <c r="S9" s="2029"/>
      <c r="T9" s="2029"/>
      <c r="U9" s="2029"/>
      <c r="V9" s="2029"/>
    </row>
    <row r="10" spans="1:22" ht="14.25">
      <c r="A10" s="3271" t="s">
        <v>309</v>
      </c>
      <c r="B10" s="3297">
        <v>15</v>
      </c>
      <c r="C10" s="3295"/>
      <c r="D10" s="32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1"/>
      <c r="B11" s="3297"/>
      <c r="C11" s="3296"/>
      <c r="D11" s="32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1" t="s">
        <v>312</v>
      </c>
      <c r="B12" s="3297">
        <v>15</v>
      </c>
      <c r="C12" s="3295"/>
      <c r="D12" s="32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1"/>
      <c r="B13" s="3297"/>
      <c r="C13" s="3296"/>
      <c r="D13" s="32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1" t="s">
        <v>315</v>
      </c>
      <c r="B14" s="3297">
        <v>30</v>
      </c>
      <c r="C14" s="3295">
        <v>5</v>
      </c>
      <c r="D14" s="329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1"/>
      <c r="B15" s="3297"/>
      <c r="C15" s="3298"/>
      <c r="D15" s="3299"/>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1"/>
      <c r="B16" s="3297"/>
      <c r="C16" s="3296"/>
      <c r="D16" s="329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713466</v>
      </c>
      <c r="D19" s="271">
        <f ca="1">SUMIF(INDIRECT("'"&amp;D4&amp;"'"&amp;"!A:A"),结果表!B19,INDIRECT("'"&amp;D4&amp;"'"&amp;"!B:B"))</f>
        <v>655507</v>
      </c>
      <c r="E19" s="268" t="s">
        <v>323</v>
      </c>
      <c r="F19" s="269" t="s">
        <v>322</v>
      </c>
      <c r="G19" s="272">
        <f ca="1">ROUND(C19*$C$18+D19*$D$18,0)</f>
        <v>684487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26840</v>
      </c>
      <c r="D20" s="277">
        <f ca="1">SUMIF(INDIRECT("'"&amp;D4&amp;"'"&amp;"!A:A"),结果表!B20,INDIRECT("'"&amp;D4&amp;"'"&amp;"!B:B"))</f>
        <v>24660</v>
      </c>
      <c r="E20" s="274"/>
      <c r="F20" s="275" t="s">
        <v>325</v>
      </c>
      <c r="G20" s="278">
        <f ca="1">ROUND(C20*$C$18+D20*$D$18,0)</f>
        <v>25750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94829</v>
      </c>
      <c r="D21" s="151">
        <f ca="1">SUMIF(INDIRECT("'"&amp;D4&amp;"'"&amp;"!A:A"),结果表!B21,INDIRECT("'"&amp;D4&amp;"'"&amp;"!B:B"))</f>
        <v>87125</v>
      </c>
      <c r="E21" s="274"/>
      <c r="F21" s="280" t="s">
        <v>327</v>
      </c>
      <c r="G21" s="282">
        <f ca="1">ROUND(C21*$C$18+D21*$D$18,0)</f>
        <v>90977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8.8418582867917594E-2</v>
      </c>
      <c r="E22" s="284"/>
      <c r="F22" s="285"/>
      <c r="G22" s="286">
        <f ca="1">ROUND(G19/('数据-汇总表'!D3/666.67),0)</f>
        <v>6065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8"/>
      <c r="B25" s="1321" t="s">
        <v>331</v>
      </c>
      <c r="C25" s="290">
        <f>IF(B30=0,0,C30)</f>
        <v>0</v>
      </c>
      <c r="D25" s="291"/>
      <c r="E25" s="311"/>
      <c r="F25" s="311"/>
      <c r="G25" s="311"/>
      <c r="H25" s="311"/>
      <c r="I25" s="311"/>
      <c r="J25" s="2029"/>
      <c r="K25" s="1255" t="str">
        <f ca="1">项目基本情况!B16&amp;"国有建设用地使用权价格："&amp;O38&amp;"万元"</f>
        <v>出让国有建设用地使用权价格：684487万元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大写金额：人民币陆拾捌亿肆仟肆佰捌拾柒万元整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单位面积地价：90977元/平方米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楼面地价：25750元/平方米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抵押价格：684487万元</v>
      </c>
      <c r="L29" s="1252"/>
      <c r="M29" s="1252"/>
      <c r="N29" s="1252"/>
      <c r="O29" s="1251"/>
      <c r="P29" s="2029"/>
      <c r="V29" s="2029"/>
    </row>
    <row r="30" spans="1:26" ht="18.75" thickBot="1">
      <c r="A30" s="3128" t="s">
        <v>336</v>
      </c>
      <c r="B30" s="309"/>
      <c r="C30" s="309"/>
      <c r="D30" s="310"/>
      <c r="E30" s="3129" t="s">
        <v>2969</v>
      </c>
      <c r="F30" s="311"/>
      <c r="G30" s="311"/>
      <c r="H30" s="311"/>
      <c r="I30" s="311"/>
      <c r="J30" s="2029"/>
      <c r="K30" s="1258" t="str">
        <f ca="1">IF(K29="——","——","大写金额：人民币"&amp;NUMBERSTRING(INT(O39*10000),2)&amp;"元整")</f>
        <v>大写金额：人民币陆拾捌亿肆仟肆佰捌拾柒万元整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684487</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25750</v>
      </c>
      <c r="D33" s="1385" t="s">
        <v>1692</v>
      </c>
      <c r="E33" s="3277"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1693</v>
      </c>
      <c r="C34" s="264">
        <f ca="1">ROUND(C32*10000/'数据-汇总表'!D3,0)</f>
        <v>90977</v>
      </c>
      <c r="D34" s="1387" t="s">
        <v>1692</v>
      </c>
      <c r="E34" s="3318"/>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6065</v>
      </c>
      <c r="D35" s="1390" t="s">
        <v>1694</v>
      </c>
      <c r="E35" s="3319"/>
      <c r="F35" s="301" t="s">
        <v>342</v>
      </c>
      <c r="G35" s="982"/>
      <c r="H35" s="981" t="s">
        <v>343</v>
      </c>
      <c r="I35" s="311"/>
      <c r="J35" s="2029"/>
      <c r="K35" s="3292" t="s">
        <v>350</v>
      </c>
      <c r="L35" s="3292" t="s">
        <v>351</v>
      </c>
      <c r="M35" s="1264" t="s">
        <v>352</v>
      </c>
      <c r="N35" s="3292" t="s">
        <v>353</v>
      </c>
      <c r="O35" s="3292" t="s">
        <v>354</v>
      </c>
      <c r="P35" s="2029"/>
      <c r="V35" s="2029"/>
    </row>
    <row r="36" spans="1:26" ht="16.5" customHeight="1">
      <c r="A36" s="303" t="s">
        <v>344</v>
      </c>
      <c r="B36" s="304" t="s">
        <v>333</v>
      </c>
      <c r="C36" s="305" t="s">
        <v>345</v>
      </c>
      <c r="D36" s="305" t="s">
        <v>346</v>
      </c>
      <c r="E36" s="306" t="s">
        <v>347</v>
      </c>
      <c r="F36" s="311"/>
      <c r="G36" s="311"/>
      <c r="H36" s="311"/>
      <c r="I36" s="311"/>
      <c r="J36" s="2031"/>
      <c r="K36" s="3293"/>
      <c r="L36" s="3293"/>
      <c r="M36" s="1266" t="s">
        <v>355</v>
      </c>
      <c r="N36" s="3293"/>
      <c r="O36" s="3293"/>
      <c r="P36" s="2029"/>
      <c r="V36" s="2029"/>
    </row>
    <row r="37" spans="1:26" ht="16.5" customHeight="1" thickBot="1">
      <c r="A37" s="1260" t="s">
        <v>348</v>
      </c>
      <c r="B37" s="307"/>
      <c r="C37" s="294"/>
      <c r="D37" s="294"/>
      <c r="E37" s="295"/>
      <c r="F37" s="311"/>
      <c r="G37" s="311"/>
      <c r="H37" s="311"/>
      <c r="I37" s="311"/>
      <c r="J37" s="2031"/>
      <c r="K37" s="3294"/>
      <c r="L37" s="3294"/>
      <c r="M37" s="1267"/>
      <c r="N37" s="3294"/>
      <c r="O37" s="3294"/>
      <c r="P37" s="2029"/>
      <c r="V37" s="2029"/>
    </row>
    <row r="38" spans="1:26" ht="16.5" customHeight="1" thickBot="1">
      <c r="A38" s="1260" t="s">
        <v>349</v>
      </c>
      <c r="B38" s="307"/>
      <c r="C38" s="294"/>
      <c r="D38" s="294"/>
      <c r="E38" s="295"/>
      <c r="F38" s="311"/>
      <c r="G38" s="311"/>
      <c r="H38" s="311"/>
      <c r="I38" s="311"/>
      <c r="J38" s="2031"/>
      <c r="K38" s="1268">
        <f>'数据-汇总表'!D3</f>
        <v>75237.13</v>
      </c>
      <c r="L38" s="1269">
        <f>'数据-汇总表'!E3</f>
        <v>265820.24</v>
      </c>
      <c r="M38" s="1269">
        <f ca="1">C34</f>
        <v>90977</v>
      </c>
      <c r="N38" s="1269">
        <f ca="1">C33</f>
        <v>25750</v>
      </c>
      <c r="O38" s="1270">
        <f ca="1">C32</f>
        <v>684487</v>
      </c>
      <c r="P38" s="2029"/>
      <c r="V38" s="2029"/>
    </row>
    <row r="39" spans="1:26" ht="16.5" customHeight="1" thickBot="1">
      <c r="A39" s="1265"/>
      <c r="B39" s="308"/>
      <c r="C39" s="309"/>
      <c r="D39" s="309"/>
      <c r="E39" s="310"/>
      <c r="F39" s="311"/>
      <c r="G39" s="311"/>
      <c r="H39" s="311"/>
      <c r="I39" s="311"/>
      <c r="J39" s="2031"/>
      <c r="K39" s="3337" t="str">
        <f>MID(A44,3,LEN(A44)-2)</f>
        <v>抵押价格</v>
      </c>
      <c r="L39" s="3338"/>
      <c r="M39" s="3338"/>
      <c r="N39" s="3339"/>
      <c r="O39" s="1392">
        <f ca="1">C44</f>
        <v>684487</v>
      </c>
      <c r="P39" s="2029"/>
      <c r="V39" s="2029"/>
    </row>
    <row r="40" spans="1:26" ht="19.5" thickBot="1">
      <c r="A40" s="104" t="s">
        <v>873</v>
      </c>
      <c r="B40" s="311"/>
      <c r="C40" s="311"/>
      <c r="D40" s="311"/>
      <c r="E40" s="311"/>
      <c r="F40" s="311"/>
      <c r="G40" s="311"/>
      <c r="H40" s="311"/>
      <c r="I40" s="311"/>
      <c r="J40" s="2031"/>
      <c r="K40" s="3337" t="str">
        <f t="shared" ref="K40:K41" si="0">MID(A45,3,LEN(A45)-2)</f>
        <v/>
      </c>
      <c r="L40" s="3338"/>
      <c r="M40" s="3338"/>
      <c r="N40" s="3339"/>
      <c r="O40" s="1392" t="str">
        <f>C45</f>
        <v>——</v>
      </c>
      <c r="P40" s="2029"/>
      <c r="V40" s="2029"/>
    </row>
    <row r="41" spans="1:26" ht="16.5" thickBot="1">
      <c r="A41" s="312" t="s">
        <v>356</v>
      </c>
      <c r="B41" s="313"/>
      <c r="C41" s="314" t="s">
        <v>357</v>
      </c>
      <c r="D41" s="315" t="s">
        <v>358</v>
      </c>
      <c r="E41" s="315" t="s">
        <v>359</v>
      </c>
      <c r="F41" s="316" t="s">
        <v>360</v>
      </c>
      <c r="G41" s="311"/>
      <c r="H41" s="311"/>
      <c r="I41" s="311"/>
      <c r="J41" s="2031"/>
      <c r="K41" s="3337" t="str">
        <f t="shared" si="0"/>
        <v/>
      </c>
      <c r="L41" s="3338"/>
      <c r="M41" s="3338"/>
      <c r="N41" s="3339"/>
      <c r="O41" s="1392" t="str">
        <f>C46</f>
        <v>——</v>
      </c>
      <c r="P41" s="2029"/>
      <c r="V41" s="2029"/>
    </row>
    <row r="42" spans="1:26" ht="29.25">
      <c r="A42" s="3279" t="s">
        <v>2069</v>
      </c>
      <c r="B42" s="3280"/>
      <c r="C42" s="264">
        <f ca="1">C32</f>
        <v>684487</v>
      </c>
      <c r="D42" s="317">
        <f ca="1">C33</f>
        <v>25750</v>
      </c>
      <c r="E42" s="317">
        <f ca="1">C34</f>
        <v>90977</v>
      </c>
      <c r="F42" s="318">
        <f ca="1">C35</f>
        <v>6065</v>
      </c>
      <c r="G42" s="311"/>
      <c r="H42" s="311"/>
      <c r="I42" s="319"/>
      <c r="J42" s="2031"/>
      <c r="K42" s="1271" t="s">
        <v>361</v>
      </c>
      <c r="L42" s="2048" t="s">
        <v>362</v>
      </c>
      <c r="M42" s="1272" t="s">
        <v>363</v>
      </c>
      <c r="N42" s="2049" t="s">
        <v>364</v>
      </c>
      <c r="O42" s="2050" t="s">
        <v>365</v>
      </c>
      <c r="P42" s="2029"/>
      <c r="V42" s="2029"/>
    </row>
    <row r="43" spans="1:26" ht="18">
      <c r="A43" s="3290" t="s">
        <v>2732</v>
      </c>
      <c r="B43" s="3291"/>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713466</v>
      </c>
      <c r="M43" s="1275">
        <f>C18</f>
        <v>0.5</v>
      </c>
      <c r="N43" s="1276">
        <f ca="1">IF(N42="测算结果/万元",G19,G20)</f>
        <v>684487</v>
      </c>
      <c r="O43" s="1277">
        <f ca="1">IF(O42="最终结果/万元",C32,C33)</f>
        <v>684487</v>
      </c>
      <c r="P43" s="2029"/>
      <c r="V43" s="2029"/>
    </row>
    <row r="44" spans="1:26" ht="18.75" thickBot="1">
      <c r="A44" s="3279" t="str">
        <f>IF(OR(项目基本情况!E8="抵押价格",项目基本情况!E8="已注销及未注销"),"3.抵押价格","——")</f>
        <v>3.抵押价格</v>
      </c>
      <c r="B44" s="3280"/>
      <c r="C44" s="264">
        <f ca="1">IF(A44="——","——",C42-C43)</f>
        <v>684487</v>
      </c>
      <c r="D44" s="317">
        <f ca="1">ROUND(C44*10000/'数据-汇总表'!E3,0)</f>
        <v>25750</v>
      </c>
      <c r="E44" s="317">
        <f ca="1">ROUND(C44*10000/'数据-汇总表'!D3,0)</f>
        <v>90977</v>
      </c>
      <c r="F44" s="318">
        <f ca="1">ROUND(C44/('数据-汇总表'!D3/666.67),0)</f>
        <v>6065</v>
      </c>
      <c r="G44" s="311"/>
      <c r="H44" s="311"/>
      <c r="I44" s="319"/>
      <c r="J44" s="2031"/>
      <c r="K44" s="1278" t="str">
        <f>D4</f>
        <v>剩余法-待开发</v>
      </c>
      <c r="L44" s="1279">
        <f ca="1">IF(L42="估价结果/万元",D19,D20)</f>
        <v>655507</v>
      </c>
      <c r="M44" s="1280">
        <f>D18</f>
        <v>0.5</v>
      </c>
      <c r="N44" s="1281"/>
      <c r="O44" s="1282"/>
      <c r="P44" s="2029"/>
      <c r="V44" s="2029"/>
    </row>
    <row r="45" spans="1:26" ht="15">
      <c r="A45" s="3285" t="str">
        <f>IF(项目基本情况!E8="已注销及未注销","4.抵押担保权已注销时的抵押价格",IF(项目基本情况!E8="已注销","3.抵押担保权已注销时的抵押价格","——"))</f>
        <v>——</v>
      </c>
      <c r="B45" s="328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410692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7" t="s">
        <v>378</v>
      </c>
      <c r="B64" s="3288"/>
      <c r="C64" s="3288"/>
      <c r="D64" s="3288"/>
      <c r="E64" s="3288"/>
      <c r="F64" s="3288"/>
      <c r="G64" s="328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3" t="s">
        <v>386</v>
      </c>
      <c r="B66" s="3284"/>
      <c r="C66" s="3284"/>
      <c r="D66" s="261">
        <f ca="1">IF(H66="情况1",0,IF(H66="情况2",D70,IF(H66="情况3",D71,IF(H66="情况4",D72))))</f>
        <v>21512</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1" t="s">
        <v>385</v>
      </c>
      <c r="M66" s="3342"/>
      <c r="N66" s="2459"/>
      <c r="O66" s="2460"/>
      <c r="P66" s="2461"/>
      <c r="Q66" s="2029"/>
      <c r="R66" s="2029"/>
      <c r="S66" s="2029"/>
      <c r="T66" s="2029"/>
      <c r="U66" s="2029"/>
      <c r="V66" s="2029"/>
    </row>
    <row r="67" spans="1:22" ht="25.5" customHeight="1">
      <c r="A67" s="352" t="s">
        <v>390</v>
      </c>
      <c r="B67" s="3274" t="s">
        <v>391</v>
      </c>
      <c r="C67" s="3274"/>
      <c r="D67" s="353">
        <v>0</v>
      </c>
      <c r="E67" s="41" t="s">
        <v>392</v>
      </c>
      <c r="F67" s="62" t="s">
        <v>21</v>
      </c>
      <c r="G67" s="3329"/>
      <c r="H67" s="311"/>
      <c r="I67" s="1292"/>
      <c r="J67" s="2036"/>
      <c r="K67" s="1977">
        <v>2</v>
      </c>
      <c r="L67" s="3340" t="s">
        <v>389</v>
      </c>
      <c r="M67" s="3340"/>
      <c r="N67" s="1325">
        <f>'数据-取费表'!B2</f>
        <v>43347</v>
      </c>
      <c r="O67" s="1325"/>
      <c r="P67" s="1325"/>
      <c r="Q67" s="2029"/>
      <c r="R67" s="2029"/>
      <c r="S67" s="2029"/>
      <c r="T67" s="2029"/>
      <c r="U67" s="2029"/>
      <c r="V67" s="2029"/>
    </row>
    <row r="68" spans="1:22" ht="25.5" customHeight="1">
      <c r="A68" s="354"/>
      <c r="B68" s="3274" t="s">
        <v>394</v>
      </c>
      <c r="C68" s="3274"/>
      <c r="D68" s="355"/>
      <c r="E68" s="77"/>
      <c r="F68" s="356"/>
      <c r="G68" s="3330"/>
      <c r="H68" s="311"/>
      <c r="I68" s="1292"/>
      <c r="J68" s="2036"/>
      <c r="K68" s="1977">
        <v>3</v>
      </c>
      <c r="L68" s="3340" t="s">
        <v>393</v>
      </c>
      <c r="M68" s="3340"/>
      <c r="N68" s="1293">
        <f ca="1">C42</f>
        <v>684487</v>
      </c>
      <c r="O68" s="1293"/>
      <c r="P68" s="1293"/>
      <c r="Q68" s="2029"/>
      <c r="R68" s="2029"/>
      <c r="S68" s="2029"/>
      <c r="T68" s="2029"/>
      <c r="U68" s="2029"/>
      <c r="V68" s="2029"/>
    </row>
    <row r="69" spans="1:22" ht="12" customHeight="1">
      <c r="A69" s="357"/>
      <c r="B69" s="3274" t="s">
        <v>395</v>
      </c>
      <c r="C69" s="3274"/>
      <c r="D69" s="358"/>
      <c r="E69" s="73"/>
      <c r="F69" s="356"/>
      <c r="G69" s="3331"/>
      <c r="H69" s="311"/>
      <c r="I69" s="1292"/>
      <c r="J69" s="2036"/>
      <c r="K69" s="1294">
        <v>4</v>
      </c>
      <c r="L69" s="3345" t="s">
        <v>2885</v>
      </c>
      <c r="M69" s="3346"/>
      <c r="N69" s="1295">
        <f ca="1">C44</f>
        <v>684487</v>
      </c>
      <c r="O69" s="1295"/>
      <c r="P69" s="1295"/>
      <c r="Q69" s="2029"/>
      <c r="R69" s="2029"/>
      <c r="S69" s="2029"/>
      <c r="T69" s="2029"/>
      <c r="U69" s="2029"/>
      <c r="V69" s="2029"/>
    </row>
    <row r="70" spans="1:22" ht="24" customHeight="1">
      <c r="A70" s="359" t="s">
        <v>396</v>
      </c>
      <c r="B70" s="3274" t="s">
        <v>397</v>
      </c>
      <c r="C70" s="3274"/>
      <c r="D70" s="358">
        <f ca="1">ROUND(D63*'数据-取费表'!B41/(1+'数据-取费表'!C42),0)</f>
        <v>21512</v>
      </c>
      <c r="E70" s="17" t="s">
        <v>398</v>
      </c>
      <c r="F70" s="360">
        <f>'数据-取费表'!B41</f>
        <v>5.5000000000000007E-2</v>
      </c>
      <c r="G70" s="361"/>
      <c r="H70" s="311"/>
      <c r="I70" s="1292"/>
      <c r="J70" s="2036"/>
      <c r="K70" s="3061"/>
      <c r="L70" s="3062"/>
      <c r="M70" s="3062"/>
      <c r="N70" s="3063" t="s">
        <v>2890</v>
      </c>
      <c r="O70" s="3062"/>
      <c r="P70" s="3064"/>
      <c r="Q70" s="2029"/>
      <c r="R70" s="2029"/>
      <c r="S70" s="2029"/>
      <c r="T70" s="2029"/>
      <c r="U70" s="2029"/>
      <c r="V70" s="2029"/>
    </row>
    <row r="71" spans="1:22" ht="12" customHeight="1">
      <c r="A71" s="359" t="s">
        <v>404</v>
      </c>
      <c r="B71" s="3275" t="s">
        <v>405</v>
      </c>
      <c r="C71" s="3276"/>
      <c r="D71" s="358">
        <f ca="1">ROUND(D63*'数据-取费表'!B41/(1+'数据-取费表'!C42),0)</f>
        <v>21512</v>
      </c>
      <c r="E71" s="17" t="s">
        <v>398</v>
      </c>
      <c r="F71" s="360">
        <f>'数据-取费表'!B41</f>
        <v>5.5000000000000007E-2</v>
      </c>
      <c r="G71" s="361"/>
      <c r="H71" s="311"/>
      <c r="I71" s="1292"/>
      <c r="J71" s="2036"/>
      <c r="K71" s="3060" t="s">
        <v>399</v>
      </c>
      <c r="L71" s="3347" t="s">
        <v>400</v>
      </c>
      <c r="M71" s="3347"/>
      <c r="N71" s="3060" t="s">
        <v>401</v>
      </c>
      <c r="O71" s="3060" t="s">
        <v>402</v>
      </c>
      <c r="P71" s="3060" t="s">
        <v>403</v>
      </c>
      <c r="Q71" s="2029"/>
      <c r="R71" s="2029"/>
      <c r="S71" s="2029"/>
      <c r="T71" s="2029"/>
      <c r="U71" s="2029"/>
      <c r="V71" s="2029"/>
    </row>
    <row r="72" spans="1:22" ht="12" customHeight="1">
      <c r="A72" s="359" t="s">
        <v>407</v>
      </c>
      <c r="B72" s="3275" t="s">
        <v>408</v>
      </c>
      <c r="C72" s="3276"/>
      <c r="D72" s="358">
        <f ca="1">C86</f>
        <v>21402</v>
      </c>
      <c r="E72" s="73" t="s">
        <v>409</v>
      </c>
      <c r="F72" s="360">
        <f>'数据-取费表'!B41</f>
        <v>5.5000000000000007E-2</v>
      </c>
      <c r="G72" s="361"/>
      <c r="H72" s="1298"/>
      <c r="I72" s="1292"/>
      <c r="J72" s="2036"/>
      <c r="K72" s="1977">
        <v>1</v>
      </c>
      <c r="L72" s="3322" t="s">
        <v>406</v>
      </c>
      <c r="M72" s="3322"/>
      <c r="N72" s="1296">
        <f ca="1">D66</f>
        <v>21512</v>
      </c>
      <c r="O72" s="1860" t="str">
        <f>E66</f>
        <v>销售额×税（费）率</v>
      </c>
      <c r="P72" s="1297">
        <f>F66</f>
        <v>5.5000000000000007E-2</v>
      </c>
      <c r="Q72" s="2029"/>
      <c r="R72" s="2029"/>
      <c r="S72" s="2029"/>
      <c r="T72" s="2029"/>
      <c r="U72" s="2029"/>
      <c r="V72" s="2029"/>
    </row>
    <row r="73" spans="1:22" ht="24" customHeight="1">
      <c r="A73" s="3316" t="s">
        <v>411</v>
      </c>
      <c r="B73" s="3284"/>
      <c r="C73" s="3284"/>
      <c r="D73" s="362">
        <f>IF(H73="个人住宅",0,ROUND(D63*I73,0))</f>
        <v>0</v>
      </c>
      <c r="E73" s="17" t="s">
        <v>412</v>
      </c>
      <c r="F73" s="360" t="str">
        <f>IF(H73="正常",I73,"免征")</f>
        <v>免征</v>
      </c>
      <c r="G73" s="361"/>
      <c r="H73" s="191" t="s">
        <v>2457</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16" t="s">
        <v>415</v>
      </c>
      <c r="B74" s="3284"/>
      <c r="C74" s="3284"/>
      <c r="D74" s="362">
        <f ca="1">IF(H74="个人住宅",D75,D76)</f>
        <v>232167</v>
      </c>
      <c r="E74" s="17" t="s">
        <v>416</v>
      </c>
      <c r="F74" s="360" t="str">
        <f>IF(H74="正常",F76,"免征")</f>
        <v>——</v>
      </c>
      <c r="G74" s="983" t="s">
        <v>417</v>
      </c>
      <c r="H74" s="363" t="s">
        <v>413</v>
      </c>
      <c r="I74" s="42"/>
      <c r="J74" s="2036"/>
      <c r="K74" s="1977">
        <v>3</v>
      </c>
      <c r="L74" s="3322" t="s">
        <v>414</v>
      </c>
      <c r="M74" s="3322"/>
      <c r="N74" s="1296">
        <f t="shared" ca="1" si="1"/>
        <v>232167</v>
      </c>
      <c r="O74" s="1860" t="str">
        <f t="shared" si="1"/>
        <v>增值额×税（费）率</v>
      </c>
      <c r="P74" s="1299" t="str">
        <f t="shared" si="1"/>
        <v>——</v>
      </c>
      <c r="Q74" s="2029"/>
      <c r="R74" s="2029"/>
      <c r="S74" s="2029"/>
      <c r="T74" s="2029"/>
      <c r="U74" s="2029"/>
      <c r="V74" s="2029"/>
    </row>
    <row r="75" spans="1:22" ht="24">
      <c r="A75" s="359" t="s">
        <v>418</v>
      </c>
      <c r="B75" s="3272" t="s">
        <v>419</v>
      </c>
      <c r="C75" s="3302"/>
      <c r="D75" s="364">
        <v>0</v>
      </c>
      <c r="E75" s="41" t="s">
        <v>420</v>
      </c>
      <c r="F75" s="365"/>
      <c r="G75" s="361"/>
      <c r="H75" s="42"/>
      <c r="I75" s="42"/>
      <c r="J75" s="2036"/>
      <c r="K75" s="3053">
        <f>IF(H77="非个人房产","",4)</f>
        <v>4</v>
      </c>
      <c r="L75" s="3322" t="str">
        <f>IF(H77="非个人房产","——","个人所得税")</f>
        <v>个人所得税</v>
      </c>
      <c r="M75" s="3322"/>
      <c r="N75" s="1300">
        <f ca="1">D77</f>
        <v>4107</v>
      </c>
      <c r="O75" s="1873" t="str">
        <f>E77</f>
        <v>销售额×税（费）率</v>
      </c>
      <c r="P75" s="1301">
        <f>F77</f>
        <v>0.01</v>
      </c>
      <c r="Q75" s="2029"/>
      <c r="R75" s="2029"/>
      <c r="S75" s="2029"/>
      <c r="T75" s="2029"/>
      <c r="U75" s="2029"/>
      <c r="V75" s="2029"/>
    </row>
    <row r="76" spans="1:22" ht="24.75">
      <c r="A76" s="359" t="s">
        <v>396</v>
      </c>
      <c r="B76" s="3272" t="s">
        <v>422</v>
      </c>
      <c r="C76" s="3273"/>
      <c r="D76" s="362">
        <f ca="1">IF(H76="转让取得",C99,C115)</f>
        <v>232167</v>
      </c>
      <c r="E76" s="17" t="s">
        <v>423</v>
      </c>
      <c r="F76" s="53" t="s">
        <v>21</v>
      </c>
      <c r="G76" s="361"/>
      <c r="H76" s="363" t="s">
        <v>424</v>
      </c>
      <c r="I76" s="42"/>
      <c r="J76" s="2036"/>
      <c r="K76" s="3053"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29"/>
      <c r="R76" s="2029"/>
      <c r="S76" s="2029"/>
      <c r="T76" s="2029"/>
      <c r="U76" s="2029"/>
      <c r="V76" s="2029"/>
    </row>
    <row r="77" spans="1:22" ht="26.25" thickBot="1">
      <c r="A77" s="3324" t="s">
        <v>426</v>
      </c>
      <c r="B77" s="3325"/>
      <c r="C77" s="3325"/>
      <c r="D77" s="366">
        <f ca="1">IF(H77="非个人房产","——",IF(H77="个人住宅",0,ROUND(D63*I77,0)))</f>
        <v>4107</v>
      </c>
      <c r="E77" s="367" t="str">
        <f>IF(H77="非个人房产","——","销售额×税（费）率")</f>
        <v>销售额×税（费）率</v>
      </c>
      <c r="F77" s="368">
        <f>IF(H77="非个人房产","——",IF(H77="个人住宅","免征",I77))</f>
        <v>0.01</v>
      </c>
      <c r="G77" s="984" t="s">
        <v>417</v>
      </c>
      <c r="H77" s="363" t="s">
        <v>2886</v>
      </c>
      <c r="I77" s="369">
        <v>0.01</v>
      </c>
      <c r="J77" s="2036"/>
      <c r="K77" s="3323">
        <f>IF(AND(K75="",K76=""),4,IF(项目基本情况!K6="上海银行",K76+1,K75+1))</f>
        <v>5</v>
      </c>
      <c r="L77" s="3322" t="s">
        <v>2887</v>
      </c>
      <c r="M77" s="3059" t="s">
        <v>421</v>
      </c>
      <c r="N77" s="1302"/>
      <c r="O77" s="1303">
        <f ca="1">SUMIF(N72:N76,"&lt;9e307")</f>
        <v>257786</v>
      </c>
      <c r="P77" s="1304"/>
      <c r="Q77" s="3057">
        <f ca="1">O77/N69</f>
        <v>0.37661197363865201</v>
      </c>
      <c r="R77" s="2029"/>
      <c r="S77" s="2029"/>
      <c r="T77" s="2029"/>
      <c r="U77" s="2029"/>
      <c r="V77" s="2029"/>
    </row>
    <row r="78" spans="1:22" ht="12" customHeight="1">
      <c r="A78" s="1305"/>
      <c r="B78" s="311"/>
      <c r="C78" s="311"/>
      <c r="D78" s="311"/>
      <c r="E78" s="42"/>
      <c r="F78" s="42"/>
      <c r="G78" s="42"/>
      <c r="H78" s="1003"/>
      <c r="I78" s="311"/>
      <c r="J78" s="2036"/>
      <c r="K78" s="3323"/>
      <c r="L78" s="3322"/>
      <c r="M78" s="3059" t="s">
        <v>425</v>
      </c>
      <c r="N78" s="1302"/>
      <c r="O78" s="1303" t="str">
        <f ca="1">NUMBERSTRING(INT(O77*10000),2)&amp;"元整"</f>
        <v>贰拾伍亿柒仟柒佰捌拾陆万元整</v>
      </c>
      <c r="P78" s="1304"/>
      <c r="Q78" s="2029"/>
      <c r="R78" s="2029"/>
      <c r="S78" s="2029"/>
      <c r="T78" s="2029"/>
      <c r="U78" s="2029"/>
      <c r="V78" s="2029"/>
    </row>
    <row r="79" spans="1:22" ht="13.5" thickBot="1">
      <c r="A79" s="3317" t="s">
        <v>427</v>
      </c>
      <c r="B79" s="3317"/>
      <c r="C79" s="3317"/>
      <c r="D79" s="3317"/>
      <c r="E79" s="3317"/>
      <c r="F79" s="42"/>
      <c r="G79" s="42"/>
      <c r="H79" s="1003"/>
      <c r="I79" s="311"/>
      <c r="J79" s="2036"/>
      <c r="K79" s="3343">
        <f>K77+1</f>
        <v>6</v>
      </c>
      <c r="L79" s="3322" t="s">
        <v>2888</v>
      </c>
      <c r="M79" s="3059" t="s">
        <v>421</v>
      </c>
      <c r="N79" s="1302"/>
      <c r="O79" s="1303">
        <f ca="1">N69-O77</f>
        <v>426701</v>
      </c>
      <c r="P79" s="1304"/>
      <c r="Q79" s="2029"/>
      <c r="R79" s="2029"/>
      <c r="S79" s="2029"/>
      <c r="T79" s="2029"/>
      <c r="U79" s="2029"/>
      <c r="V79" s="2029"/>
    </row>
    <row r="80" spans="1:22" ht="12.75">
      <c r="A80" s="3312" t="s">
        <v>428</v>
      </c>
      <c r="B80" s="3313"/>
      <c r="C80" s="994"/>
      <c r="D80" s="994" t="s">
        <v>429</v>
      </c>
      <c r="E80" s="370" t="s">
        <v>430</v>
      </c>
      <c r="F80" s="42"/>
      <c r="G80" s="42"/>
      <c r="H80" s="1003"/>
      <c r="I80" s="311"/>
      <c r="J80" s="2029"/>
      <c r="K80" s="3344"/>
      <c r="L80" s="3322"/>
      <c r="M80" s="3059" t="s">
        <v>425</v>
      </c>
      <c r="N80" s="1302"/>
      <c r="O80" s="1303" t="str">
        <f ca="1">NUMBERSTRING(INT(O79*10000),2)&amp;"元整"</f>
        <v>肆拾贰亿陆仟柒佰零壹万元整</v>
      </c>
      <c r="P80" s="1304"/>
      <c r="Q80" s="2029"/>
      <c r="R80" s="2029"/>
      <c r="S80" s="2029"/>
      <c r="T80" s="2029"/>
      <c r="U80" s="2029"/>
      <c r="V80" s="2029"/>
    </row>
    <row r="81" spans="1:26" ht="13.5" thickBot="1">
      <c r="A81" s="381" t="s">
        <v>1824</v>
      </c>
      <c r="B81" s="371" t="s">
        <v>431</v>
      </c>
      <c r="C81" s="372">
        <f ca="1">ROUND((C82+C83)/(1+'数据-取费表'!C42),0)</f>
        <v>391135</v>
      </c>
      <c r="D81" s="373"/>
      <c r="E81" s="374"/>
      <c r="F81" s="42"/>
      <c r="G81" s="42"/>
      <c r="H81" s="1003"/>
      <c r="I81" s="311"/>
      <c r="J81" s="2029"/>
      <c r="K81" s="3053">
        <f>K79+1</f>
        <v>7</v>
      </c>
      <c r="L81" s="3320" t="s">
        <v>2889</v>
      </c>
      <c r="M81" s="3321"/>
      <c r="N81" s="1306"/>
      <c r="O81" s="1307">
        <f ca="1">ROUND(O79*10000/'数据-汇总表'!E3,0)</f>
        <v>16052</v>
      </c>
      <c r="P81" s="1308"/>
      <c r="Q81" s="2029"/>
      <c r="R81" s="2029"/>
      <c r="S81" s="2029"/>
      <c r="T81" s="2029"/>
      <c r="U81" s="2029"/>
      <c r="V81" s="2029"/>
    </row>
    <row r="82" spans="1:26" ht="13.5" thickTop="1">
      <c r="A82" s="375" t="s">
        <v>1825</v>
      </c>
      <c r="B82" s="376" t="s">
        <v>432</v>
      </c>
      <c r="C82" s="377">
        <f ca="1">D63</f>
        <v>410692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2" t="s">
        <v>2876</v>
      </c>
      <c r="L83" s="3065" t="s">
        <v>2877</v>
      </c>
      <c r="M83" s="3055">
        <f ca="1">IF(N69&gt;10000,N69*0.5%,IF(AND(N69&gt;1000,N69&lt;=10000),N69*1%,IF(AND(N69&gt;100,N69&lt;=1000),N69*3%,IF(AND(N69&gt;10,N69&lt;=100),N69*5%,N69*8%))))</f>
        <v>3422.4349999999999</v>
      </c>
      <c r="N83" s="53">
        <f ca="1">ROUND(M83,1)</f>
        <v>3422.4</v>
      </c>
      <c r="O83" s="3058"/>
      <c r="P83" s="2029"/>
      <c r="Q83" s="2029"/>
      <c r="R83" s="2029"/>
      <c r="S83" s="2029"/>
      <c r="T83" s="2029"/>
      <c r="U83" s="2029"/>
      <c r="V83" s="2029"/>
    </row>
    <row r="84" spans="1:26" ht="12.75">
      <c r="A84" s="381" t="s">
        <v>1827</v>
      </c>
      <c r="B84" s="382" t="s">
        <v>434</v>
      </c>
      <c r="C84" s="383">
        <v>2000</v>
      </c>
      <c r="D84" s="384" t="s">
        <v>19</v>
      </c>
      <c r="E84" s="3099" t="s">
        <v>2941</v>
      </c>
      <c r="F84" s="42"/>
      <c r="G84" s="42"/>
      <c r="H84" s="1003"/>
      <c r="I84" s="311"/>
      <c r="J84" s="2029"/>
      <c r="K84" s="3332"/>
      <c r="L84" s="3065" t="s">
        <v>2878</v>
      </c>
      <c r="M84" s="3055">
        <f ca="1">IF(N69&gt;2000,N69*0.5%,IF(AND(N69&gt;1000,N69&lt;=2000),N69*0.6%,IF(AND(N69&gt;500,N69&lt;=1000),N69*0.7%,IF(AND(N69&gt;200,N69&lt;=500),N69*0.8%,IF(AND(N69&gt;100,N69&lt;=200),N69*0.9%,IF(AND(N69&gt;50,N69&lt;=100),N69*1%,IF(AND(N69&gt;20,N69&lt;=50),N69*1.5%,IF(AND(N69&gt;10,N69&lt;=20),N69*2%,IF(AND(N69&gt;1,N69&lt;=10),N69*2.5%)))))))))</f>
        <v>3422.4349999999999</v>
      </c>
      <c r="N84" s="53">
        <f t="shared" ref="N84:N85" ca="1" si="2">ROUND(M84,1)</f>
        <v>3422.4</v>
      </c>
      <c r="O84" s="2029" t="s">
        <v>2879</v>
      </c>
      <c r="P84" s="2029"/>
      <c r="Q84" s="2029"/>
      <c r="R84" s="2029"/>
      <c r="S84" s="2029"/>
      <c r="T84" s="2029"/>
      <c r="U84" s="2029"/>
      <c r="V84" s="2029"/>
    </row>
    <row r="85" spans="1:26" ht="12.75">
      <c r="A85" s="381" t="s">
        <v>1828</v>
      </c>
      <c r="B85" s="382" t="s">
        <v>435</v>
      </c>
      <c r="C85" s="385">
        <f ca="1">C81-C84</f>
        <v>389135</v>
      </c>
      <c r="D85" s="378" t="s">
        <v>19</v>
      </c>
      <c r="E85" s="379"/>
      <c r="F85" s="42"/>
      <c r="G85" s="42"/>
      <c r="H85" s="1003"/>
      <c r="I85" s="311"/>
      <c r="J85" s="2029"/>
      <c r="K85" s="3332"/>
      <c r="L85" s="3065" t="s">
        <v>2880</v>
      </c>
      <c r="M85" s="3055">
        <f ca="1">IF(N69&gt;1000,N69*0.1%,IF(AND(N69&gt;500,N69&lt;=1000),N69*0.5%,IF(AND(N69&gt;50,N69&lt;=500),N69*1%,IF(AND(N69&gt;1,N69&lt;=50),N69*1.5%))))</f>
        <v>684.48699999999997</v>
      </c>
      <c r="N85" s="53">
        <f t="shared" ca="1" si="2"/>
        <v>684.5</v>
      </c>
      <c r="O85" s="2029" t="s">
        <v>2879</v>
      </c>
      <c r="P85" s="2029"/>
      <c r="Q85" s="2029"/>
      <c r="R85" s="2029"/>
      <c r="S85" s="2029"/>
      <c r="T85" s="2029"/>
      <c r="U85" s="2029"/>
      <c r="V85" s="2029"/>
    </row>
    <row r="86" spans="1:26" ht="13.5" thickBot="1">
      <c r="A86" s="386" t="s">
        <v>1829</v>
      </c>
      <c r="B86" s="387" t="s">
        <v>436</v>
      </c>
      <c r="C86" s="388">
        <f ca="1">IF(C85&lt;=0,0,ROUND(C85*D86,0))</f>
        <v>21402</v>
      </c>
      <c r="D86" s="389">
        <f>'数据-取费表'!B41</f>
        <v>5.5000000000000007E-2</v>
      </c>
      <c r="E86" s="390"/>
      <c r="F86" s="42"/>
      <c r="G86" s="42"/>
      <c r="H86" s="1003"/>
      <c r="I86" s="311"/>
      <c r="J86" s="2029"/>
      <c r="K86" s="3332"/>
      <c r="L86" s="3065" t="s">
        <v>2881</v>
      </c>
      <c r="M86" s="3055">
        <f ca="1">N69*0.5%</f>
        <v>3422.4349999999999</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2"/>
      <c r="L87" s="3065" t="s">
        <v>2883</v>
      </c>
      <c r="M87" s="3055">
        <f ca="1">IF(N69&gt;=10000,(8.25+(N69-10000)*0.01%),IF(AND(N69&gt;=8000,N69&lt;10000),(7.85+(N69-8000)*0.02%),IF(AND(N69&gt;=5000,N69&lt;8000),(6.65+(N69-5000)*0.04%),IF(AND(N69&gt;=2000,N69&lt;5000),(4.25+(PN69-2000)*0.08%),IF(AND(N69&gt;=1000,N69&lt;2000),(2.75+(N69-1000)*0.15%),IF(AND(N69&gt;=100,N69&lt;1000),(0.5+(N69-100)*0.25%),IF(AND(N69&gt;0,N69&lt;100),N69*0.5%)))))))</f>
        <v>75.698700000000002</v>
      </c>
      <c r="N87" s="53">
        <f ca="1">ROUND(M87*0.9,1)</f>
        <v>68.099999999999994</v>
      </c>
      <c r="O87" s="3058"/>
      <c r="P87" s="311"/>
      <c r="Q87" s="2029"/>
      <c r="R87" s="2029"/>
      <c r="S87" s="2029"/>
      <c r="T87" s="2029"/>
      <c r="U87" s="2029"/>
      <c r="V87" s="2029"/>
      <c r="W87" s="292"/>
      <c r="X87" s="292"/>
      <c r="Y87" s="292"/>
      <c r="Z87" s="292"/>
    </row>
    <row r="88" spans="1:26" s="1314" customFormat="1" ht="15" thickBot="1">
      <c r="A88" s="3314" t="s">
        <v>437</v>
      </c>
      <c r="B88" s="3315"/>
      <c r="C88" s="3315"/>
      <c r="D88" s="3315"/>
      <c r="E88" s="3315"/>
      <c r="F88" s="3315"/>
      <c r="G88" s="3315"/>
      <c r="H88" s="3315"/>
      <c r="I88" s="1315"/>
      <c r="J88" s="2037"/>
      <c r="K88" s="3332"/>
      <c r="L88" s="3065" t="s">
        <v>2884</v>
      </c>
      <c r="M88" s="3055">
        <f ca="1">IF(N69&gt;10000,N69*0.5%,IF(AND(N69&gt;5000,N69&lt;=10000),N69*1%,IF(AND(N69&gt;1000,N69&lt;=5000),N69*2%,IF(AND(N69&gt;200,N69&lt;=1000),N69*3%,N69*5%))))</f>
        <v>3422.4349999999999</v>
      </c>
      <c r="N88" s="53">
        <f ca="1">ROUND(M88,1)</f>
        <v>3422.4</v>
      </c>
      <c r="O88" s="3058"/>
      <c r="P88" s="11"/>
      <c r="Q88" s="2034"/>
      <c r="R88" s="2034"/>
      <c r="S88" s="2034"/>
      <c r="T88" s="2034"/>
      <c r="U88" s="2034"/>
      <c r="V88" s="2034"/>
      <c r="W88" s="2038"/>
      <c r="X88" s="2038"/>
      <c r="Y88" s="2038"/>
      <c r="Z88" s="2038"/>
    </row>
    <row r="89" spans="1:26" s="1314" customFormat="1" ht="14.25">
      <c r="A89" s="3312" t="s">
        <v>428</v>
      </c>
      <c r="B89" s="3313"/>
      <c r="C89" s="994"/>
      <c r="D89" s="994" t="s">
        <v>429</v>
      </c>
      <c r="E89" s="391" t="s">
        <v>438</v>
      </c>
      <c r="F89" s="392"/>
      <c r="G89" s="392"/>
      <c r="H89" s="393"/>
      <c r="I89" s="1316"/>
      <c r="J89" s="2039"/>
      <c r="K89" s="3332"/>
      <c r="L89" s="3065" t="s">
        <v>27</v>
      </c>
      <c r="M89" s="3056"/>
      <c r="N89" s="53">
        <f ca="1">ROUND(SUM(N83:N88),0)</f>
        <v>11020</v>
      </c>
      <c r="O89" s="3066">
        <f ca="1">N89/N69</f>
        <v>1.6099648349786045E-2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391135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4517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5" t="s">
        <v>447</v>
      </c>
      <c r="F94" s="3274"/>
      <c r="G94" s="3274"/>
      <c r="H94" s="331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1956</v>
      </c>
      <c r="D96" s="406">
        <f>'数据-取费表'!B43</f>
        <v>5.000000000000001E-3</v>
      </c>
      <c r="E96" s="3303" t="s">
        <v>2430</v>
      </c>
      <c r="F96" s="3304"/>
      <c r="G96" s="3304"/>
      <c r="H96" s="330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386618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85.591764445428382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230390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4" t="s">
        <v>454</v>
      </c>
      <c r="B101" s="3315"/>
      <c r="C101" s="3315"/>
      <c r="D101" s="3315"/>
      <c r="E101" s="3315"/>
      <c r="F101" s="3315"/>
      <c r="G101" s="3315"/>
      <c r="H101" s="331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2" t="s">
        <v>428</v>
      </c>
      <c r="B102" s="331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391135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2646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06" t="s">
        <v>462</v>
      </c>
      <c r="F109" s="3304"/>
      <c r="G109" s="3304"/>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06" t="s">
        <v>464</v>
      </c>
      <c r="F110" s="3304"/>
      <c r="G110" s="3304"/>
      <c r="H110" s="330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1956</v>
      </c>
      <c r="D111" s="406">
        <f>'数据-取费表'!B43</f>
        <v>5.000000000000001E-3</v>
      </c>
      <c r="E111" s="3303" t="s">
        <v>2430</v>
      </c>
      <c r="F111" s="3304"/>
      <c r="G111" s="3304"/>
      <c r="H111" s="330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06" t="s">
        <v>2455</v>
      </c>
      <c r="F112" s="3304"/>
      <c r="G112" s="3304"/>
      <c r="H112" s="330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388489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146.8212396069539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232167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C49" sqref="C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713466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26840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94829</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6322</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57" t="s">
        <v>522</v>
      </c>
      <c r="D6" s="3358"/>
      <c r="E6" s="3357" t="s">
        <v>523</v>
      </c>
      <c r="F6" s="3358"/>
      <c r="G6" s="3357" t="s">
        <v>524</v>
      </c>
      <c r="H6" s="3358"/>
      <c r="I6" s="3357" t="s">
        <v>525</v>
      </c>
      <c r="J6" s="3358"/>
      <c r="K6" s="514" t="s">
        <v>526</v>
      </c>
      <c r="L6" s="2134"/>
      <c r="M6" s="2133"/>
      <c r="N6" s="2133"/>
      <c r="O6" s="2135"/>
      <c r="P6" s="3359" t="s">
        <v>527</v>
      </c>
      <c r="Q6" s="3360"/>
      <c r="R6" s="3365" t="s">
        <v>523</v>
      </c>
      <c r="S6" s="3366"/>
      <c r="T6" s="3365" t="s">
        <v>524</v>
      </c>
      <c r="U6" s="3366"/>
      <c r="V6" s="3352" t="s">
        <v>525</v>
      </c>
      <c r="W6" s="3352"/>
      <c r="X6" s="1567"/>
      <c r="Y6" s="3365" t="s">
        <v>527</v>
      </c>
      <c r="Z6" s="3366"/>
      <c r="AA6" s="3354" t="s">
        <v>523</v>
      </c>
      <c r="AB6" s="3355" t="s">
        <v>524</v>
      </c>
      <c r="AC6" s="3354" t="s">
        <v>525</v>
      </c>
    </row>
    <row r="7" spans="1:30" ht="62.25" customHeight="1">
      <c r="A7" s="515"/>
      <c r="B7" s="516"/>
      <c r="C7" s="3373" t="s">
        <v>2928</v>
      </c>
      <c r="D7" s="3374"/>
      <c r="E7" s="3373" t="str">
        <f>土地案例!A1</f>
        <v>北京经济技术开发区路东区G2街区G2R1等地块R2二类居住用地、F1住宅混合公建用地、A33基础教育用地*&amp;quot;</v>
      </c>
      <c r="F7" s="3374"/>
      <c r="G7" s="3373" t="str">
        <f>土地案例!A2</f>
        <v>大兴区黄村镇DX00-0102-0901地块F1住宅混合公建用地</v>
      </c>
      <c r="H7" s="3374"/>
      <c r="I7" s="3373" t="str">
        <f>土地案例!A3</f>
        <v>大兴区黄村镇DX00-0102-0702地块F1住宅混合公建用地</v>
      </c>
      <c r="J7" s="3374"/>
      <c r="K7" s="514"/>
      <c r="L7" s="2134"/>
      <c r="M7" s="2133"/>
      <c r="N7" s="2133"/>
      <c r="O7" s="2135"/>
      <c r="P7" s="3361"/>
      <c r="Q7" s="3362"/>
      <c r="R7" s="3367"/>
      <c r="S7" s="3368"/>
      <c r="T7" s="3367"/>
      <c r="U7" s="3368"/>
      <c r="V7" s="3352"/>
      <c r="W7" s="3352"/>
      <c r="X7" s="1567"/>
      <c r="Y7" s="3367"/>
      <c r="Z7" s="3368"/>
      <c r="AA7" s="3355"/>
      <c r="AB7" s="3355"/>
      <c r="AC7" s="3355"/>
    </row>
    <row r="8" spans="1:30" ht="21" thickBot="1">
      <c r="A8" s="515"/>
      <c r="B8" s="516"/>
      <c r="C8" s="3375" t="s">
        <v>2932</v>
      </c>
      <c r="D8" s="3376"/>
      <c r="E8" s="3375" t="s">
        <v>2932</v>
      </c>
      <c r="F8" s="3376"/>
      <c r="G8" s="3371" t="s">
        <v>2932</v>
      </c>
      <c r="H8" s="3372"/>
      <c r="I8" s="3371" t="s">
        <v>2932</v>
      </c>
      <c r="J8" s="3372"/>
      <c r="K8" s="514" t="s">
        <v>528</v>
      </c>
      <c r="L8" s="2134"/>
      <c r="M8" s="2133"/>
      <c r="N8" s="2133"/>
      <c r="O8" s="2135"/>
      <c r="P8" s="3363"/>
      <c r="Q8" s="3364"/>
      <c r="R8" s="3367"/>
      <c r="S8" s="3368"/>
      <c r="T8" s="3369"/>
      <c r="U8" s="3370"/>
      <c r="V8" s="3352"/>
      <c r="W8" s="3352"/>
      <c r="X8" s="1567"/>
      <c r="Y8" s="3369"/>
      <c r="Z8" s="3370"/>
      <c r="AA8" s="3356"/>
      <c r="AB8" s="3356"/>
      <c r="AC8" s="3356"/>
    </row>
    <row r="9" spans="1:30" s="1220" customFormat="1" ht="21" thickBot="1">
      <c r="A9" s="2912"/>
      <c r="B9" s="2919" t="s">
        <v>529</v>
      </c>
      <c r="C9" s="2911">
        <f>'数据-取费表'!B2</f>
        <v>43347</v>
      </c>
      <c r="D9" s="520">
        <v>100</v>
      </c>
      <c r="E9" s="521" t="str">
        <f>土地案例!AA1</f>
        <v>2017-08-08</v>
      </c>
      <c r="F9" s="522">
        <f>SUMIF(72:72,YEAR(E9)&amp;"-"&amp;INT((MONTH(E9)+2)/3),73:73)</f>
        <v>98</v>
      </c>
      <c r="G9" s="523" t="str">
        <f>土地案例!AA2</f>
        <v>2017-08-04</v>
      </c>
      <c r="H9" s="520">
        <f>SUMIF(72:72,YEAR(G9)&amp;"-"&amp;INT((MONTH(G9)+2)/3),73:73)</f>
        <v>98</v>
      </c>
      <c r="I9" s="523" t="str">
        <f>土地案例!AA3</f>
        <v>2017-07-27</v>
      </c>
      <c r="J9" s="520">
        <f>SUMIF(72:72,YEAR(I9)&amp;"-"&amp;INT((MONTH(I9)+2)/3),73:73)</f>
        <v>98</v>
      </c>
      <c r="K9" s="524"/>
      <c r="L9" s="2136"/>
      <c r="M9" s="2133"/>
      <c r="N9" s="2133"/>
      <c r="O9" s="2137"/>
      <c r="P9" s="3382" t="s">
        <v>530</v>
      </c>
      <c r="Q9" s="3384"/>
      <c r="R9" s="1568" t="s">
        <v>8</v>
      </c>
      <c r="S9" s="1569">
        <f t="shared" ref="S9:S17" si="0">F9</f>
        <v>98</v>
      </c>
      <c r="T9" s="1568" t="s">
        <v>8</v>
      </c>
      <c r="U9" s="1569">
        <f t="shared" ref="U9:U17" si="1">H9</f>
        <v>98</v>
      </c>
      <c r="V9" s="1568" t="s">
        <v>8</v>
      </c>
      <c r="W9" s="1569">
        <f t="shared" ref="W9:W17" si="2">J9</f>
        <v>98</v>
      </c>
      <c r="X9" s="1570"/>
      <c r="Y9" s="3382" t="s">
        <v>530</v>
      </c>
      <c r="Z9" s="3383"/>
      <c r="AA9" s="1571">
        <f>D9/F9</f>
        <v>1.0204081632653061</v>
      </c>
      <c r="AB9" s="1571">
        <f>D9/H9</f>
        <v>1.0204081632653061</v>
      </c>
      <c r="AC9" s="1571">
        <f>D9/J9</f>
        <v>1.0204081632653061</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82" t="s">
        <v>533</v>
      </c>
      <c r="Q10" s="3383"/>
      <c r="R10" s="1568" t="s">
        <v>8</v>
      </c>
      <c r="S10" s="1569">
        <f t="shared" si="0"/>
        <v>100</v>
      </c>
      <c r="T10" s="1568" t="s">
        <v>8</v>
      </c>
      <c r="U10" s="1569">
        <f t="shared" si="1"/>
        <v>100</v>
      </c>
      <c r="V10" s="1568" t="s">
        <v>8</v>
      </c>
      <c r="W10" s="1569">
        <f t="shared" si="2"/>
        <v>100</v>
      </c>
      <c r="X10" s="1570"/>
      <c r="Y10" s="3382" t="s">
        <v>533</v>
      </c>
      <c r="Z10" s="3383"/>
      <c r="AA10" s="1571">
        <f t="shared" ref="AA10:AA47" si="3">D10/F10</f>
        <v>1</v>
      </c>
      <c r="AB10" s="1571">
        <f t="shared" ref="AB10:AB47" si="4">D10/H10</f>
        <v>1</v>
      </c>
      <c r="AC10" s="1571">
        <f t="shared" ref="AC10:AC47" si="5">D10/J10</f>
        <v>1</v>
      </c>
    </row>
    <row r="11" spans="1:30" s="1220" customFormat="1" ht="20.25">
      <c r="A11" s="2914"/>
      <c r="B11" s="2921" t="s">
        <v>2758</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51" t="s">
        <v>535</v>
      </c>
      <c r="Q11" s="1151" t="str">
        <f t="shared" ref="Q11:Q17" si="6">B11</f>
        <v>用途</v>
      </c>
      <c r="R11" s="1568" t="s">
        <v>8</v>
      </c>
      <c r="S11" s="1569">
        <f t="shared" si="0"/>
        <v>100</v>
      </c>
      <c r="T11" s="1568" t="s">
        <v>8</v>
      </c>
      <c r="U11" s="1569">
        <f t="shared" si="1"/>
        <v>100</v>
      </c>
      <c r="V11" s="1568" t="s">
        <v>8</v>
      </c>
      <c r="W11" s="1569">
        <f t="shared" si="2"/>
        <v>100</v>
      </c>
      <c r="X11" s="1570"/>
      <c r="Y11" s="3297" t="s">
        <v>536</v>
      </c>
      <c r="Z11" s="1150" t="str">
        <f t="shared" ref="Z11:Z17" si="7">Q11</f>
        <v>用途</v>
      </c>
      <c r="AA11" s="1571">
        <f t="shared" si="3"/>
        <v>1</v>
      </c>
      <c r="AB11" s="1571">
        <f t="shared" si="4"/>
        <v>1</v>
      </c>
      <c r="AC11" s="1571">
        <f t="shared" si="5"/>
        <v>1</v>
      </c>
    </row>
    <row r="12" spans="1:30" s="1338" customFormat="1" ht="27">
      <c r="A12" s="2915"/>
      <c r="B12" s="2920" t="s">
        <v>2759</v>
      </c>
      <c r="C12" s="910">
        <f>'数据-取费表'!F6</f>
        <v>68.75</v>
      </c>
      <c r="D12" s="255">
        <v>100</v>
      </c>
      <c r="E12" s="529" t="s">
        <v>3290</v>
      </c>
      <c r="F12" s="255">
        <f>ROUND(100/'数据-取费表'!G16,0)</f>
        <v>100</v>
      </c>
      <c r="G12" s="530" t="s">
        <v>3290</v>
      </c>
      <c r="H12" s="255">
        <f>ROUND(100/'数据-取费表'!G16,0)</f>
        <v>100</v>
      </c>
      <c r="I12" s="530" t="s">
        <v>3290</v>
      </c>
      <c r="J12" s="255">
        <f>ROUND(100/'数据-取费表'!G16,0)</f>
        <v>100</v>
      </c>
      <c r="K12" s="531"/>
      <c r="L12" s="2139"/>
      <c r="M12" s="2133"/>
      <c r="N12" s="2133"/>
      <c r="O12" s="2140"/>
      <c r="P12" s="3351"/>
      <c r="Q12" s="1151" t="str">
        <f t="shared" si="6"/>
        <v>土地使用年限（年）</v>
      </c>
      <c r="R12" s="1568" t="s">
        <v>8</v>
      </c>
      <c r="S12" s="1569">
        <f t="shared" si="0"/>
        <v>100</v>
      </c>
      <c r="T12" s="1568" t="s">
        <v>8</v>
      </c>
      <c r="U12" s="1569">
        <f t="shared" si="1"/>
        <v>100</v>
      </c>
      <c r="V12" s="1568" t="s">
        <v>8</v>
      </c>
      <c r="W12" s="1569">
        <f t="shared" si="2"/>
        <v>100</v>
      </c>
      <c r="X12" s="1570"/>
      <c r="Y12" s="3297"/>
      <c r="Z12" s="1150" t="str">
        <f t="shared" si="7"/>
        <v>土地使用年限（年）</v>
      </c>
      <c r="AA12" s="1571">
        <f t="shared" si="3"/>
        <v>1</v>
      </c>
      <c r="AB12" s="1571">
        <f t="shared" si="4"/>
        <v>1</v>
      </c>
      <c r="AC12" s="1571">
        <f t="shared" si="5"/>
        <v>1</v>
      </c>
    </row>
    <row r="13" spans="1:30" ht="20.25">
      <c r="A13" s="2916"/>
      <c r="B13" s="2920" t="s">
        <v>2760</v>
      </c>
      <c r="C13" s="534">
        <f>'数据-汇总表'!I6</f>
        <v>2.35</v>
      </c>
      <c r="D13" s="255">
        <v>100</v>
      </c>
      <c r="E13" s="533">
        <f>土地案例!L1</f>
        <v>2.5</v>
      </c>
      <c r="F13" s="255">
        <f>LOOKUP(E13,82:82,83:83)-LOOKUP(C13,82:82,83:83)+100</f>
        <v>100</v>
      </c>
      <c r="G13" s="534">
        <f>土地案例!L2</f>
        <v>2.5</v>
      </c>
      <c r="H13" s="255">
        <f>LOOKUP(G13,82:82,83:83)-LOOKUP(C13,82:82,83:83)+100</f>
        <v>100</v>
      </c>
      <c r="I13" s="533">
        <f>土地案例!L3</f>
        <v>2.5</v>
      </c>
      <c r="J13" s="255">
        <f>LOOKUP(I13,82:82,83:83)-LOOKUP(C13,82:82,83:83)+100</f>
        <v>100</v>
      </c>
      <c r="K13" s="535">
        <v>2</v>
      </c>
      <c r="L13" s="2141"/>
      <c r="M13" s="2133"/>
      <c r="N13" s="2133"/>
      <c r="O13" s="2142"/>
      <c r="P13" s="3351"/>
      <c r="Q13" s="1151" t="str">
        <f t="shared" si="6"/>
        <v>容积率</v>
      </c>
      <c r="R13" s="1568" t="s">
        <v>8</v>
      </c>
      <c r="S13" s="1569">
        <f t="shared" si="0"/>
        <v>100</v>
      </c>
      <c r="T13" s="1568" t="s">
        <v>8</v>
      </c>
      <c r="U13" s="1569">
        <f t="shared" si="1"/>
        <v>100</v>
      </c>
      <c r="V13" s="1568" t="s">
        <v>8</v>
      </c>
      <c r="W13" s="1569">
        <f t="shared" si="2"/>
        <v>100</v>
      </c>
      <c r="X13" s="1570"/>
      <c r="Y13" s="3297"/>
      <c r="Z13" s="1150" t="str">
        <f t="shared" si="7"/>
        <v>容积率</v>
      </c>
      <c r="AA13" s="1571">
        <f t="shared" si="3"/>
        <v>1</v>
      </c>
      <c r="AB13" s="1571">
        <f t="shared" si="4"/>
        <v>1</v>
      </c>
      <c r="AC13" s="1571">
        <f t="shared" si="5"/>
        <v>1</v>
      </c>
    </row>
    <row r="14" spans="1:30" s="1220" customFormat="1" ht="21" thickBot="1">
      <c r="A14" s="2913"/>
      <c r="B14" s="2922" t="s">
        <v>2761</v>
      </c>
      <c r="C14" s="1374" t="s">
        <v>3267</v>
      </c>
      <c r="D14" s="538">
        <v>100</v>
      </c>
      <c r="E14" s="1374" t="s">
        <v>3267</v>
      </c>
      <c r="F14" s="255">
        <f>SUMIF(84:84,E14,85:85)-SUMIF(84:84,C14,85:85)+100</f>
        <v>100</v>
      </c>
      <c r="G14" s="1374" t="s">
        <v>3267</v>
      </c>
      <c r="H14" s="255">
        <f>SUMIF(84:84,G14,85:85)-SUMIF(84:84,C14,85:85)+100</f>
        <v>100</v>
      </c>
      <c r="I14" s="1374" t="s">
        <v>3267</v>
      </c>
      <c r="J14" s="255">
        <f>SUMIF(84:84,I14,85:85)-SUMIF(84:84,C14,85:85)+100</f>
        <v>100</v>
      </c>
      <c r="K14" s="531"/>
      <c r="L14" s="2136"/>
      <c r="M14" s="2133"/>
      <c r="N14" s="2133"/>
      <c r="O14" s="2138"/>
      <c r="P14" s="3351"/>
      <c r="Q14" s="1151" t="str">
        <f t="shared" si="6"/>
        <v>配建</v>
      </c>
      <c r="R14" s="1568" t="s">
        <v>8</v>
      </c>
      <c r="S14" s="1569">
        <f t="shared" si="0"/>
        <v>100</v>
      </c>
      <c r="T14" s="1568" t="s">
        <v>8</v>
      </c>
      <c r="U14" s="1569">
        <f t="shared" si="1"/>
        <v>100</v>
      </c>
      <c r="V14" s="1568" t="s">
        <v>8</v>
      </c>
      <c r="W14" s="1569">
        <f t="shared" si="2"/>
        <v>100</v>
      </c>
      <c r="X14" s="1570"/>
      <c r="Y14" s="3297"/>
      <c r="Z14" s="1150" t="str">
        <f t="shared" si="7"/>
        <v>配建</v>
      </c>
      <c r="AA14" s="1571">
        <f>D14/F14</f>
        <v>1</v>
      </c>
      <c r="AB14" s="1571">
        <f>D14/H14</f>
        <v>1</v>
      </c>
      <c r="AC14" s="1571">
        <f>D14/J14</f>
        <v>1</v>
      </c>
    </row>
    <row r="15" spans="1:30" ht="20.25" hidden="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1"/>
      <c r="Q15" s="1151">
        <f t="shared" si="6"/>
        <v>111</v>
      </c>
      <c r="R15" s="1568" t="s">
        <v>8</v>
      </c>
      <c r="S15" s="1569">
        <f t="shared" si="0"/>
        <v>100</v>
      </c>
      <c r="T15" s="1568" t="s">
        <v>8</v>
      </c>
      <c r="U15" s="1569">
        <f t="shared" si="1"/>
        <v>100</v>
      </c>
      <c r="V15" s="1568" t="s">
        <v>8</v>
      </c>
      <c r="W15" s="1569">
        <f t="shared" si="2"/>
        <v>100</v>
      </c>
      <c r="X15" s="1570"/>
      <c r="Y15" s="3297"/>
      <c r="Z15" s="1150">
        <f t="shared" si="7"/>
        <v>111</v>
      </c>
      <c r="AA15" s="1571">
        <f>D15/F15</f>
        <v>1</v>
      </c>
      <c r="AB15" s="1571">
        <f>D15/H15</f>
        <v>1</v>
      </c>
      <c r="AC15" s="1571">
        <f>D15/J15</f>
        <v>1</v>
      </c>
    </row>
    <row r="16" spans="1:30" ht="21" hidden="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1"/>
      <c r="Q16" s="1151">
        <f t="shared" si="6"/>
        <v>111</v>
      </c>
      <c r="R16" s="1568" t="s">
        <v>8</v>
      </c>
      <c r="S16" s="1569">
        <f t="shared" si="0"/>
        <v>100</v>
      </c>
      <c r="T16" s="1568" t="s">
        <v>8</v>
      </c>
      <c r="U16" s="1569">
        <f t="shared" si="1"/>
        <v>100</v>
      </c>
      <c r="V16" s="1568" t="s">
        <v>8</v>
      </c>
      <c r="W16" s="1569">
        <f t="shared" si="2"/>
        <v>100</v>
      </c>
      <c r="X16" s="1570"/>
      <c r="Y16" s="3297"/>
      <c r="Z16" s="1150">
        <f t="shared" si="7"/>
        <v>111</v>
      </c>
      <c r="AA16" s="1571">
        <f>D16/F16</f>
        <v>1</v>
      </c>
      <c r="AB16" s="1571">
        <f>D16/H16</f>
        <v>1</v>
      </c>
      <c r="AC16" s="1571">
        <f>D16/J16</f>
        <v>1</v>
      </c>
    </row>
    <row r="17" spans="1:29" ht="20.25">
      <c r="A17" s="2910" t="s">
        <v>2756</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5" t="s">
        <v>540</v>
      </c>
      <c r="Q17" s="1572" t="str">
        <f t="shared" si="6"/>
        <v>居住社区成熟度</v>
      </c>
      <c r="R17" s="1573" t="s">
        <v>8</v>
      </c>
      <c r="S17" s="1574">
        <f t="shared" si="0"/>
        <v>100</v>
      </c>
      <c r="T17" s="1573" t="s">
        <v>8</v>
      </c>
      <c r="U17" s="1574">
        <f t="shared" si="1"/>
        <v>100</v>
      </c>
      <c r="V17" s="1573" t="s">
        <v>8</v>
      </c>
      <c r="W17" s="1574">
        <f t="shared" si="2"/>
        <v>100</v>
      </c>
      <c r="X17" s="1567"/>
      <c r="Y17" s="3385" t="s">
        <v>540</v>
      </c>
      <c r="Z17" s="1575" t="str">
        <f t="shared" si="7"/>
        <v>居住社区成熟度</v>
      </c>
      <c r="AA17" s="1576">
        <f t="shared" si="3"/>
        <v>1</v>
      </c>
      <c r="AB17" s="1576">
        <f t="shared" si="4"/>
        <v>1</v>
      </c>
      <c r="AC17" s="1576">
        <f t="shared" si="5"/>
        <v>1</v>
      </c>
    </row>
    <row r="18" spans="1:29" ht="20.25">
      <c r="A18" s="532"/>
      <c r="B18" s="553"/>
      <c r="C18" s="554" t="s">
        <v>3030</v>
      </c>
      <c r="D18" s="557"/>
      <c r="E18" s="554" t="s">
        <v>3030</v>
      </c>
      <c r="F18" s="555"/>
      <c r="G18" s="554" t="s">
        <v>3030</v>
      </c>
      <c r="H18" s="559"/>
      <c r="I18" s="554" t="s">
        <v>3030</v>
      </c>
      <c r="J18" s="555"/>
      <c r="K18" s="531"/>
      <c r="L18" s="2143"/>
      <c r="M18" s="2133"/>
      <c r="N18" s="2133"/>
      <c r="O18" s="2142"/>
      <c r="P18" s="3386"/>
      <c r="Q18" s="1572"/>
      <c r="R18" s="1573"/>
      <c r="S18" s="1574"/>
      <c r="T18" s="1573"/>
      <c r="U18" s="1574"/>
      <c r="V18" s="1573"/>
      <c r="W18" s="1574"/>
      <c r="X18" s="1567"/>
      <c r="Y18" s="3386"/>
      <c r="Z18" s="1575"/>
      <c r="AA18" s="1576">
        <v>1</v>
      </c>
      <c r="AB18" s="1576">
        <v>1</v>
      </c>
      <c r="AC18" s="1576">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86"/>
      <c r="Q19" s="1572" t="str">
        <f>B19</f>
        <v>商业繁华度</v>
      </c>
      <c r="R19" s="1573" t="s">
        <v>8</v>
      </c>
      <c r="S19" s="1574">
        <f>F19</f>
        <v>100</v>
      </c>
      <c r="T19" s="1573" t="s">
        <v>8</v>
      </c>
      <c r="U19" s="1574">
        <f>H19</f>
        <v>100</v>
      </c>
      <c r="V19" s="1573" t="s">
        <v>8</v>
      </c>
      <c r="W19" s="1574">
        <f>J19</f>
        <v>100</v>
      </c>
      <c r="X19" s="1567"/>
      <c r="Y19" s="3386"/>
      <c r="Z19" s="1575" t="str">
        <f>Q19</f>
        <v>商业繁华度</v>
      </c>
      <c r="AA19" s="1576">
        <f t="shared" si="3"/>
        <v>1</v>
      </c>
      <c r="AB19" s="1576">
        <f t="shared" si="4"/>
        <v>1</v>
      </c>
      <c r="AC19" s="1576">
        <f t="shared" si="5"/>
        <v>1</v>
      </c>
    </row>
    <row r="20" spans="1:29" ht="20.25">
      <c r="A20" s="532"/>
      <c r="B20" s="566"/>
      <c r="C20" s="567" t="s">
        <v>3032</v>
      </c>
      <c r="D20" s="563"/>
      <c r="E20" s="567" t="s">
        <v>3032</v>
      </c>
      <c r="F20" s="559"/>
      <c r="G20" s="567" t="s">
        <v>3032</v>
      </c>
      <c r="H20" s="555"/>
      <c r="I20" s="567" t="s">
        <v>3032</v>
      </c>
      <c r="J20" s="555"/>
      <c r="K20" s="531"/>
      <c r="L20" s="2143"/>
      <c r="M20" s="2133"/>
      <c r="N20" s="2133"/>
      <c r="O20" s="2142"/>
      <c r="P20" s="3386"/>
      <c r="Q20" s="1572"/>
      <c r="R20" s="1573"/>
      <c r="S20" s="1574"/>
      <c r="T20" s="1573"/>
      <c r="U20" s="1574"/>
      <c r="V20" s="1573"/>
      <c r="W20" s="1574"/>
      <c r="X20" s="1567"/>
      <c r="Y20" s="3386"/>
      <c r="Z20" s="1575"/>
      <c r="AA20" s="1576">
        <v>1</v>
      </c>
      <c r="AB20" s="1576">
        <v>1</v>
      </c>
      <c r="AC20" s="1576">
        <v>1</v>
      </c>
    </row>
    <row r="21" spans="1:29" ht="71.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2" t="str">
        <f>B21</f>
        <v>办公集聚程度</v>
      </c>
      <c r="R21" s="1573" t="s">
        <v>8</v>
      </c>
      <c r="S21" s="1574">
        <f>F21</f>
        <v>100</v>
      </c>
      <c r="T21" s="1573" t="s">
        <v>8</v>
      </c>
      <c r="U21" s="1574">
        <f>H21</f>
        <v>100</v>
      </c>
      <c r="V21" s="1573" t="s">
        <v>8</v>
      </c>
      <c r="W21" s="1574">
        <f>J21</f>
        <v>100</v>
      </c>
      <c r="X21" s="1567"/>
      <c r="Y21" s="338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86"/>
      <c r="Q22" s="1572"/>
      <c r="R22" s="1573"/>
      <c r="S22" s="1574"/>
      <c r="T22" s="1573"/>
      <c r="U22" s="1574"/>
      <c r="V22" s="1573"/>
      <c r="W22" s="1574"/>
      <c r="X22" s="1567"/>
      <c r="Y22" s="3386"/>
      <c r="Z22" s="1575"/>
      <c r="AA22" s="1576">
        <v>1</v>
      </c>
      <c r="AB22" s="1576">
        <v>1</v>
      </c>
      <c r="AC22" s="1576">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6"/>
      <c r="Q23" s="1572" t="str">
        <f>B23</f>
        <v>交通便捷度</v>
      </c>
      <c r="R23" s="1573" t="s">
        <v>8</v>
      </c>
      <c r="S23" s="1574">
        <f>F23</f>
        <v>100</v>
      </c>
      <c r="T23" s="1573" t="s">
        <v>8</v>
      </c>
      <c r="U23" s="1574">
        <f>H23</f>
        <v>100</v>
      </c>
      <c r="V23" s="1573" t="s">
        <v>8</v>
      </c>
      <c r="W23" s="1574">
        <f>J23</f>
        <v>100</v>
      </c>
      <c r="X23" s="1567"/>
      <c r="Y23" s="3386"/>
      <c r="Z23" s="1575" t="str">
        <f>Q23</f>
        <v>交通便捷度</v>
      </c>
      <c r="AA23" s="1576">
        <f t="shared" si="3"/>
        <v>1</v>
      </c>
      <c r="AB23" s="1576">
        <f t="shared" si="4"/>
        <v>1</v>
      </c>
      <c r="AC23" s="1576">
        <f t="shared" si="5"/>
        <v>1</v>
      </c>
    </row>
    <row r="24" spans="1:29" ht="20.25">
      <c r="A24" s="532"/>
      <c r="B24" s="578"/>
      <c r="C24" s="554" t="s">
        <v>3032</v>
      </c>
      <c r="D24" s="557"/>
      <c r="E24" s="554" t="s">
        <v>3032</v>
      </c>
      <c r="F24" s="555"/>
      <c r="G24" s="554" t="s">
        <v>3032</v>
      </c>
      <c r="H24" s="555"/>
      <c r="I24" s="554" t="s">
        <v>3032</v>
      </c>
      <c r="J24" s="555"/>
      <c r="K24" s="531"/>
      <c r="L24" s="2143"/>
      <c r="M24" s="2133"/>
      <c r="N24" s="2133"/>
      <c r="O24" s="2142"/>
      <c r="P24" s="3386"/>
      <c r="Q24" s="1572"/>
      <c r="R24" s="1573"/>
      <c r="S24" s="1574"/>
      <c r="T24" s="1573"/>
      <c r="U24" s="1574"/>
      <c r="V24" s="1573"/>
      <c r="W24" s="1574"/>
      <c r="X24" s="1567"/>
      <c r="Y24" s="3386"/>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86"/>
      <c r="Q25" s="1572" t="str">
        <f t="shared" ref="Q25:Q39" si="8">B25</f>
        <v>区域土地利用方向</v>
      </c>
      <c r="R25" s="1573" t="s">
        <v>8</v>
      </c>
      <c r="S25" s="1574">
        <f>F25</f>
        <v>100</v>
      </c>
      <c r="T25" s="1573" t="s">
        <v>8</v>
      </c>
      <c r="U25" s="1574">
        <f>H25</f>
        <v>100</v>
      </c>
      <c r="V25" s="1573" t="s">
        <v>8</v>
      </c>
      <c r="W25" s="1574">
        <f>J25</f>
        <v>100</v>
      </c>
      <c r="X25" s="1567"/>
      <c r="Y25" s="3386"/>
      <c r="Z25" s="1575" t="str">
        <f>Q25</f>
        <v>区域土地利用方向</v>
      </c>
      <c r="AA25" s="1576">
        <f t="shared" si="3"/>
        <v>1</v>
      </c>
      <c r="AB25" s="1576">
        <f t="shared" si="4"/>
        <v>1</v>
      </c>
      <c r="AC25" s="1576">
        <f t="shared" si="5"/>
        <v>1</v>
      </c>
    </row>
    <row r="26" spans="1:29" ht="20.25">
      <c r="A26" s="515"/>
      <c r="B26" s="1007"/>
      <c r="C26" s="554" t="s">
        <v>3030</v>
      </c>
      <c r="D26" s="557"/>
      <c r="E26" s="554" t="s">
        <v>3030</v>
      </c>
      <c r="F26" s="555"/>
      <c r="G26" s="554" t="s">
        <v>3030</v>
      </c>
      <c r="H26" s="555"/>
      <c r="I26" s="554" t="s">
        <v>3030</v>
      </c>
      <c r="J26" s="555"/>
      <c r="K26" s="531"/>
      <c r="L26" s="2143"/>
      <c r="M26" s="2133"/>
      <c r="N26" s="2133"/>
      <c r="O26" s="2142"/>
      <c r="P26" s="3386"/>
      <c r="Q26" s="1572"/>
      <c r="R26" s="1573"/>
      <c r="S26" s="1574"/>
      <c r="T26" s="1573"/>
      <c r="U26" s="1574"/>
      <c r="V26" s="1573"/>
      <c r="W26" s="1574"/>
      <c r="X26" s="1567"/>
      <c r="Y26" s="3386"/>
      <c r="Z26" s="1575"/>
      <c r="AA26" s="1576"/>
      <c r="AB26" s="1576"/>
      <c r="AC26" s="1576"/>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6"/>
      <c r="Q27" s="1572" t="str">
        <f t="shared" si="8"/>
        <v>自然及人文环境状况</v>
      </c>
      <c r="R27" s="1573" t="s">
        <v>8</v>
      </c>
      <c r="S27" s="1574">
        <f>F27</f>
        <v>100</v>
      </c>
      <c r="T27" s="1573" t="s">
        <v>8</v>
      </c>
      <c r="U27" s="1574">
        <f>H27</f>
        <v>100</v>
      </c>
      <c r="V27" s="1573" t="s">
        <v>8</v>
      </c>
      <c r="W27" s="1574">
        <f>J27</f>
        <v>100</v>
      </c>
      <c r="X27" s="1567"/>
      <c r="Y27" s="3386"/>
      <c r="Z27" s="1575" t="str">
        <f>Q27</f>
        <v>自然及人文环境状况</v>
      </c>
      <c r="AA27" s="1576">
        <f t="shared" si="3"/>
        <v>1</v>
      </c>
      <c r="AB27" s="1576">
        <f t="shared" si="4"/>
        <v>1</v>
      </c>
      <c r="AC27" s="1576">
        <f t="shared" si="5"/>
        <v>1</v>
      </c>
    </row>
    <row r="28" spans="1:29" ht="20.25">
      <c r="A28" s="515"/>
      <c r="B28" s="566"/>
      <c r="C28" s="554" t="s">
        <v>3030</v>
      </c>
      <c r="D28" s="557"/>
      <c r="E28" s="554" t="s">
        <v>3030</v>
      </c>
      <c r="F28" s="555"/>
      <c r="G28" s="554" t="s">
        <v>3030</v>
      </c>
      <c r="H28" s="555"/>
      <c r="I28" s="554" t="s">
        <v>3030</v>
      </c>
      <c r="J28" s="555"/>
      <c r="K28" s="531"/>
      <c r="L28" s="2143"/>
      <c r="M28" s="2133"/>
      <c r="N28" s="2133"/>
      <c r="O28" s="2142"/>
      <c r="P28" s="3386"/>
      <c r="Q28" s="1572"/>
      <c r="R28" s="1573"/>
      <c r="S28" s="1574"/>
      <c r="T28" s="1573"/>
      <c r="U28" s="1574"/>
      <c r="V28" s="1573"/>
      <c r="W28" s="1574"/>
      <c r="X28" s="1567"/>
      <c r="Y28" s="3386"/>
      <c r="Z28" s="1575"/>
      <c r="AA28" s="1576">
        <v>1</v>
      </c>
      <c r="AB28" s="1576">
        <v>1</v>
      </c>
      <c r="AC28" s="1576">
        <v>1</v>
      </c>
    </row>
    <row r="29" spans="1:29" s="1220" customFormat="1" ht="20.25">
      <c r="A29" s="577"/>
      <c r="B29" s="2592" t="s">
        <v>2550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6"/>
      <c r="Q29" s="1151" t="str">
        <f t="shared" si="8"/>
        <v>公共配套设施</v>
      </c>
      <c r="R29" s="1568" t="s">
        <v>8</v>
      </c>
      <c r="S29" s="1569">
        <f>F29</f>
        <v>100</v>
      </c>
      <c r="T29" s="1568" t="s">
        <v>8</v>
      </c>
      <c r="U29" s="1569">
        <f>H29</f>
        <v>100</v>
      </c>
      <c r="V29" s="1568" t="s">
        <v>8</v>
      </c>
      <c r="W29" s="1569">
        <f>J29</f>
        <v>100</v>
      </c>
      <c r="X29" s="1570"/>
      <c r="Y29" s="3386"/>
      <c r="Z29" s="1150" t="str">
        <f>Q29</f>
        <v>公共配套设施</v>
      </c>
      <c r="AA29" s="1576">
        <f>D29/F29</f>
        <v>1</v>
      </c>
      <c r="AB29" s="1576">
        <f>D29/H29</f>
        <v>1</v>
      </c>
      <c r="AC29" s="1576">
        <f>D29/J29</f>
        <v>1</v>
      </c>
    </row>
    <row r="30" spans="1:29" s="1220" customFormat="1" ht="20.25">
      <c r="A30" s="577"/>
      <c r="B30" s="566"/>
      <c r="C30" s="579" t="s">
        <v>3032</v>
      </c>
      <c r="D30" s="557"/>
      <c r="E30" s="579" t="s">
        <v>3032</v>
      </c>
      <c r="F30" s="555"/>
      <c r="G30" s="579" t="s">
        <v>3032</v>
      </c>
      <c r="H30" s="555"/>
      <c r="I30" s="579" t="s">
        <v>3032</v>
      </c>
      <c r="J30" s="555"/>
      <c r="K30" s="531"/>
      <c r="L30" s="2136"/>
      <c r="M30" s="2133"/>
      <c r="N30" s="2133"/>
      <c r="O30" s="2138"/>
      <c r="P30" s="3386"/>
      <c r="Q30" s="1151"/>
      <c r="R30" s="1568"/>
      <c r="S30" s="1569"/>
      <c r="T30" s="1568"/>
      <c r="U30" s="1569"/>
      <c r="V30" s="1568"/>
      <c r="W30" s="1569"/>
      <c r="X30" s="1570"/>
      <c r="Y30" s="3386"/>
      <c r="Z30" s="1150"/>
      <c r="AA30" s="1576">
        <v>1</v>
      </c>
      <c r="AB30" s="1576">
        <v>1</v>
      </c>
      <c r="AC30" s="1576">
        <v>1</v>
      </c>
    </row>
    <row r="31" spans="1:29" s="1220" customFormat="1" ht="20.25">
      <c r="A31" s="577"/>
      <c r="B31" s="2592" t="s">
        <v>2551</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6"/>
      <c r="Q31" s="2579" t="str">
        <f t="shared" ref="Q31" si="9">B31</f>
        <v>基础设施水平</v>
      </c>
      <c r="R31" s="1568" t="s">
        <v>8</v>
      </c>
      <c r="S31" s="1569">
        <f>F31</f>
        <v>100</v>
      </c>
      <c r="T31" s="1568" t="s">
        <v>8</v>
      </c>
      <c r="U31" s="1569">
        <f>H31</f>
        <v>100</v>
      </c>
      <c r="V31" s="1568" t="s">
        <v>8</v>
      </c>
      <c r="W31" s="1569">
        <f>J31</f>
        <v>100</v>
      </c>
      <c r="X31" s="1570"/>
      <c r="Y31" s="3386"/>
      <c r="Z31" s="2576" t="str">
        <f>Q31</f>
        <v>基础设施水平</v>
      </c>
      <c r="AA31" s="1576">
        <f>D31/F31</f>
        <v>1</v>
      </c>
      <c r="AB31" s="1576">
        <f>D31/H31</f>
        <v>1</v>
      </c>
      <c r="AC31" s="1576">
        <f>D31/J31</f>
        <v>1</v>
      </c>
    </row>
    <row r="32" spans="1:29" s="1220" customFormat="1" ht="20.25">
      <c r="A32" s="577"/>
      <c r="B32" s="566"/>
      <c r="C32" s="579" t="s">
        <v>3034</v>
      </c>
      <c r="D32" s="557"/>
      <c r="E32" s="579" t="s">
        <v>3034</v>
      </c>
      <c r="F32" s="555"/>
      <c r="G32" s="579" t="s">
        <v>3034</v>
      </c>
      <c r="H32" s="555"/>
      <c r="I32" s="579" t="s">
        <v>3034</v>
      </c>
      <c r="J32" s="555"/>
      <c r="K32" s="531"/>
      <c r="L32" s="2136"/>
      <c r="M32" s="2133"/>
      <c r="N32" s="2133"/>
      <c r="O32" s="2138"/>
      <c r="P32" s="3386"/>
      <c r="Q32" s="2579"/>
      <c r="R32" s="1568"/>
      <c r="S32" s="1569"/>
      <c r="T32" s="1568"/>
      <c r="U32" s="1569"/>
      <c r="V32" s="1568"/>
      <c r="W32" s="1569"/>
      <c r="X32" s="1570"/>
      <c r="Y32" s="3386"/>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38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386"/>
      <c r="Q34" s="1572" t="str">
        <f t="shared" si="8"/>
        <v>毗邻道路的类型与等级</v>
      </c>
      <c r="R34" s="1573" t="s">
        <v>8</v>
      </c>
      <c r="S34" s="1574">
        <f t="shared" si="10"/>
        <v>100</v>
      </c>
      <c r="T34" s="1573" t="s">
        <v>8</v>
      </c>
      <c r="U34" s="1574">
        <f t="shared" si="11"/>
        <v>100</v>
      </c>
      <c r="V34" s="1573" t="s">
        <v>8</v>
      </c>
      <c r="W34" s="1574">
        <f t="shared" si="12"/>
        <v>100</v>
      </c>
      <c r="X34" s="1567"/>
      <c r="Y34" s="3386"/>
      <c r="Z34" s="1575" t="str">
        <f t="shared" si="13"/>
        <v>毗邻道路的类型与等级</v>
      </c>
      <c r="AA34" s="1576">
        <f t="shared" si="3"/>
        <v>1</v>
      </c>
      <c r="AB34" s="1576">
        <f t="shared" si="4"/>
        <v>1</v>
      </c>
      <c r="AC34" s="1576">
        <f t="shared" si="5"/>
        <v>1</v>
      </c>
    </row>
    <row r="35" spans="1:29" ht="21" thickBot="1">
      <c r="A35" s="532"/>
      <c r="B35" s="566"/>
      <c r="C35" s="554"/>
      <c r="D35" s="557"/>
      <c r="E35" s="576"/>
      <c r="F35" s="555"/>
      <c r="G35" s="554"/>
      <c r="H35" s="555"/>
      <c r="I35" s="576"/>
      <c r="J35" s="555"/>
      <c r="K35" s="581"/>
      <c r="L35" s="2143"/>
      <c r="M35" s="2133"/>
      <c r="N35" s="2133"/>
      <c r="O35" s="2142"/>
      <c r="P35" s="3386"/>
      <c r="Q35" s="1572"/>
      <c r="R35" s="1573"/>
      <c r="S35" s="1574"/>
      <c r="T35" s="1573"/>
      <c r="U35" s="1574"/>
      <c r="V35" s="1573"/>
      <c r="W35" s="1574"/>
      <c r="X35" s="1567"/>
      <c r="Y35" s="3386"/>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2" t="str">
        <f t="shared" si="8"/>
        <v>土地级别</v>
      </c>
      <c r="R36" s="1573" t="s">
        <v>8</v>
      </c>
      <c r="S36" s="1574">
        <f t="shared" si="10"/>
        <v>100</v>
      </c>
      <c r="T36" s="1573" t="s">
        <v>8</v>
      </c>
      <c r="U36" s="1574">
        <f t="shared" si="11"/>
        <v>100</v>
      </c>
      <c r="V36" s="1573" t="s">
        <v>8</v>
      </c>
      <c r="W36" s="1574">
        <f t="shared" si="12"/>
        <v>100</v>
      </c>
      <c r="X36" s="1567"/>
      <c r="Y36" s="3386"/>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2">
        <f t="shared" si="8"/>
        <v>111</v>
      </c>
      <c r="R37" s="1573" t="s">
        <v>8</v>
      </c>
      <c r="S37" s="1574">
        <f t="shared" si="10"/>
        <v>100</v>
      </c>
      <c r="T37" s="1573" t="s">
        <v>8</v>
      </c>
      <c r="U37" s="1574">
        <f t="shared" si="11"/>
        <v>100</v>
      </c>
      <c r="V37" s="1573" t="s">
        <v>8</v>
      </c>
      <c r="W37" s="1574">
        <f t="shared" si="12"/>
        <v>100</v>
      </c>
      <c r="X37" s="1567"/>
      <c r="Y37" s="3386"/>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2">
        <f t="shared" si="8"/>
        <v>111</v>
      </c>
      <c r="R38" s="1573" t="s">
        <v>8</v>
      </c>
      <c r="S38" s="1574">
        <f t="shared" si="10"/>
        <v>100</v>
      </c>
      <c r="T38" s="1573" t="s">
        <v>8</v>
      </c>
      <c r="U38" s="1574">
        <f t="shared" si="11"/>
        <v>100</v>
      </c>
      <c r="V38" s="1573" t="s">
        <v>8</v>
      </c>
      <c r="W38" s="1574">
        <f t="shared" si="12"/>
        <v>100</v>
      </c>
      <c r="X38" s="1567"/>
      <c r="Y38" s="3388"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2">
        <f t="shared" si="8"/>
        <v>111</v>
      </c>
      <c r="R39" s="1577" t="s">
        <v>8</v>
      </c>
      <c r="S39" s="1578">
        <f t="shared" si="10"/>
        <v>100</v>
      </c>
      <c r="T39" s="1577" t="s">
        <v>8</v>
      </c>
      <c r="U39" s="1578">
        <f t="shared" si="11"/>
        <v>100</v>
      </c>
      <c r="V39" s="1577" t="s">
        <v>8</v>
      </c>
      <c r="W39" s="1578">
        <f t="shared" si="12"/>
        <v>100</v>
      </c>
      <c r="X39" s="1579"/>
      <c r="Y39" s="3388"/>
      <c r="Z39" s="1580">
        <f t="shared" si="13"/>
        <v>111</v>
      </c>
      <c r="AA39" s="1576">
        <f t="shared" si="3"/>
        <v>1</v>
      </c>
      <c r="AB39" s="1576">
        <f t="shared" si="4"/>
        <v>1</v>
      </c>
      <c r="AC39" s="1576">
        <f t="shared" si="5"/>
        <v>1</v>
      </c>
    </row>
    <row r="40" spans="1:29" ht="20.25">
      <c r="A40" s="2908" t="s">
        <v>2757</v>
      </c>
      <c r="B40" s="595" t="s">
        <v>552</v>
      </c>
      <c r="C40" s="596">
        <f>'数据-基础表'!A3</f>
        <v>80904.83</v>
      </c>
      <c r="D40" s="597">
        <v>100</v>
      </c>
      <c r="E40" s="596">
        <f>土地案例!J1</f>
        <v>76286.2</v>
      </c>
      <c r="F40" s="597">
        <f>LOOKUP(E40,119:119,120:120)-LOOKUP(C40,119:119,120:120)+100</f>
        <v>100</v>
      </c>
      <c r="G40" s="596">
        <f>土地案例!J2</f>
        <v>28212.35</v>
      </c>
      <c r="H40" s="597">
        <f>LOOKUP(G40,119:119,120:120)-LOOKUP(C40,119:119,120:120)+100</f>
        <v>99</v>
      </c>
      <c r="I40" s="598">
        <f>土地案例!J3</f>
        <v>22717.91</v>
      </c>
      <c r="J40" s="597">
        <f>LOOKUP(I40,119:119,120:120)-LOOKUP(C40,119:119,120:120)+100</f>
        <v>99</v>
      </c>
      <c r="K40" s="581"/>
      <c r="L40" s="2143"/>
      <c r="M40" s="2133"/>
      <c r="N40" s="2133"/>
      <c r="O40" s="2142"/>
      <c r="P40" s="3388"/>
      <c r="Q40" s="1572" t="str">
        <f>B40</f>
        <v>宗地面积</v>
      </c>
      <c r="R40" s="1573" t="s">
        <v>8</v>
      </c>
      <c r="S40" s="1574">
        <f t="shared" si="10"/>
        <v>100</v>
      </c>
      <c r="T40" s="1573" t="s">
        <v>8</v>
      </c>
      <c r="U40" s="1574">
        <f t="shared" si="11"/>
        <v>99</v>
      </c>
      <c r="V40" s="1573" t="s">
        <v>8</v>
      </c>
      <c r="W40" s="1574">
        <f t="shared" si="12"/>
        <v>99</v>
      </c>
      <c r="X40" s="1567"/>
      <c r="Y40" s="3388"/>
      <c r="Z40" s="1575" t="str">
        <f t="shared" si="13"/>
        <v>宗地面积</v>
      </c>
      <c r="AA40" s="1576">
        <f t="shared" si="3"/>
        <v>1</v>
      </c>
      <c r="AB40" s="1576">
        <f t="shared" si="4"/>
        <v>1.0101010101010102</v>
      </c>
      <c r="AC40" s="1576">
        <f t="shared" si="5"/>
        <v>1.0101010101010102</v>
      </c>
    </row>
    <row r="41" spans="1:29" ht="20.25">
      <c r="A41" s="594"/>
      <c r="B41" s="527" t="s">
        <v>553</v>
      </c>
      <c r="C41" s="599" t="s">
        <v>3274</v>
      </c>
      <c r="D41" s="540">
        <v>100</v>
      </c>
      <c r="E41" s="599" t="s">
        <v>3274</v>
      </c>
      <c r="F41" s="540">
        <f>SUMIF(121:121,E41,122:122)-SUMIF(121:121,C41,122:122)+100</f>
        <v>100</v>
      </c>
      <c r="G41" s="599" t="s">
        <v>3274</v>
      </c>
      <c r="H41" s="540">
        <f>SUMIF(121:121,G41,122:122)-SUMIF(121:121,C41,122:122)+100</f>
        <v>100</v>
      </c>
      <c r="I41" s="599" t="s">
        <v>3274</v>
      </c>
      <c r="J41" s="540">
        <f>SUMIF(121:121,I41,122:122)-SUMIF(121:121,C41,122:122)+100</f>
        <v>100</v>
      </c>
      <c r="K41" s="584">
        <v>2</v>
      </c>
      <c r="L41" s="2143"/>
      <c r="M41" s="2133"/>
      <c r="N41" s="2133"/>
      <c r="O41" s="2142"/>
      <c r="P41" s="3388"/>
      <c r="Q41" s="1572" t="str">
        <f t="shared" ref="Q41:Q47" si="14">B41</f>
        <v>宗地形状</v>
      </c>
      <c r="R41" s="1573" t="s">
        <v>8</v>
      </c>
      <c r="S41" s="1574">
        <f t="shared" si="10"/>
        <v>100</v>
      </c>
      <c r="T41" s="1573" t="s">
        <v>8</v>
      </c>
      <c r="U41" s="1574">
        <f t="shared" si="11"/>
        <v>100</v>
      </c>
      <c r="V41" s="1573" t="s">
        <v>8</v>
      </c>
      <c r="W41" s="1574">
        <f t="shared" si="12"/>
        <v>100</v>
      </c>
      <c r="X41" s="1567"/>
      <c r="Y41" s="3388"/>
      <c r="Z41" s="1575" t="str">
        <f t="shared" si="13"/>
        <v>宗地形状</v>
      </c>
      <c r="AA41" s="1576">
        <f t="shared" si="3"/>
        <v>1</v>
      </c>
      <c r="AB41" s="1576">
        <f t="shared" si="4"/>
        <v>1</v>
      </c>
      <c r="AC41" s="1576">
        <f t="shared" si="5"/>
        <v>1</v>
      </c>
    </row>
    <row r="42" spans="1:29" ht="20.25">
      <c r="A42" s="594"/>
      <c r="B42" s="527" t="s">
        <v>554</v>
      </c>
      <c r="C42" s="599" t="s">
        <v>3279</v>
      </c>
      <c r="D42" s="540">
        <v>100</v>
      </c>
      <c r="E42" s="599" t="s">
        <v>3279</v>
      </c>
      <c r="F42" s="540">
        <f>SUMIF(123:123,E42,124:124)-SUMIF(123:123,C42,124:124)+100</f>
        <v>100</v>
      </c>
      <c r="G42" s="599" t="s">
        <v>3279</v>
      </c>
      <c r="H42" s="540">
        <f>SUMIF(123:123,G42,124:124)-SUMIF(123:123,C42,124:124)+100</f>
        <v>100</v>
      </c>
      <c r="I42" s="599" t="s">
        <v>3279</v>
      </c>
      <c r="J42" s="540">
        <f>SUMIF(123:123,I42,124:124)-SUMIF(123:123,C42,124:124)+100</f>
        <v>100</v>
      </c>
      <c r="K42" s="584">
        <v>2</v>
      </c>
      <c r="L42" s="2143"/>
      <c r="M42" s="2133"/>
      <c r="N42" s="2133"/>
      <c r="O42" s="2142"/>
      <c r="P42" s="3388"/>
      <c r="Q42" s="1572" t="str">
        <f t="shared" si="14"/>
        <v>临街宽度及深度</v>
      </c>
      <c r="R42" s="1573" t="s">
        <v>8</v>
      </c>
      <c r="S42" s="1574">
        <f t="shared" si="10"/>
        <v>100</v>
      </c>
      <c r="T42" s="1573" t="s">
        <v>8</v>
      </c>
      <c r="U42" s="1574">
        <f t="shared" si="11"/>
        <v>100</v>
      </c>
      <c r="V42" s="1573" t="s">
        <v>8</v>
      </c>
      <c r="W42" s="1574">
        <f t="shared" si="12"/>
        <v>100</v>
      </c>
      <c r="X42" s="1567"/>
      <c r="Y42" s="3388"/>
      <c r="Z42" s="1575" t="str">
        <f t="shared" si="13"/>
        <v>临街宽度及深度</v>
      </c>
      <c r="AA42" s="1576">
        <f t="shared" si="3"/>
        <v>1</v>
      </c>
      <c r="AB42" s="1576">
        <f t="shared" si="4"/>
        <v>1</v>
      </c>
      <c r="AC42" s="1576">
        <f t="shared" si="5"/>
        <v>1</v>
      </c>
    </row>
    <row r="43" spans="1:29" s="1220" customFormat="1" ht="20.25">
      <c r="A43" s="600"/>
      <c r="B43" s="1896" t="s">
        <v>2426</v>
      </c>
      <c r="C43" s="601" t="s">
        <v>3286</v>
      </c>
      <c r="D43" s="255">
        <v>100</v>
      </c>
      <c r="E43" s="601" t="s">
        <v>3286</v>
      </c>
      <c r="F43" s="540">
        <f>SUMIF(125:125,E43,126:126)-SUMIF(125:125,C43,126:126)+100</f>
        <v>100</v>
      </c>
      <c r="G43" s="601" t="s">
        <v>3286</v>
      </c>
      <c r="H43" s="540">
        <f>SUMIF(125:125,G43,126:126)-SUMIF(125:125,C43,126:126)+100</f>
        <v>100</v>
      </c>
      <c r="I43" s="601" t="s">
        <v>3286</v>
      </c>
      <c r="J43" s="540">
        <f>SUMIF(125:125,I43,126:126)-SUMIF(125:125,C43,126:126)+100</f>
        <v>100</v>
      </c>
      <c r="K43" s="584">
        <v>1</v>
      </c>
      <c r="L43" s="2136"/>
      <c r="M43" s="2133"/>
      <c r="N43" s="2133"/>
      <c r="O43" s="2138"/>
      <c r="P43" s="3388"/>
      <c r="Q43" s="1572" t="str">
        <f t="shared" si="14"/>
        <v>宗地开发程度</v>
      </c>
      <c r="R43" s="1568" t="s">
        <v>8</v>
      </c>
      <c r="S43" s="1569">
        <f t="shared" si="10"/>
        <v>100</v>
      </c>
      <c r="T43" s="1568" t="s">
        <v>8</v>
      </c>
      <c r="U43" s="1569">
        <f t="shared" si="11"/>
        <v>100</v>
      </c>
      <c r="V43" s="1568" t="s">
        <v>8</v>
      </c>
      <c r="W43" s="1569">
        <f t="shared" si="12"/>
        <v>100</v>
      </c>
      <c r="X43" s="1570"/>
      <c r="Y43" s="3388"/>
      <c r="Z43" s="1150" t="str">
        <f t="shared" si="13"/>
        <v>宗地开发程度</v>
      </c>
      <c r="AA43" s="1571">
        <f t="shared" si="3"/>
        <v>1</v>
      </c>
      <c r="AB43" s="1571">
        <f t="shared" si="4"/>
        <v>1</v>
      </c>
      <c r="AC43" s="1571">
        <f t="shared" si="5"/>
        <v>1</v>
      </c>
    </row>
    <row r="44" spans="1:29" ht="21" thickBot="1">
      <c r="A44" s="594"/>
      <c r="B44" s="527" t="s">
        <v>555</v>
      </c>
      <c r="C44" s="599" t="s">
        <v>3030</v>
      </c>
      <c r="D44" s="540">
        <v>100</v>
      </c>
      <c r="E44" s="599" t="s">
        <v>3030</v>
      </c>
      <c r="F44" s="540">
        <f>SUMIF(127:127,E44,128:128)-SUMIF(127:127,C44,128:128)+100</f>
        <v>100</v>
      </c>
      <c r="G44" s="599" t="s">
        <v>3030</v>
      </c>
      <c r="H44" s="540">
        <f>SUMIF(127:127,G44,128:128)-SUMIF(127:127,C44,128:128)+100</f>
        <v>100</v>
      </c>
      <c r="I44" s="599" t="s">
        <v>3030</v>
      </c>
      <c r="J44" s="540">
        <f>SUMIF(127:127,I44,128:128)-SUMIF(127:127,C44,128:128)+100</f>
        <v>100</v>
      </c>
      <c r="K44" s="584">
        <v>2</v>
      </c>
      <c r="L44" s="2143"/>
      <c r="M44" s="2133"/>
      <c r="N44" s="2133"/>
      <c r="O44" s="2142"/>
      <c r="P44" s="3388" t="s">
        <v>550</v>
      </c>
      <c r="Q44" s="1572" t="str">
        <f t="shared" si="14"/>
        <v>工程地质条件</v>
      </c>
      <c r="R44" s="1573" t="s">
        <v>8</v>
      </c>
      <c r="S44" s="1574">
        <f t="shared" si="10"/>
        <v>100</v>
      </c>
      <c r="T44" s="1573" t="s">
        <v>8</v>
      </c>
      <c r="U44" s="1574">
        <f t="shared" si="11"/>
        <v>100</v>
      </c>
      <c r="V44" s="1573" t="s">
        <v>8</v>
      </c>
      <c r="W44" s="1574">
        <f t="shared" si="12"/>
        <v>100</v>
      </c>
      <c r="X44" s="1567"/>
      <c r="Y44" s="3388"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2">
        <f t="shared" si="14"/>
        <v>111</v>
      </c>
      <c r="R45" s="1573" t="s">
        <v>8</v>
      </c>
      <c r="S45" s="1574">
        <f t="shared" si="10"/>
        <v>100</v>
      </c>
      <c r="T45" s="1573" t="s">
        <v>8</v>
      </c>
      <c r="U45" s="1574">
        <f t="shared" si="11"/>
        <v>100</v>
      </c>
      <c r="V45" s="1573" t="s">
        <v>8</v>
      </c>
      <c r="W45" s="1574">
        <f t="shared" si="12"/>
        <v>100</v>
      </c>
      <c r="X45" s="1567"/>
      <c r="Y45" s="3388"/>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2">
        <f t="shared" si="14"/>
        <v>111</v>
      </c>
      <c r="R46" s="1573" t="s">
        <v>8</v>
      </c>
      <c r="S46" s="1574">
        <f t="shared" si="10"/>
        <v>100</v>
      </c>
      <c r="T46" s="1573" t="s">
        <v>8</v>
      </c>
      <c r="U46" s="1574">
        <f t="shared" si="11"/>
        <v>100</v>
      </c>
      <c r="V46" s="1573" t="s">
        <v>8</v>
      </c>
      <c r="W46" s="1574">
        <f t="shared" si="12"/>
        <v>100</v>
      </c>
      <c r="X46" s="1567"/>
      <c r="Y46" s="3388"/>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2">
        <f t="shared" si="14"/>
        <v>111</v>
      </c>
      <c r="R47" s="1577" t="s">
        <v>8</v>
      </c>
      <c r="S47" s="1578">
        <f t="shared" si="10"/>
        <v>100</v>
      </c>
      <c r="T47" s="1577" t="s">
        <v>8</v>
      </c>
      <c r="U47" s="1578">
        <f t="shared" si="11"/>
        <v>100</v>
      </c>
      <c r="V47" s="1577" t="s">
        <v>8</v>
      </c>
      <c r="W47" s="1578">
        <f t="shared" si="12"/>
        <v>100</v>
      </c>
      <c r="X47" s="1579"/>
      <c r="Y47" s="3388"/>
      <c r="Z47" s="1580">
        <f t="shared" si="13"/>
        <v>111</v>
      </c>
      <c r="AA47" s="1576">
        <f t="shared" si="3"/>
        <v>1</v>
      </c>
      <c r="AB47" s="1576">
        <f t="shared" si="4"/>
        <v>1</v>
      </c>
      <c r="AC47" s="1576">
        <f t="shared" si="5"/>
        <v>1</v>
      </c>
    </row>
    <row r="48" spans="1:29" ht="20.25">
      <c r="A48" s="607" t="s">
        <v>556</v>
      </c>
      <c r="B48" s="608" t="s">
        <v>3264</v>
      </c>
      <c r="C48" s="609" t="s">
        <v>1</v>
      </c>
      <c r="D48" s="610"/>
      <c r="E48" s="611">
        <f>土地案例!AK1</f>
        <v>39371.79</v>
      </c>
      <c r="F48" s="612"/>
      <c r="G48" s="613">
        <f>土地案例!AK2</f>
        <v>38281.040000000001</v>
      </c>
      <c r="H48" s="614"/>
      <c r="I48" s="611">
        <f>土地案例!AK3</f>
        <v>40320.44</v>
      </c>
      <c r="J48" s="614"/>
      <c r="K48" s="1340"/>
      <c r="L48" s="2145"/>
      <c r="M48" s="2133"/>
      <c r="N48" s="2133"/>
      <c r="O48" s="2146"/>
      <c r="P48" s="3351" t="str">
        <f>A48</f>
        <v>成交单价</v>
      </c>
      <c r="Q48" s="3351"/>
      <c r="R48" s="3352">
        <f>E48</f>
        <v>39371.79</v>
      </c>
      <c r="S48" s="3352"/>
      <c r="T48" s="3352">
        <f>G48</f>
        <v>38281.040000000001</v>
      </c>
      <c r="U48" s="3352"/>
      <c r="V48" s="3352">
        <f>I48</f>
        <v>40320.44</v>
      </c>
      <c r="W48" s="3352"/>
      <c r="X48" s="1559"/>
      <c r="Y48" s="1581"/>
      <c r="Z48" s="1559"/>
      <c r="AA48" s="1559"/>
      <c r="AB48" s="1559"/>
      <c r="AC48" s="1559"/>
    </row>
    <row r="49" spans="1:29" ht="21" thickBot="1">
      <c r="A49" s="615" t="s">
        <v>2695</v>
      </c>
      <c r="B49" s="616"/>
      <c r="C49" s="617">
        <f>R50</f>
        <v>40397</v>
      </c>
      <c r="D49" s="618"/>
      <c r="E49" s="617">
        <f>R49</f>
        <v>40175</v>
      </c>
      <c r="F49" s="619"/>
      <c r="G49" s="620">
        <f>T49</f>
        <v>39457</v>
      </c>
      <c r="H49" s="618"/>
      <c r="I49" s="617">
        <f>V49</f>
        <v>41559</v>
      </c>
      <c r="J49" s="618"/>
      <c r="K49" s="1341"/>
      <c r="L49" s="2145"/>
      <c r="M49" s="2133"/>
      <c r="N49" s="2133"/>
      <c r="O49" s="2146"/>
      <c r="P49" s="3351" t="str">
        <f>A49</f>
        <v>比较价格（元/平方米）</v>
      </c>
      <c r="Q49" s="3351"/>
      <c r="R49" s="3353">
        <f>ROUND(PRODUCT(R48,AA9:AA47),0)</f>
        <v>40175</v>
      </c>
      <c r="S49" s="3353"/>
      <c r="T49" s="3353">
        <f>ROUND(PRODUCT(T48,AB9:AB47),0)</f>
        <v>39457</v>
      </c>
      <c r="U49" s="3353"/>
      <c r="V49" s="3353">
        <f>ROUND(PRODUCT(V48,AC9:AC47),0)</f>
        <v>41559</v>
      </c>
      <c r="W49" s="3353"/>
      <c r="X49" s="1559"/>
      <c r="Y49" s="1559"/>
      <c r="Z49" s="1559"/>
      <c r="AA49" s="1559"/>
      <c r="AB49" s="1559"/>
      <c r="AC49" s="1559"/>
    </row>
    <row r="50" spans="1:29" ht="21" thickBot="1">
      <c r="A50" s="621" t="s">
        <v>2934</v>
      </c>
      <c r="B50" s="622"/>
      <c r="C50" s="623">
        <f>R50</f>
        <v>40397</v>
      </c>
      <c r="D50" s="623"/>
      <c r="E50" s="623"/>
      <c r="F50" s="623"/>
      <c r="G50" s="623"/>
      <c r="H50" s="623"/>
      <c r="I50" s="623"/>
      <c r="J50" s="623"/>
      <c r="K50" s="1342"/>
      <c r="L50" s="2145"/>
      <c r="M50" s="2133"/>
      <c r="N50" s="2133"/>
      <c r="O50" s="2146"/>
      <c r="P50" s="3348" t="str">
        <f>A50</f>
        <v>估价对象XX用房的比较价格（楼面单价，元/平方米）</v>
      </c>
      <c r="Q50" s="3349"/>
      <c r="R50" s="3350">
        <f>ROUND(AVERAGE(R49:V49),0)</f>
        <v>40397</v>
      </c>
      <c r="S50" s="3350"/>
      <c r="T50" s="3350"/>
      <c r="U50" s="3350"/>
      <c r="V50" s="3350"/>
      <c r="W50" s="335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2.0400647265465865E-2</v>
      </c>
      <c r="F53" s="627" t="str">
        <f>IF(OR(E53&gt;=0.3,E53&lt;=-0.3),"超过30%","")</f>
        <v/>
      </c>
      <c r="G53" s="626">
        <f>IF(G48&lt;G49,G49/G48-1,G48/G49-1)</f>
        <v>3.0719123618376143E-2</v>
      </c>
      <c r="H53" s="627" t="str">
        <f>IF(OR(G53&gt;=0.3,G53&lt;=-0.3),"超过30%","")</f>
        <v/>
      </c>
      <c r="I53" s="626">
        <f>IF(I48&lt;I49,I49/I48-1,I48/I49-1)</f>
        <v>3.0717918752870776E-2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1.8197024609068135E-2</v>
      </c>
      <c r="F54" s="627" t="str">
        <f>IF(OR(E54&gt;=0.2,E54&lt;=-0.2),"超过20%","")</f>
        <v/>
      </c>
      <c r="G54" s="626">
        <f>IF(G49&lt;I49,I49/G49-1,G49/I49-1)</f>
        <v>5.327318346554466E-2</v>
      </c>
      <c r="H54" s="627" t="str">
        <f>IF(OR(G54&gt;=0.2,G54&lt;=-0.2),"超过20%","")</f>
        <v/>
      </c>
      <c r="I54" s="626">
        <f>IF(I49&lt;E49,E49/I49-1,I49/E49-1)</f>
        <v>3.4449284380833944E-2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2.8493217530140225E-2</v>
      </c>
      <c r="F55" s="627" t="str">
        <f>IF(OR(E55&gt;=0.3,E55&lt;=-0.3),"超过30%","")</f>
        <v/>
      </c>
      <c r="G55" s="626">
        <f>IF(G48&lt;I48,I48/G48-1,G48/I48-1)</f>
        <v>5.3274414697197292E-2</v>
      </c>
      <c r="H55" s="627" t="str">
        <f>IF(OR(G55&gt;=0.3,G55&lt;=-0.3),"超过30%","")</f>
        <v/>
      </c>
      <c r="I55" s="626">
        <f>IF(I48&lt;E48,E48/I48-1,I48/E48-1)</f>
        <v>2.4094662701391156E-2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77" t="s">
        <v>2283</v>
      </c>
      <c r="H57" s="3378"/>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40397</v>
      </c>
      <c r="C58" s="635">
        <v>1</v>
      </c>
      <c r="D58" s="2229">
        <v>1</v>
      </c>
      <c r="E58" s="635">
        <f>'数据-汇总表'!E8+'数据-汇总表'!E9</f>
        <v>176613.7</v>
      </c>
      <c r="F58" s="636">
        <f t="shared" ref="F58:F67" si="15">ROUND(B58*E58/10000,0)</f>
        <v>713466</v>
      </c>
      <c r="G58" s="3379"/>
      <c r="H58" s="338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1"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0</v>
      </c>
      <c r="C63" s="378">
        <f t="shared" si="16"/>
        <v>0</v>
      </c>
      <c r="D63" s="2230">
        <v>0.25</v>
      </c>
      <c r="E63" s="641">
        <f>'数据-汇总表'!E11</f>
        <v>200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4694.8100000000004</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42971.25</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2296</v>
      </c>
      <c r="E68" s="643">
        <f>IF(B48="楼面地价",SUM(E58:E67),'数据-汇总表'!D3)</f>
        <v>224479.76</v>
      </c>
      <c r="F68" s="644">
        <f>IF(B48="楼面地价",SUM(F58:F67),ROUND(C50*E68/10000,0))</f>
        <v>713466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北京市平均增长率2.23%</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86" t="s">
        <v>3265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487" t="s">
        <v>3266</v>
      </c>
      <c r="D84" s="1375" t="s">
        <v>3267</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120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7" t="s">
        <v>3268</v>
      </c>
      <c r="D108" s="3487" t="s">
        <v>3269</v>
      </c>
      <c r="E108" s="3487" t="s">
        <v>3270</v>
      </c>
      <c r="F108" s="3487" t="s">
        <v>3271</v>
      </c>
      <c r="G108" s="3487" t="s">
        <v>3272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6">C119&amp;"(含)"&amp;"-"&amp;D119</f>
        <v>0(含)-10000</v>
      </c>
      <c r="D118" s="704" t="str">
        <f t="shared" si="26"/>
        <v>10000(含)-50000</v>
      </c>
      <c r="E118" s="704" t="str">
        <f t="shared" si="26"/>
        <v>50000(含)-100000</v>
      </c>
      <c r="F118" s="704" t="str">
        <f t="shared" si="26"/>
        <v>100000(含)-150000</v>
      </c>
      <c r="G118" s="704" t="str">
        <f t="shared" si="26"/>
        <v>150000(含)-200000</v>
      </c>
      <c r="H118" s="704" t="str">
        <f t="shared" si="26"/>
        <v>200000(含)-500000</v>
      </c>
      <c r="I118" s="704" t="str">
        <f t="shared" si="26"/>
        <v>500000(含)-1000000</v>
      </c>
      <c r="J118" s="3091" t="str">
        <f t="shared" si="26"/>
        <v>1000000(含)-5000000</v>
      </c>
      <c r="K118" s="3091" t="str">
        <f t="shared" si="26"/>
        <v>5000000(含)-1000000</v>
      </c>
      <c r="L118" s="3092" t="str">
        <f t="shared" si="26"/>
        <v>1000000(含)-</v>
      </c>
      <c r="M118" s="3093"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50000</v>
      </c>
      <c r="F119" s="730">
        <v>100000</v>
      </c>
      <c r="G119" s="730">
        <v>150000</v>
      </c>
      <c r="H119" s="730">
        <v>200000</v>
      </c>
      <c r="I119" s="730">
        <v>500000</v>
      </c>
      <c r="J119" s="2368">
        <v>1000000</v>
      </c>
      <c r="K119" s="2368">
        <v>5000000</v>
      </c>
      <c r="L119" s="2369">
        <v>1000000</v>
      </c>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L120" si="27">D120+1</f>
        <v>102</v>
      </c>
      <c r="F120" s="726">
        <f t="shared" si="27"/>
        <v>103</v>
      </c>
      <c r="G120" s="726">
        <f t="shared" si="27"/>
        <v>104</v>
      </c>
      <c r="H120" s="726">
        <f t="shared" si="27"/>
        <v>105</v>
      </c>
      <c r="I120" s="726">
        <f t="shared" si="27"/>
        <v>106</v>
      </c>
      <c r="J120" s="726">
        <f t="shared" si="27"/>
        <v>107</v>
      </c>
      <c r="K120" s="726">
        <f t="shared" si="27"/>
        <v>108</v>
      </c>
      <c r="L120" s="726">
        <f t="shared" si="27"/>
        <v>109</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88" t="s">
        <v>3273</v>
      </c>
      <c r="D121" s="3488" t="s">
        <v>3275</v>
      </c>
      <c r="E121" s="3488" t="s">
        <v>3276</v>
      </c>
      <c r="F121" s="3488" t="s">
        <v>3277</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87" t="s">
        <v>3278</v>
      </c>
      <c r="D123" s="3487" t="s">
        <v>3280</v>
      </c>
      <c r="E123" s="3487" t="s">
        <v>3281</v>
      </c>
      <c r="F123" s="3488" t="s">
        <v>3282</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5" t="s">
        <v>3034</v>
      </c>
      <c r="D125" s="1375" t="s">
        <v>3283</v>
      </c>
      <c r="E125" s="1375" t="s">
        <v>3284</v>
      </c>
      <c r="F125" s="1375" t="s">
        <v>3285</v>
      </c>
      <c r="G125" s="1375" t="s">
        <v>3286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3287</v>
      </c>
      <c r="D127" s="688" t="s">
        <v>3030</v>
      </c>
      <c r="E127" s="718" t="s">
        <v>3032</v>
      </c>
      <c r="F127" s="718" t="s">
        <v>3288</v>
      </c>
      <c r="G127" s="718" t="s">
        <v>3289</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10</v>
      </c>
    </row>
    <row r="2" spans="1:31" s="2042" customFormat="1" ht="18" customHeight="1">
      <c r="A2" s="2102" t="s">
        <v>467</v>
      </c>
      <c r="B2" s="2106">
        <f ca="1">C36</f>
        <v>655507</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24660</v>
      </c>
      <c r="C3" s="2105"/>
      <c r="D3" s="2105"/>
      <c r="E3" s="2105"/>
      <c r="F3" s="2105"/>
      <c r="G3" s="2105"/>
      <c r="H3" s="2105"/>
      <c r="I3" s="2105"/>
      <c r="J3" s="2105"/>
      <c r="K3" s="2105"/>
    </row>
    <row r="4" spans="1:31" s="2042" customFormat="1" ht="18" customHeight="1">
      <c r="A4" s="426" t="s">
        <v>468</v>
      </c>
      <c r="B4" s="427">
        <f ca="1">ROUND(B2*10000/IF(B1="",'数据-汇总表'!D3,INDIRECT("'数据-取费表'!R"&amp;$K$1)),0)</f>
        <v>87125</v>
      </c>
      <c r="C4" s="428"/>
      <c r="D4" s="422"/>
      <c r="E4" s="422"/>
      <c r="F4" s="422"/>
      <c r="G4" s="422"/>
      <c r="H4" s="422"/>
      <c r="I4" s="422"/>
      <c r="J4" s="422"/>
      <c r="K4" s="422"/>
    </row>
    <row r="5" spans="1:31" s="2042" customFormat="1" ht="18" customHeight="1" thickBot="1">
      <c r="A5" s="429"/>
      <c r="B5" s="430">
        <f ca="1">ROUND(B2/(IF(B1="",'数据-汇总表'!D3,INDIRECT("'数据-取费表'!R"&amp;$K$1))/666.67),0)</f>
        <v>5808</v>
      </c>
      <c r="C5" s="431" t="s">
        <v>469</v>
      </c>
      <c r="D5" s="422"/>
      <c r="E5" s="422"/>
      <c r="F5" s="422"/>
      <c r="G5" s="422"/>
      <c r="H5" s="422"/>
      <c r="I5" s="422"/>
      <c r="J5" s="422"/>
      <c r="K5" s="422"/>
    </row>
    <row r="6" spans="1:31" s="2112" customFormat="1" ht="16.5" customHeight="1">
      <c r="A6" s="2829" t="s">
        <v>1843</v>
      </c>
      <c r="B6" s="2830"/>
      <c r="C6" s="2831">
        <f ca="1">SUM(C10:K10)</f>
        <v>938526</v>
      </c>
      <c r="D6" s="2830"/>
      <c r="E6" s="2830"/>
      <c r="F6" s="2830"/>
      <c r="G6" s="2830"/>
      <c r="H6" s="2830"/>
      <c r="I6" s="2830"/>
      <c r="J6" s="2830"/>
      <c r="K6" s="2832"/>
    </row>
    <row r="7" spans="1:31" s="2114" customFormat="1" ht="15">
      <c r="A7" s="2833" t="s">
        <v>470</v>
      </c>
      <c r="B7" s="2834" t="s">
        <v>471</v>
      </c>
      <c r="C7" s="436" t="s">
        <v>923</v>
      </c>
      <c r="D7" s="436" t="s">
        <v>2990</v>
      </c>
      <c r="E7" s="436" t="s">
        <v>3008</v>
      </c>
      <c r="F7" s="436" t="s">
        <v>3028</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52315</v>
      </c>
      <c r="D8" s="2835">
        <f ca="1">'不动产收益法-商业'!B3</f>
        <v>6858</v>
      </c>
      <c r="E8" s="2835">
        <f ca="1">'不动产收益法-车库'!B3</f>
        <v>2135</v>
      </c>
      <c r="F8" s="2835">
        <f ca="1">'不动产收益法-库房'!B3</f>
        <v>5006</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176613.7</v>
      </c>
      <c r="D9" s="441">
        <f>SUMIF('数据-汇总表'!$C19:$C33,'剩余法-待开发'!D7,'数据-汇总表'!$E19:$E33)</f>
        <v>4440</v>
      </c>
      <c r="E9" s="441">
        <f>SUMIF('数据-汇总表'!$C19:$C33,'剩余法-待开发'!E7,'数据-汇总表'!$E19:$E33)</f>
        <v>42971.25</v>
      </c>
      <c r="F9" s="441">
        <f>SUMIF('数据-汇总表'!$C19:$C33,'剩余法-待开发'!F7,'数据-汇总表'!$E19:$E33)</f>
        <v>4694.8100000000004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8">
        <f>ROUND(C8*C9/10000,0)</f>
        <v>923955</v>
      </c>
      <c r="D10" s="3028">
        <f ca="1">'不动产收益法-商业'!B2</f>
        <v>3045</v>
      </c>
      <c r="E10" s="3028">
        <f ca="1">'不动产收益法-车库'!B2</f>
        <v>9176</v>
      </c>
      <c r="F10" s="3028">
        <f ca="1">'不动产收益法-库房'!B2</f>
        <v>2350</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65672</v>
      </c>
      <c r="D13" s="2845"/>
      <c r="E13" s="2846"/>
      <c r="F13" s="2847"/>
      <c r="G13" s="2813"/>
      <c r="H13" s="2814"/>
      <c r="I13" s="2814"/>
      <c r="J13" s="2814"/>
      <c r="K13" s="2815"/>
    </row>
    <row r="14" spans="1:31" s="2117" customFormat="1" ht="13.5" customHeight="1">
      <c r="A14" s="2843" t="s">
        <v>1850</v>
      </c>
      <c r="B14" s="2844" t="s">
        <v>480</v>
      </c>
      <c r="C14" s="53">
        <f ca="1">ROUND(C13*F14,0)</f>
        <v>1970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2208</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5316</v>
      </c>
      <c r="D16" s="2845">
        <f ca="1">IF(B1="",'数据-汇总表'!E3,INDIRECT("'数据-取费表'!K"&amp;$K$1)+INDIRECT("'数据-取费表'!S"&amp;$K$1))</f>
        <v>265820.24</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985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76151</v>
      </c>
      <c r="D18" s="2854"/>
      <c r="E18" s="468"/>
      <c r="F18" s="468"/>
      <c r="G18" s="2817" t="s">
        <v>2432</v>
      </c>
      <c r="H18" s="2818"/>
      <c r="I18" s="2818"/>
      <c r="J18" s="2818"/>
      <c r="K18" s="2819"/>
    </row>
    <row r="19" spans="1:14" s="2117" customFormat="1" ht="13.5" customHeight="1">
      <c r="A19" s="2851" t="s">
        <v>1855</v>
      </c>
      <c r="B19" s="2852" t="s">
        <v>488</v>
      </c>
      <c r="C19" s="2809">
        <f ca="1">ROUND(D19*E19/10000,0)</f>
        <v>3987</v>
      </c>
      <c r="D19" s="2855">
        <f ca="1">D16</f>
        <v>265820.24</v>
      </c>
      <c r="E19" s="2809">
        <f>'数据-取费表'!B32</f>
        <v>150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4610</v>
      </c>
      <c r="D20" s="2855"/>
      <c r="E20" s="2809"/>
      <c r="F20" s="2856"/>
      <c r="G20" s="3087"/>
      <c r="H20" s="2811"/>
      <c r="I20" s="2812" t="s">
        <v>2653</v>
      </c>
      <c r="J20" s="2818"/>
      <c r="K20" s="2819"/>
    </row>
    <row r="21" spans="1:14" s="2117" customFormat="1" ht="13.5" customHeight="1">
      <c r="A21" s="2843" t="s">
        <v>1857</v>
      </c>
      <c r="B21" s="2844" t="s">
        <v>491</v>
      </c>
      <c r="C21" s="53">
        <f ca="1">ROUND(D21*E21/10000,0)</f>
        <v>2826</v>
      </c>
      <c r="D21" s="2845">
        <f ca="1">IF(B1="",'数据-汇总表'!E5,IF(INDIRECT("'数据-取费表'!c"&amp;$K$1)="住宅",INDIRECT("'数据-取费表'!k"&amp;$K$1),0))</f>
        <v>176613.7</v>
      </c>
      <c r="E21" s="53">
        <f>'数据-取费表'!B27</f>
        <v>160</v>
      </c>
      <c r="F21" s="2848"/>
      <c r="G21" s="26"/>
      <c r="H21" s="51"/>
      <c r="I21" s="51"/>
      <c r="J21" s="51"/>
      <c r="K21" s="2820"/>
    </row>
    <row r="22" spans="1:14" s="2117" customFormat="1" ht="13.5" customHeight="1">
      <c r="A22" s="2843" t="s">
        <v>1858</v>
      </c>
      <c r="B22" s="2844" t="s">
        <v>492</v>
      </c>
      <c r="C22" s="53">
        <f ca="1">ROUND(D22*E22/10000,0)</f>
        <v>1784</v>
      </c>
      <c r="D22" s="2845">
        <f ca="1">IF(B1="",'数据-汇总表'!E6,IF(INDIRECT("'数据-取费表'!c"&amp;$K$1)="住宅",INDIRECT("'数据-取费表'!s"&amp;$K$1),INDIRECT("'数据-取费表'!k"&amp;$K$1)+INDIRECT("'数据-取费表'!s"&amp;$K$1)))</f>
        <v>89206.539999999979</v>
      </c>
      <c r="E22" s="53">
        <f>'数据-取费表'!B28</f>
        <v>200</v>
      </c>
      <c r="F22" s="2848"/>
      <c r="G22" s="26"/>
      <c r="H22" s="51"/>
      <c r="I22" s="51"/>
      <c r="J22" s="51"/>
      <c r="K22" s="2820"/>
    </row>
    <row r="23" spans="1:14" s="2117" customFormat="1" ht="13.5" customHeight="1">
      <c r="A23" s="2851" t="s">
        <v>1859</v>
      </c>
      <c r="B23" s="3034" t="s">
        <v>2836</v>
      </c>
      <c r="C23" s="2853">
        <f ca="1">ROUND((C18+C19+C20)*F23,0)</f>
        <v>1695</v>
      </c>
      <c r="D23" s="468"/>
      <c r="E23" s="468"/>
      <c r="F23" s="2857">
        <f>'数据-取费表'!B37</f>
        <v>0.02</v>
      </c>
      <c r="G23" s="2813" t="s">
        <v>2433</v>
      </c>
      <c r="H23" s="2814"/>
      <c r="I23" s="2814"/>
      <c r="J23" s="2814"/>
      <c r="K23" s="2815"/>
      <c r="L23" s="2119"/>
      <c r="M23" s="2119"/>
      <c r="N23" s="2119"/>
    </row>
    <row r="24" spans="1:14" s="2117" customFormat="1" ht="13.5" customHeight="1">
      <c r="A24" s="2851" t="s">
        <v>1860</v>
      </c>
      <c r="B24" s="3034" t="s">
        <v>2839</v>
      </c>
      <c r="C24" s="2853">
        <f ca="1">ROUND(C6*F24,0)</f>
        <v>18771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4"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1862</v>
      </c>
      <c r="B26" s="3035" t="s">
        <v>2838</v>
      </c>
      <c r="C26" s="2858">
        <f ca="1">C28</f>
        <v>4998</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4998</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49161</v>
      </c>
      <c r="D29" s="468"/>
      <c r="E29" s="468"/>
      <c r="F29" s="3036">
        <f>'数据-取费表'!B41</f>
        <v>5.5000000000000007E-2</v>
      </c>
      <c r="G29" s="2822" t="s">
        <v>498</v>
      </c>
      <c r="H29" s="2814"/>
      <c r="I29" s="2814"/>
      <c r="J29" s="2814"/>
      <c r="K29" s="2815"/>
    </row>
    <row r="30" spans="1:14" s="2122" customFormat="1" ht="13.5" customHeight="1">
      <c r="A30" s="1635" t="s">
        <v>1864</v>
      </c>
      <c r="B30" s="2863" t="s">
        <v>500</v>
      </c>
      <c r="C30" s="2858">
        <f ca="1">C31</f>
        <v>159373</v>
      </c>
      <c r="D30" s="477">
        <f ca="1">C32</f>
        <v>0.12909999999999999</v>
      </c>
      <c r="E30" s="469" t="s">
        <v>495</v>
      </c>
      <c r="F30" s="471"/>
      <c r="G30" s="2821" t="s">
        <v>2973</v>
      </c>
      <c r="H30" s="2814"/>
      <c r="I30" s="2814"/>
      <c r="J30" s="2814"/>
      <c r="K30" s="2815"/>
    </row>
    <row r="31" spans="1:14" s="2121" customFormat="1" ht="13.5" customHeight="1">
      <c r="A31" s="803" t="s">
        <v>1857</v>
      </c>
      <c r="B31" s="2859"/>
      <c r="C31" s="450">
        <f ca="1">C18+C19+C20+C23+C24+C26+C29</f>
        <v>159373</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3" t="s">
        <v>2835</v>
      </c>
      <c r="B33" s="3031" t="s">
        <v>2833</v>
      </c>
      <c r="C33" s="478">
        <f ca="1">C35</f>
        <v>5261</v>
      </c>
      <c r="D33" s="467">
        <f ca="1">C34</f>
        <v>5.1499999999999997E-2</v>
      </c>
      <c r="E33" s="469" t="s">
        <v>495</v>
      </c>
      <c r="F33" s="479">
        <f ca="1">IF(B1="",'数据-取费表'!Q16,INDIRECT("'数据-取费表'!q"&amp;$K$1))</f>
        <v>0.05</v>
      </c>
      <c r="G33" s="2817"/>
      <c r="H33" s="2818"/>
      <c r="I33" s="2818"/>
      <c r="J33" s="2818"/>
      <c r="K33" s="2819"/>
    </row>
    <row r="34" spans="1:11" s="2124" customFormat="1" ht="13.5" customHeight="1">
      <c r="A34" s="375" t="s">
        <v>1857</v>
      </c>
      <c r="B34" s="2864" t="s">
        <v>501</v>
      </c>
      <c r="C34" s="472">
        <f ca="1">ROUND((1+C25)*F33,4)</f>
        <v>5.1499999999999997E-2</v>
      </c>
      <c r="D34" s="472"/>
      <c r="E34" s="473"/>
      <c r="F34" s="480"/>
      <c r="G34" s="261" t="s">
        <v>2292</v>
      </c>
      <c r="H34" s="2816"/>
      <c r="I34" s="2816"/>
      <c r="J34" s="2816"/>
      <c r="K34" s="279"/>
    </row>
    <row r="35" spans="1:11" s="2124" customFormat="1" ht="13.5" customHeight="1" thickBot="1">
      <c r="A35" s="1636" t="s">
        <v>1858</v>
      </c>
      <c r="B35" s="3032" t="s">
        <v>2841</v>
      </c>
      <c r="C35" s="1628">
        <f ca="1">ROUND((C18+C19+C20+C23+C24)*F33,0)</f>
        <v>5261</v>
      </c>
      <c r="D35" s="1629"/>
      <c r="E35" s="2865"/>
      <c r="F35" s="1630"/>
      <c r="G35" s="2823"/>
      <c r="H35" s="2824"/>
      <c r="I35" s="2824"/>
      <c r="J35" s="2824"/>
      <c r="K35" s="2825"/>
    </row>
    <row r="36" spans="1:11" s="2086" customFormat="1" ht="13.5" customHeight="1" thickBot="1">
      <c r="A36" s="284" t="s">
        <v>1845</v>
      </c>
      <c r="B36" s="2827"/>
      <c r="C36" s="2866">
        <f ca="1">ROUND((C6-C30-C33)/(1+D30+D33),0)</f>
        <v>655507</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3" t="str">
        <f>项目基本情况!B1</f>
        <v>北京市出让国有建设用地使用权抵押价格预评估</v>
      </c>
      <c r="C37" s="3183"/>
      <c r="D37" s="3183"/>
      <c r="E37" s="3183"/>
      <c r="F37" s="3183"/>
      <c r="G37" s="3183"/>
      <c r="H37" s="3183"/>
      <c r="I37" s="3183"/>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崔锴、赵雯</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65672</v>
      </c>
      <c r="D13" s="451"/>
      <c r="E13" s="365"/>
      <c r="F13" s="452"/>
      <c r="G13" s="444"/>
      <c r="H13" s="447"/>
      <c r="I13" s="447"/>
      <c r="J13" s="447"/>
      <c r="K13" s="448"/>
    </row>
    <row r="14" spans="1:41" s="2117" customFormat="1" ht="13.5" customHeight="1">
      <c r="A14" s="1633" t="s">
        <v>1850</v>
      </c>
      <c r="B14" s="449" t="s">
        <v>480</v>
      </c>
      <c r="C14" s="53">
        <f ca="1">ROUND(C13*F14,0)</f>
        <v>1970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2208</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5316</v>
      </c>
      <c r="D16" s="451">
        <f ca="1">IF(B1="",'数据-汇总表'!E3,INDIRECT("'数据-取费表'!K"&amp;$K$1)+INDIRECT("'数据-取费表'!S"&amp;$K$1))</f>
        <v>265820.24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985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76151</v>
      </c>
      <c r="D18" s="461"/>
      <c r="E18" s="462"/>
      <c r="F18" s="462"/>
      <c r="G18" s="1327" t="s">
        <v>2434</v>
      </c>
      <c r="H18" s="447"/>
      <c r="I18" s="447"/>
      <c r="J18" s="447"/>
      <c r="K18" s="448"/>
    </row>
    <row r="19" spans="1:14" s="2120" customFormat="1" ht="13.5" customHeight="1">
      <c r="A19" s="1634" t="s">
        <v>1855</v>
      </c>
      <c r="B19" s="459" t="s">
        <v>493</v>
      </c>
      <c r="C19" s="460">
        <f ca="1">ROUND(C18*F19,0)</f>
        <v>1523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29">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3690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8" t="s">
        <v>2437</v>
      </c>
      <c r="C22" s="487">
        <f ca="1">ROUND(IF('数据-取费表'!B22&lt;=1,(C18+C19)*F21*'数据-取费表'!B20/2,(C18+C19)*(POWER((1+F21),'数据-取费表'!B20/2)-1)),0)</f>
        <v>3690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1" t="s">
        <v>2834</v>
      </c>
      <c r="C24" s="478">
        <f ca="1">C25</f>
        <v>3884</v>
      </c>
      <c r="D24" s="489">
        <f ca="1">C26</f>
        <v>1E-3</v>
      </c>
      <c r="E24" s="469" t="s">
        <v>507</v>
      </c>
      <c r="F24" s="479">
        <f ca="1">IF(B1="",'数据-取费表'!Q16,INDIRECT("'数据-取费表'!q"&amp;$K$1))</f>
        <v>0.05</v>
      </c>
      <c r="G24" s="444"/>
      <c r="H24" s="447"/>
      <c r="I24" s="447"/>
      <c r="J24" s="447"/>
      <c r="K24" s="448"/>
    </row>
    <row r="25" spans="1:14" s="2121" customFormat="1" ht="13.5" customHeight="1">
      <c r="A25" s="1633" t="s">
        <v>1849</v>
      </c>
      <c r="B25" s="1328" t="s">
        <v>2438</v>
      </c>
      <c r="C25" s="490">
        <f ca="1">ROUND((C18+C19)*F24,0)</f>
        <v>3884</v>
      </c>
      <c r="D25" s="472"/>
      <c r="E25" s="473"/>
      <c r="F25" s="480"/>
      <c r="G25" s="1326" t="s">
        <v>2435</v>
      </c>
      <c r="H25" s="457"/>
      <c r="I25" s="457"/>
      <c r="J25" s="457"/>
      <c r="K25" s="458"/>
    </row>
    <row r="26" spans="1:14" s="2121" customFormat="1" ht="13.5" customHeight="1">
      <c r="A26" s="1633" t="s">
        <v>1850</v>
      </c>
      <c r="B26" s="1328" t="s">
        <v>509</v>
      </c>
      <c r="C26" s="491">
        <f ca="1">ROUND(F20*F24,4)</f>
        <v>1E-3</v>
      </c>
      <c r="D26" s="472"/>
      <c r="E26" s="481"/>
      <c r="F26" s="480"/>
      <c r="G26" s="1326" t="s">
        <v>510</v>
      </c>
      <c r="H26" s="457"/>
      <c r="I26" s="457"/>
      <c r="J26" s="457"/>
      <c r="K26" s="458"/>
    </row>
    <row r="27" spans="1:14" s="2121" customFormat="1" ht="13.5" customHeight="1">
      <c r="A27" s="1637" t="s">
        <v>1868</v>
      </c>
      <c r="B27" s="459" t="s">
        <v>511</v>
      </c>
      <c r="C27" s="3030">
        <f>ROUND(F27/(1+'数据-取费表'!C42),4)</f>
        <v>5.2400000000000002E-2</v>
      </c>
      <c r="D27" s="462" t="s">
        <v>2832</v>
      </c>
      <c r="E27" s="462"/>
      <c r="F27" s="466">
        <f>'数据-取费表'!B41</f>
        <v>5.5000000000000007E-2</v>
      </c>
      <c r="G27" s="1961" t="s">
        <v>2293</v>
      </c>
      <c r="H27" s="447"/>
      <c r="I27" s="447"/>
      <c r="J27" s="447"/>
      <c r="K27" s="448"/>
    </row>
    <row r="28" spans="1:14" s="2122" customFormat="1" ht="13.5" customHeight="1">
      <c r="A28" s="1637" t="s">
        <v>1869</v>
      </c>
      <c r="B28" s="476" t="s">
        <v>512</v>
      </c>
      <c r="C28" s="470">
        <f ca="1">ROUND((C18+C19+C21+C24)/(1-C20-D21-D24-C27),0)</f>
        <v>92100</v>
      </c>
      <c r="D28" s="477"/>
      <c r="E28" s="469"/>
      <c r="F28" s="471"/>
      <c r="G28" s="1327" t="s">
        <v>2436</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57" t="s">
        <v>522</v>
      </c>
      <c r="D6" s="3358"/>
      <c r="E6" s="3391" t="s">
        <v>523</v>
      </c>
      <c r="F6" s="3392"/>
      <c r="G6" s="3357" t="s">
        <v>524</v>
      </c>
      <c r="H6" s="3358"/>
      <c r="I6" s="3357" t="s">
        <v>525</v>
      </c>
      <c r="J6" s="3358"/>
      <c r="K6" s="514" t="s">
        <v>526</v>
      </c>
      <c r="L6" s="2134"/>
      <c r="M6" s="2135"/>
      <c r="N6" s="2135"/>
      <c r="O6" s="2135"/>
      <c r="P6" s="3359" t="s">
        <v>527</v>
      </c>
      <c r="Q6" s="3360"/>
      <c r="R6" s="3365" t="s">
        <v>523</v>
      </c>
      <c r="S6" s="3366"/>
      <c r="T6" s="3365" t="s">
        <v>524</v>
      </c>
      <c r="U6" s="3366"/>
      <c r="V6" s="3352" t="s">
        <v>525</v>
      </c>
      <c r="W6" s="3352"/>
      <c r="X6" s="1567"/>
      <c r="Y6" s="3365" t="s">
        <v>527</v>
      </c>
      <c r="Z6" s="3366"/>
      <c r="AA6" s="3354" t="s">
        <v>523</v>
      </c>
      <c r="AB6" s="3355" t="s">
        <v>524</v>
      </c>
      <c r="AC6" s="3354" t="s">
        <v>525</v>
      </c>
    </row>
    <row r="7" spans="1:29" ht="15">
      <c r="A7" s="515"/>
      <c r="B7" s="516"/>
      <c r="C7" s="3373" t="s">
        <v>2928</v>
      </c>
      <c r="D7" s="3374"/>
      <c r="E7" s="3393" t="s">
        <v>2929</v>
      </c>
      <c r="F7" s="3394"/>
      <c r="G7" s="3373" t="s">
        <v>2930</v>
      </c>
      <c r="H7" s="3374"/>
      <c r="I7" s="3373" t="s">
        <v>2931</v>
      </c>
      <c r="J7" s="3374"/>
      <c r="K7" s="514"/>
      <c r="L7" s="2134"/>
      <c r="M7" s="2135"/>
      <c r="N7" s="2135"/>
      <c r="O7" s="2135"/>
      <c r="P7" s="3361"/>
      <c r="Q7" s="3362"/>
      <c r="R7" s="3367"/>
      <c r="S7" s="3368"/>
      <c r="T7" s="3367"/>
      <c r="U7" s="3368"/>
      <c r="V7" s="3352"/>
      <c r="W7" s="3352"/>
      <c r="X7" s="1567"/>
      <c r="Y7" s="3367"/>
      <c r="Z7" s="3368"/>
      <c r="AA7" s="3355"/>
      <c r="AB7" s="3355"/>
      <c r="AC7" s="3355"/>
    </row>
    <row r="8" spans="1:29" ht="15.75" thickBot="1">
      <c r="A8" s="517"/>
      <c r="B8" s="518"/>
      <c r="C8" s="3371" t="s">
        <v>2932</v>
      </c>
      <c r="D8" s="3372"/>
      <c r="E8" s="3389" t="s">
        <v>2932</v>
      </c>
      <c r="F8" s="3390"/>
      <c r="G8" s="3371" t="s">
        <v>2932</v>
      </c>
      <c r="H8" s="3372"/>
      <c r="I8" s="3371" t="s">
        <v>2932</v>
      </c>
      <c r="J8" s="3372"/>
      <c r="K8" s="514" t="s">
        <v>528</v>
      </c>
      <c r="L8" s="2134"/>
      <c r="M8" s="2135"/>
      <c r="N8" s="2135"/>
      <c r="O8" s="2135"/>
      <c r="P8" s="3363"/>
      <c r="Q8" s="3364"/>
      <c r="R8" s="3367"/>
      <c r="S8" s="3368"/>
      <c r="T8" s="3369"/>
      <c r="U8" s="3370"/>
      <c r="V8" s="3352"/>
      <c r="W8" s="3352"/>
      <c r="X8" s="1567"/>
      <c r="Y8" s="3369"/>
      <c r="Z8" s="3370"/>
      <c r="AA8" s="3356"/>
      <c r="AB8" s="3356"/>
      <c r="AC8" s="3356"/>
    </row>
    <row r="9" spans="1:29" s="1220" customFormat="1" ht="15.75" thickBot="1">
      <c r="A9" s="2912"/>
      <c r="B9" s="2919" t="s">
        <v>529</v>
      </c>
      <c r="C9" s="519">
        <f>'数据-取费表'!B2</f>
        <v>43347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2" t="s">
        <v>530</v>
      </c>
      <c r="Q9" s="3384"/>
      <c r="R9" s="1568" t="s">
        <v>8</v>
      </c>
      <c r="S9" s="1569">
        <f t="shared" ref="S9:S17" si="0">F9</f>
        <v>0</v>
      </c>
      <c r="T9" s="1568" t="s">
        <v>8</v>
      </c>
      <c r="U9" s="1569">
        <f t="shared" ref="U9:U17" si="1">H9</f>
        <v>0</v>
      </c>
      <c r="V9" s="1568" t="s">
        <v>8</v>
      </c>
      <c r="W9" s="1569">
        <f t="shared" ref="W9:W17" si="2">J9</f>
        <v>0</v>
      </c>
      <c r="X9" s="1570"/>
      <c r="Y9" s="3382" t="s">
        <v>530</v>
      </c>
      <c r="Z9" s="3383"/>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2" t="s">
        <v>533</v>
      </c>
      <c r="Q10" s="3383"/>
      <c r="R10" s="1568" t="s">
        <v>8</v>
      </c>
      <c r="S10" s="1569">
        <f t="shared" si="0"/>
        <v>0</v>
      </c>
      <c r="T10" s="1568" t="s">
        <v>8</v>
      </c>
      <c r="U10" s="1569">
        <f t="shared" si="1"/>
        <v>0</v>
      </c>
      <c r="V10" s="1568" t="s">
        <v>8</v>
      </c>
      <c r="W10" s="1569">
        <f t="shared" si="2"/>
        <v>0</v>
      </c>
      <c r="X10" s="1570"/>
      <c r="Y10" s="3382" t="s">
        <v>533</v>
      </c>
      <c r="Z10" s="3383"/>
      <c r="AA10" s="1571" t="e">
        <f t="shared" ref="AA10:AA42" si="3">D10/F10</f>
        <v>#DIV/0!</v>
      </c>
      <c r="AB10" s="1571" t="e">
        <f t="shared" ref="AB10:AB42" si="4">D10/H10</f>
        <v>#DIV/0!</v>
      </c>
      <c r="AC10" s="1571"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1" t="s">
        <v>535</v>
      </c>
      <c r="Q11" s="1151" t="str">
        <f t="shared" ref="Q11:Q17" si="6">B11</f>
        <v>用途</v>
      </c>
      <c r="R11" s="1568" t="s">
        <v>8</v>
      </c>
      <c r="S11" s="1569">
        <f t="shared" si="0"/>
        <v>100</v>
      </c>
      <c r="T11" s="1568" t="s">
        <v>8</v>
      </c>
      <c r="U11" s="1569">
        <f t="shared" si="1"/>
        <v>100</v>
      </c>
      <c r="V11" s="1568" t="s">
        <v>8</v>
      </c>
      <c r="W11" s="1569">
        <f t="shared" si="2"/>
        <v>100</v>
      </c>
      <c r="X11" s="1570"/>
      <c r="Y11" s="3297" t="s">
        <v>536</v>
      </c>
      <c r="Z11" s="1150" t="str">
        <f t="shared" ref="Z11:Z17" si="7">Q11</f>
        <v>用途</v>
      </c>
      <c r="AA11" s="1571">
        <f t="shared" si="3"/>
        <v>1</v>
      </c>
      <c r="AB11" s="1571">
        <f t="shared" si="4"/>
        <v>1</v>
      </c>
      <c r="AC11" s="1571">
        <f t="shared" si="5"/>
        <v>1</v>
      </c>
    </row>
    <row r="12" spans="1:29" s="1338" customFormat="1" ht="27">
      <c r="A12" s="2915"/>
      <c r="B12" s="2920"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1"/>
      <c r="Q12" s="1151" t="str">
        <f t="shared" si="6"/>
        <v>土地使用年限（年）</v>
      </c>
      <c r="R12" s="1568" t="s">
        <v>8</v>
      </c>
      <c r="S12" s="1569">
        <f t="shared" si="0"/>
        <v>100</v>
      </c>
      <c r="T12" s="1568" t="s">
        <v>8</v>
      </c>
      <c r="U12" s="1569">
        <f t="shared" si="1"/>
        <v>100</v>
      </c>
      <c r="V12" s="1568" t="s">
        <v>8</v>
      </c>
      <c r="W12" s="1569">
        <f t="shared" si="2"/>
        <v>100</v>
      </c>
      <c r="X12" s="1570"/>
      <c r="Y12" s="3297"/>
      <c r="Z12" s="1150" t="str">
        <f t="shared" si="7"/>
        <v>土地使用年限（年）</v>
      </c>
      <c r="AA12" s="1571">
        <f t="shared" si="3"/>
        <v>1</v>
      </c>
      <c r="AB12" s="1571">
        <f t="shared" si="4"/>
        <v>1</v>
      </c>
      <c r="AC12" s="1571">
        <f t="shared" si="5"/>
        <v>1</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1"/>
      <c r="Q13" s="1151" t="str">
        <f t="shared" si="6"/>
        <v>容积率</v>
      </c>
      <c r="R13" s="1568" t="s">
        <v>8</v>
      </c>
      <c r="S13" s="1569" t="e">
        <f t="shared" si="0"/>
        <v>#N/A</v>
      </c>
      <c r="T13" s="1568" t="s">
        <v>8</v>
      </c>
      <c r="U13" s="1569" t="e">
        <f t="shared" si="1"/>
        <v>#N/A</v>
      </c>
      <c r="V13" s="1568" t="s">
        <v>8</v>
      </c>
      <c r="W13" s="1569" t="e">
        <f t="shared" si="2"/>
        <v>#N/A</v>
      </c>
      <c r="X13" s="1570"/>
      <c r="Y13" s="3297"/>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1"/>
      <c r="Q15" s="1151">
        <f t="shared" si="6"/>
        <v>111</v>
      </c>
      <c r="R15" s="1568" t="s">
        <v>8</v>
      </c>
      <c r="S15" s="1569">
        <f t="shared" si="0"/>
        <v>100</v>
      </c>
      <c r="T15" s="1568" t="s">
        <v>8</v>
      </c>
      <c r="U15" s="1569">
        <f t="shared" si="1"/>
        <v>100</v>
      </c>
      <c r="V15" s="1568" t="s">
        <v>8</v>
      </c>
      <c r="W15" s="1569">
        <f t="shared" si="2"/>
        <v>100</v>
      </c>
      <c r="X15" s="1570"/>
      <c r="Y15" s="3297"/>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1"/>
      <c r="Q16" s="1151">
        <f t="shared" si="6"/>
        <v>111</v>
      </c>
      <c r="R16" s="1568" t="s">
        <v>8</v>
      </c>
      <c r="S16" s="1569">
        <f t="shared" si="0"/>
        <v>100</v>
      </c>
      <c r="T16" s="1568" t="s">
        <v>8</v>
      </c>
      <c r="U16" s="1569">
        <f t="shared" si="1"/>
        <v>100</v>
      </c>
      <c r="V16" s="1568" t="s">
        <v>8</v>
      </c>
      <c r="W16" s="1569">
        <f t="shared" si="2"/>
        <v>100</v>
      </c>
      <c r="X16" s="1570"/>
      <c r="Y16" s="3297"/>
      <c r="Z16" s="1150">
        <f t="shared" si="7"/>
        <v>111</v>
      </c>
      <c r="AA16" s="1571">
        <f t="shared" si="3"/>
        <v>1</v>
      </c>
      <c r="AB16" s="1571">
        <f t="shared" si="4"/>
        <v>1</v>
      </c>
      <c r="AC16" s="1571">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2" t="str">
        <f t="shared" si="6"/>
        <v>产业集聚程度</v>
      </c>
      <c r="R17" s="1573" t="s">
        <v>8</v>
      </c>
      <c r="S17" s="1574">
        <f t="shared" si="0"/>
        <v>100</v>
      </c>
      <c r="T17" s="1573" t="s">
        <v>8</v>
      </c>
      <c r="U17" s="1574">
        <f t="shared" si="1"/>
        <v>100</v>
      </c>
      <c r="V17" s="1573" t="s">
        <v>8</v>
      </c>
      <c r="W17" s="1574">
        <f t="shared" si="2"/>
        <v>100</v>
      </c>
      <c r="X17" s="1567"/>
      <c r="Y17" s="338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6"/>
      <c r="Q18" s="1572"/>
      <c r="R18" s="1573"/>
      <c r="S18" s="1574"/>
      <c r="T18" s="1573"/>
      <c r="U18" s="1574"/>
      <c r="V18" s="1573"/>
      <c r="W18" s="1574"/>
      <c r="X18" s="1567"/>
      <c r="Y18" s="338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2" t="str">
        <f>B19</f>
        <v>交通便捷度</v>
      </c>
      <c r="R19" s="1573" t="s">
        <v>8</v>
      </c>
      <c r="S19" s="1574">
        <f>F19</f>
        <v>100</v>
      </c>
      <c r="T19" s="1573" t="s">
        <v>8</v>
      </c>
      <c r="U19" s="1574">
        <f>H19</f>
        <v>100</v>
      </c>
      <c r="V19" s="1573" t="s">
        <v>8</v>
      </c>
      <c r="W19" s="1574">
        <f>J19</f>
        <v>100</v>
      </c>
      <c r="X19" s="1567"/>
      <c r="Y19" s="338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2" t="str">
        <f t="shared" ref="Q21:Q35" si="8">B21</f>
        <v>区域土地利用方向</v>
      </c>
      <c r="R21" s="1573" t="s">
        <v>8</v>
      </c>
      <c r="S21" s="1574">
        <f>F21</f>
        <v>100</v>
      </c>
      <c r="T21" s="1573" t="s">
        <v>8</v>
      </c>
      <c r="U21" s="1574">
        <f>H21</f>
        <v>100</v>
      </c>
      <c r="V21" s="1573" t="s">
        <v>8</v>
      </c>
      <c r="W21" s="1574">
        <f>J21</f>
        <v>100</v>
      </c>
      <c r="X21" s="1567"/>
      <c r="Y21" s="338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86"/>
      <c r="Q22" s="1572"/>
      <c r="R22" s="1573"/>
      <c r="S22" s="1574"/>
      <c r="T22" s="1573"/>
      <c r="U22" s="1574"/>
      <c r="V22" s="1573"/>
      <c r="W22" s="1574"/>
      <c r="X22" s="1567"/>
      <c r="Y22" s="338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2" t="str">
        <f t="shared" si="8"/>
        <v>环境状况</v>
      </c>
      <c r="R23" s="1573" t="s">
        <v>8</v>
      </c>
      <c r="S23" s="1574">
        <f>F23</f>
        <v>100</v>
      </c>
      <c r="T23" s="1573" t="s">
        <v>8</v>
      </c>
      <c r="U23" s="1574">
        <f>H23</f>
        <v>100</v>
      </c>
      <c r="V23" s="1573" t="s">
        <v>8</v>
      </c>
      <c r="W23" s="1574">
        <f>J23</f>
        <v>100</v>
      </c>
      <c r="X23" s="1567"/>
      <c r="Y23" s="338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6"/>
      <c r="Q24" s="1572"/>
      <c r="R24" s="1573"/>
      <c r="S24" s="1574"/>
      <c r="T24" s="1573"/>
      <c r="U24" s="1574"/>
      <c r="V24" s="1573"/>
      <c r="W24" s="1574"/>
      <c r="X24" s="1567"/>
      <c r="Y24" s="3386"/>
      <c r="Z24" s="1575"/>
      <c r="AA24" s="1576">
        <v>1</v>
      </c>
      <c r="AB24" s="1576">
        <v>1</v>
      </c>
      <c r="AC24" s="1576">
        <v>1</v>
      </c>
    </row>
    <row r="25" spans="1:29" s="1220"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8" t="s">
        <v>8</v>
      </c>
      <c r="S25" s="1569">
        <f>F25</f>
        <v>100</v>
      </c>
      <c r="T25" s="1568" t="s">
        <v>8</v>
      </c>
      <c r="U25" s="1569">
        <f>H25</f>
        <v>100</v>
      </c>
      <c r="V25" s="1568" t="s">
        <v>8</v>
      </c>
      <c r="W25" s="1569">
        <f>J25</f>
        <v>100</v>
      </c>
      <c r="X25" s="1570"/>
      <c r="Y25" s="3386"/>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386"/>
      <c r="Q26" s="1151"/>
      <c r="R26" s="1568"/>
      <c r="S26" s="1569"/>
      <c r="T26" s="1568"/>
      <c r="U26" s="1569"/>
      <c r="V26" s="1568"/>
      <c r="W26" s="1569"/>
      <c r="X26" s="1570"/>
      <c r="Y26" s="3386"/>
      <c r="Z26" s="1150"/>
      <c r="AA26" s="1571">
        <v>1</v>
      </c>
      <c r="AB26" s="1571">
        <v>1</v>
      </c>
      <c r="AC26" s="1571">
        <v>1</v>
      </c>
    </row>
    <row r="27" spans="1:29" s="1220"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79" t="str">
        <f t="shared" ref="Q27" si="9">B27</f>
        <v>基础设施水平</v>
      </c>
      <c r="R27" s="1568" t="s">
        <v>8</v>
      </c>
      <c r="S27" s="1569">
        <f>F27</f>
        <v>100</v>
      </c>
      <c r="T27" s="1568" t="s">
        <v>8</v>
      </c>
      <c r="U27" s="1569">
        <f>H27</f>
        <v>100</v>
      </c>
      <c r="V27" s="1568" t="s">
        <v>8</v>
      </c>
      <c r="W27" s="1569">
        <f>J27</f>
        <v>100</v>
      </c>
      <c r="X27" s="1570"/>
      <c r="Y27" s="3386"/>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386"/>
      <c r="Q28" s="2579"/>
      <c r="R28" s="1568"/>
      <c r="S28" s="1569"/>
      <c r="T28" s="1568"/>
      <c r="U28" s="1569"/>
      <c r="V28" s="1568"/>
      <c r="W28" s="1569"/>
      <c r="X28" s="1570"/>
      <c r="Y28" s="338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6"/>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2" t="str">
        <f t="shared" si="8"/>
        <v>毗邻道路的类型与等级</v>
      </c>
      <c r="R30" s="1573" t="s">
        <v>8</v>
      </c>
      <c r="S30" s="1574">
        <f t="shared" si="10"/>
        <v>100</v>
      </c>
      <c r="T30" s="1573" t="s">
        <v>8</v>
      </c>
      <c r="U30" s="1574">
        <f t="shared" si="11"/>
        <v>100</v>
      </c>
      <c r="V30" s="1573" t="s">
        <v>8</v>
      </c>
      <c r="W30" s="1574">
        <f t="shared" si="12"/>
        <v>100</v>
      </c>
      <c r="X30" s="1567"/>
      <c r="Y30" s="338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6"/>
      <c r="Q31" s="1572"/>
      <c r="R31" s="1573"/>
      <c r="S31" s="1574"/>
      <c r="T31" s="1573"/>
      <c r="U31" s="1574"/>
      <c r="V31" s="1573"/>
      <c r="W31" s="1574"/>
      <c r="X31" s="1567"/>
      <c r="Y31" s="338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2" t="str">
        <f t="shared" si="8"/>
        <v>土地级别</v>
      </c>
      <c r="R32" s="1573" t="s">
        <v>8</v>
      </c>
      <c r="S32" s="1574">
        <f t="shared" si="10"/>
        <v>100</v>
      </c>
      <c r="T32" s="1573" t="s">
        <v>8</v>
      </c>
      <c r="U32" s="1574">
        <f t="shared" si="11"/>
        <v>100</v>
      </c>
      <c r="V32" s="1573" t="s">
        <v>8</v>
      </c>
      <c r="W32" s="1574">
        <f t="shared" si="12"/>
        <v>100</v>
      </c>
      <c r="X32" s="1567"/>
      <c r="Y32" s="338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2">
        <f t="shared" si="8"/>
        <v>111</v>
      </c>
      <c r="R33" s="1573" t="s">
        <v>8</v>
      </c>
      <c r="S33" s="1574">
        <f t="shared" si="10"/>
        <v>100</v>
      </c>
      <c r="T33" s="1573" t="s">
        <v>8</v>
      </c>
      <c r="U33" s="1574">
        <f t="shared" si="11"/>
        <v>100</v>
      </c>
      <c r="V33" s="1573" t="s">
        <v>8</v>
      </c>
      <c r="W33" s="1574">
        <f t="shared" si="12"/>
        <v>100</v>
      </c>
      <c r="X33" s="1567"/>
      <c r="Y33" s="338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2">
        <f t="shared" si="8"/>
        <v>111</v>
      </c>
      <c r="R34" s="1573" t="s">
        <v>8</v>
      </c>
      <c r="S34" s="1574">
        <f t="shared" si="10"/>
        <v>100</v>
      </c>
      <c r="T34" s="1573" t="s">
        <v>8</v>
      </c>
      <c r="U34" s="1574">
        <f t="shared" si="11"/>
        <v>100</v>
      </c>
      <c r="V34" s="1573" t="s">
        <v>8</v>
      </c>
      <c r="W34" s="1574">
        <f t="shared" si="12"/>
        <v>100</v>
      </c>
      <c r="X34" s="1567"/>
      <c r="Y34" s="3388"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2">
        <f t="shared" si="8"/>
        <v>111</v>
      </c>
      <c r="R35" s="1577" t="s">
        <v>8</v>
      </c>
      <c r="S35" s="1578">
        <f t="shared" si="10"/>
        <v>100</v>
      </c>
      <c r="T35" s="1577" t="s">
        <v>8</v>
      </c>
      <c r="U35" s="1578">
        <f t="shared" si="11"/>
        <v>100</v>
      </c>
      <c r="V35" s="1577" t="s">
        <v>8</v>
      </c>
      <c r="W35" s="1578">
        <f t="shared" si="12"/>
        <v>100</v>
      </c>
      <c r="X35" s="1579"/>
      <c r="Y35" s="3388"/>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8"/>
      <c r="Q36" s="1572" t="str">
        <f>B36</f>
        <v>宗地面积</v>
      </c>
      <c r="R36" s="1573" t="s">
        <v>8</v>
      </c>
      <c r="S36" s="1574" t="e">
        <f t="shared" si="10"/>
        <v>#N/A</v>
      </c>
      <c r="T36" s="1573" t="s">
        <v>8</v>
      </c>
      <c r="U36" s="1574" t="e">
        <f t="shared" si="11"/>
        <v>#N/A</v>
      </c>
      <c r="V36" s="1573" t="s">
        <v>8</v>
      </c>
      <c r="W36" s="1574" t="e">
        <f t="shared" si="12"/>
        <v>#N/A</v>
      </c>
      <c r="X36" s="1567"/>
      <c r="Y36" s="338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2" t="str">
        <f t="shared" ref="Q37:Q42" si="14">B37</f>
        <v>宗地形状</v>
      </c>
      <c r="R37" s="1573" t="s">
        <v>8</v>
      </c>
      <c r="S37" s="1574">
        <f t="shared" si="10"/>
        <v>100</v>
      </c>
      <c r="T37" s="1573" t="s">
        <v>8</v>
      </c>
      <c r="U37" s="1574">
        <f t="shared" si="11"/>
        <v>100</v>
      </c>
      <c r="V37" s="1573" t="s">
        <v>8</v>
      </c>
      <c r="W37" s="1574">
        <f t="shared" si="12"/>
        <v>100</v>
      </c>
      <c r="X37" s="1567"/>
      <c r="Y37" s="3388"/>
      <c r="Z37" s="1575" t="str">
        <f t="shared" si="13"/>
        <v>宗地形状</v>
      </c>
      <c r="AA37" s="1576">
        <f t="shared" si="3"/>
        <v>1</v>
      </c>
      <c r="AB37" s="1576">
        <f t="shared" si="4"/>
        <v>1</v>
      </c>
      <c r="AC37" s="1576">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2" t="str">
        <f t="shared" si="14"/>
        <v>宗地开发程度</v>
      </c>
      <c r="R38" s="1568" t="s">
        <v>8</v>
      </c>
      <c r="S38" s="1569">
        <f t="shared" si="10"/>
        <v>100</v>
      </c>
      <c r="T38" s="1568" t="s">
        <v>8</v>
      </c>
      <c r="U38" s="1569">
        <f t="shared" si="11"/>
        <v>100</v>
      </c>
      <c r="V38" s="1568" t="s">
        <v>8</v>
      </c>
      <c r="W38" s="1569">
        <f t="shared" si="12"/>
        <v>100</v>
      </c>
      <c r="X38" s="1570"/>
      <c r="Y38" s="338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2" t="str">
        <f t="shared" si="14"/>
        <v>工程地质条件</v>
      </c>
      <c r="R39" s="1573" t="s">
        <v>8</v>
      </c>
      <c r="S39" s="1574">
        <f t="shared" si="10"/>
        <v>100</v>
      </c>
      <c r="T39" s="1573" t="s">
        <v>8</v>
      </c>
      <c r="U39" s="1574">
        <f t="shared" si="11"/>
        <v>100</v>
      </c>
      <c r="V39" s="1573" t="s">
        <v>8</v>
      </c>
      <c r="W39" s="1574">
        <f t="shared" si="12"/>
        <v>100</v>
      </c>
      <c r="X39" s="1567"/>
      <c r="Y39" s="338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2">
        <f t="shared" si="14"/>
        <v>111</v>
      </c>
      <c r="R40" s="1573" t="s">
        <v>8</v>
      </c>
      <c r="S40" s="1574">
        <f t="shared" si="10"/>
        <v>100</v>
      </c>
      <c r="T40" s="1573" t="s">
        <v>8</v>
      </c>
      <c r="U40" s="1574">
        <f t="shared" si="11"/>
        <v>100</v>
      </c>
      <c r="V40" s="1573" t="s">
        <v>8</v>
      </c>
      <c r="W40" s="1574">
        <f t="shared" si="12"/>
        <v>100</v>
      </c>
      <c r="X40" s="1567"/>
      <c r="Y40" s="338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2">
        <f t="shared" si="14"/>
        <v>111</v>
      </c>
      <c r="R41" s="1573" t="s">
        <v>8</v>
      </c>
      <c r="S41" s="1574">
        <f t="shared" si="10"/>
        <v>100</v>
      </c>
      <c r="T41" s="1573" t="s">
        <v>8</v>
      </c>
      <c r="U41" s="1574">
        <f t="shared" si="11"/>
        <v>100</v>
      </c>
      <c r="V41" s="1573" t="s">
        <v>8</v>
      </c>
      <c r="W41" s="1574">
        <f t="shared" si="12"/>
        <v>100</v>
      </c>
      <c r="X41" s="1567"/>
      <c r="Y41" s="338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2">
        <f t="shared" si="14"/>
        <v>111</v>
      </c>
      <c r="R42" s="1577" t="s">
        <v>8</v>
      </c>
      <c r="S42" s="1578">
        <f t="shared" si="10"/>
        <v>100</v>
      </c>
      <c r="T42" s="1577" t="s">
        <v>8</v>
      </c>
      <c r="U42" s="1578">
        <f t="shared" si="11"/>
        <v>100</v>
      </c>
      <c r="V42" s="1577" t="s">
        <v>8</v>
      </c>
      <c r="W42" s="1578">
        <f t="shared" si="12"/>
        <v>100</v>
      </c>
      <c r="X42" s="1579"/>
      <c r="Y42" s="3388"/>
      <c r="Z42" s="1580">
        <f t="shared" si="13"/>
        <v>111</v>
      </c>
      <c r="AA42" s="1576">
        <f t="shared" si="3"/>
        <v>1</v>
      </c>
      <c r="AB42" s="1576">
        <f t="shared" si="4"/>
        <v>1</v>
      </c>
      <c r="AC42" s="1576">
        <f t="shared" si="5"/>
        <v>1</v>
      </c>
    </row>
    <row r="43" spans="1:29" ht="15">
      <c r="A43" s="607" t="s">
        <v>556</v>
      </c>
      <c r="B43" s="608" t="s">
        <v>2933</v>
      </c>
      <c r="C43" s="609" t="s">
        <v>1</v>
      </c>
      <c r="D43" s="610"/>
      <c r="E43" s="611"/>
      <c r="F43" s="612"/>
      <c r="G43" s="613"/>
      <c r="H43" s="614"/>
      <c r="I43" s="611"/>
      <c r="J43" s="614"/>
      <c r="K43" s="1340"/>
      <c r="L43" s="2145"/>
      <c r="M43" s="2135"/>
      <c r="N43" s="2135"/>
      <c r="O43" s="2146"/>
      <c r="P43" s="3351" t="str">
        <f>A43</f>
        <v>成交单价</v>
      </c>
      <c r="Q43" s="3351"/>
      <c r="R43" s="3352">
        <f>E43</f>
        <v>0</v>
      </c>
      <c r="S43" s="3352"/>
      <c r="T43" s="3352">
        <f>G43</f>
        <v>0</v>
      </c>
      <c r="U43" s="3352"/>
      <c r="V43" s="3352">
        <f>I43</f>
        <v>0</v>
      </c>
      <c r="W43" s="3352"/>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51" t="str">
        <f>A44</f>
        <v>比较价格（元/平方米）</v>
      </c>
      <c r="Q44" s="3351"/>
      <c r="R44" s="3353" t="e">
        <f>ROUND(PRODUCT(R43,AA9:AA42),0)</f>
        <v>#DIV/0!</v>
      </c>
      <c r="S44" s="3353"/>
      <c r="T44" s="3353" t="e">
        <f>ROUND(PRODUCT(T43,AB9:AB42),0)</f>
        <v>#DIV/0!</v>
      </c>
      <c r="U44" s="3353"/>
      <c r="V44" s="3353" t="e">
        <f>ROUND(PRODUCT(V43,AC9:AC42),0)</f>
        <v>#DIV/0!</v>
      </c>
      <c r="W44" s="3353"/>
      <c r="X44" s="1559"/>
      <c r="Y44" s="1559"/>
      <c r="Z44" s="1559"/>
      <c r="AA44" s="1559"/>
      <c r="AB44" s="1559"/>
      <c r="AC44" s="1559"/>
    </row>
    <row r="45" spans="1:29" ht="15.75" thickBot="1">
      <c r="A45" s="621" t="s">
        <v>2934</v>
      </c>
      <c r="B45" s="622"/>
      <c r="C45" s="623" t="e">
        <f>R45</f>
        <v>#DIV/0!</v>
      </c>
      <c r="D45" s="623"/>
      <c r="E45" s="623"/>
      <c r="F45" s="623"/>
      <c r="G45" s="623"/>
      <c r="H45" s="623"/>
      <c r="I45" s="623"/>
      <c r="J45" s="623"/>
      <c r="K45" s="1342"/>
      <c r="L45" s="2145"/>
      <c r="M45" s="2135"/>
      <c r="N45" s="2135"/>
      <c r="O45" s="2146"/>
      <c r="P45" s="3348" t="str">
        <f>A45</f>
        <v>估价对象XX用房的比较价格（楼面单价，元/平方米）</v>
      </c>
      <c r="Q45" s="3349"/>
      <c r="R45" s="3350" t="e">
        <f>ROUND(AVERAGE(R44:V44),0)</f>
        <v>#DIV/0!</v>
      </c>
      <c r="S45" s="3350"/>
      <c r="T45" s="3350"/>
      <c r="U45" s="3350"/>
      <c r="V45" s="3350"/>
      <c r="W45" s="335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395" t="s">
        <v>2286</v>
      </c>
      <c r="H52" s="3396"/>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176613.7</v>
      </c>
      <c r="F53" s="1951" t="e">
        <f t="shared" ref="F53:F62" si="15">ROUND(B53*E53/10000,0)</f>
        <v>#DIV/0!</v>
      </c>
      <c r="G53" s="3397"/>
      <c r="H53" s="339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9"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v>
      </c>
      <c r="D58" s="2230">
        <v>0.25</v>
      </c>
      <c r="E58" s="641">
        <f>'数据-汇总表'!E11</f>
        <v>200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4694.8100000000004</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42971.25</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2296</v>
      </c>
      <c r="E63" s="643">
        <f>IF(B43="楼面地价",SUM(E53:E62),'数据-汇总表'!D3)</f>
        <v>75237.13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2935</v>
      </c>
      <c r="G3" s="1039">
        <f>IF(F3="宗地容积率",'数据-汇总表'!I4,IF(F3="估价对象容积率",'数据-汇总表'!I6,'数据-汇总表'!I7))</f>
        <v>2.19</v>
      </c>
      <c r="H3" s="1414" t="s">
        <v>929</v>
      </c>
      <c r="I3" s="1040">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09" t="str">
        <f>IF(E2="商业",IF(C8="不临58条商业街","",2),"")</f>
        <v/>
      </c>
      <c r="B7" s="1427" t="s">
        <v>932</v>
      </c>
      <c r="C7" s="1043" t="e">
        <f>IF(C8="不临58条商业街",1,ROUND(1+(1.6*E8+1.2*E9+0.8*E10+0.4*E11)*C9,4))</f>
        <v>#DIV/0!</v>
      </c>
      <c r="D7" s="1428" t="s">
        <v>933</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2.19</v>
      </c>
      <c r="AA7" s="2193"/>
      <c r="AB7" s="2193"/>
      <c r="AC7" s="2194"/>
      <c r="AD7" s="2929"/>
      <c r="AE7" s="2929"/>
      <c r="AF7" s="2929"/>
      <c r="AG7" s="2929"/>
      <c r="AH7" s="2929"/>
      <c r="AI7" s="2929"/>
      <c r="AJ7" s="2930"/>
    </row>
    <row r="8" spans="1:39" ht="15">
      <c r="A8" s="3410"/>
      <c r="B8" s="1414" t="s">
        <v>934</v>
      </c>
      <c r="C8" s="1529"/>
      <c r="D8" s="1045" t="s">
        <v>935</v>
      </c>
      <c r="E8" s="1046"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01" t="s">
        <v>2785</v>
      </c>
      <c r="X8" s="3402"/>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0"/>
      <c r="B9" s="1414" t="s">
        <v>937</v>
      </c>
      <c r="C9" s="1047">
        <f>SUMIF(修正!C59:C119,C8,修正!E59:E119)</f>
        <v>0</v>
      </c>
      <c r="D9" s="1048" t="s">
        <v>938</v>
      </c>
      <c r="E9" s="1048"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00" t="s">
        <v>2781</v>
      </c>
      <c r="X9" s="2931" t="s">
        <v>2782</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0"/>
      <c r="B10" s="1414" t="s">
        <v>940</v>
      </c>
      <c r="C10" s="1048">
        <f>SUMIF(修正!C59:C119,C8,修正!F59:F119)</f>
        <v>0</v>
      </c>
      <c r="D10" s="1048" t="s">
        <v>941</v>
      </c>
      <c r="E10" s="1048"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0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0"/>
      <c r="B11" s="1435" t="s">
        <v>943</v>
      </c>
      <c r="C11" s="1049">
        <f>C10/4</f>
        <v>0</v>
      </c>
      <c r="D11" s="1049" t="s">
        <v>944</v>
      </c>
      <c r="E11" s="1049"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00" t="s">
        <v>2783</v>
      </c>
      <c r="X11" s="1048" t="s">
        <v>2768</v>
      </c>
      <c r="Y11" s="1653">
        <f>$G$3</f>
        <v>2.19</v>
      </c>
      <c r="Z11" s="1653">
        <f t="shared" ref="Z11:AJ11" si="3">$G$3</f>
        <v>2.19</v>
      </c>
      <c r="AA11" s="1653">
        <f t="shared" si="3"/>
        <v>2.19</v>
      </c>
      <c r="AB11" s="1653">
        <f t="shared" si="3"/>
        <v>2.19</v>
      </c>
      <c r="AC11" s="1653">
        <f t="shared" si="3"/>
        <v>2.19</v>
      </c>
      <c r="AD11" s="1653">
        <f t="shared" si="3"/>
        <v>2.19</v>
      </c>
      <c r="AE11" s="1653">
        <f t="shared" si="3"/>
        <v>2.19</v>
      </c>
      <c r="AF11" s="1653">
        <f t="shared" si="3"/>
        <v>2.19</v>
      </c>
      <c r="AG11" s="1653">
        <f t="shared" si="3"/>
        <v>2.19</v>
      </c>
      <c r="AH11" s="1653">
        <f t="shared" si="3"/>
        <v>2.19</v>
      </c>
      <c r="AI11" s="1653">
        <f t="shared" si="3"/>
        <v>2.19</v>
      </c>
      <c r="AJ11" s="1653">
        <f t="shared" si="3"/>
        <v>2.19</v>
      </c>
    </row>
    <row r="12" spans="1:39" ht="25.5" thickBot="1">
      <c r="A12" s="3409" t="s">
        <v>1872</v>
      </c>
      <c r="B12" s="1439" t="s">
        <v>946</v>
      </c>
      <c r="C12" s="1043">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00"/>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1"/>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400"/>
      <c r="X13" s="2934"/>
      <c r="Y13" s="2933">
        <f>(-0.163*(Y12^2)-0.59*Y12+7617)*(10^(-4))/Y11</f>
        <v>0.34780821917808225</v>
      </c>
      <c r="Z13" s="2933">
        <f t="shared" ref="Z13:AJ13" si="5">(-0.163*(Z12^2)-0.59*Z12+7617)*(10^(-4))/Z11</f>
        <v>0.34780821917808225</v>
      </c>
      <c r="AA13" s="2933">
        <f t="shared" si="5"/>
        <v>0.34780821917808225</v>
      </c>
      <c r="AB13" s="2933">
        <f t="shared" si="5"/>
        <v>0.34780821917808225</v>
      </c>
      <c r="AC13" s="2933">
        <f t="shared" si="5"/>
        <v>0.34780821917808225</v>
      </c>
      <c r="AD13" s="2933">
        <f t="shared" si="5"/>
        <v>0.34780821917808225</v>
      </c>
      <c r="AE13" s="2933">
        <f t="shared" si="5"/>
        <v>0.34780821917808225</v>
      </c>
      <c r="AF13" s="2933">
        <f t="shared" si="5"/>
        <v>0.34780821917808225</v>
      </c>
      <c r="AG13" s="2933">
        <f t="shared" si="5"/>
        <v>0.34780821917808225</v>
      </c>
      <c r="AH13" s="2933">
        <f t="shared" si="5"/>
        <v>0.34780821917808225</v>
      </c>
      <c r="AI13" s="2933">
        <f t="shared" si="5"/>
        <v>0.34780821917808225</v>
      </c>
      <c r="AJ13" s="2933">
        <f t="shared" si="5"/>
        <v>0.34780821917808225</v>
      </c>
    </row>
    <row r="14" spans="1:39" ht="12.75" customHeight="1" thickBot="1">
      <c r="A14" s="3411"/>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12"/>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409"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10"/>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43347</v>
      </c>
      <c r="H19" s="1475" t="s">
        <v>2936</v>
      </c>
      <c r="I19" s="2785" t="str">
        <f>IF(H19="季度增幅（自定义）",SUMIF(N21:N24,E2,O21:O24),"")</f>
        <v/>
      </c>
      <c r="J19" s="1471"/>
      <c r="K19" s="1481"/>
      <c r="L19" s="3039" t="s">
        <v>2843</v>
      </c>
      <c r="M19" s="3040">
        <f>ROUND(SUMIF(地价!B2:F2,E2,地价!B23:F23),0)</f>
        <v>0</v>
      </c>
      <c r="N19" s="2787" t="s">
        <v>1677</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4">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1" t="s">
        <v>2844</v>
      </c>
      <c r="M20" s="3042">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1838</v>
      </c>
      <c r="B21" s="1480" t="s">
        <v>2763</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5" t="s">
        <v>2962</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6"/>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6"/>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7"/>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2252</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一般</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一般</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t="str">
        <f>估价对象房地状况!C19</f>
        <v>较好</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6" t="s">
        <v>2938</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5" t="s">
        <v>2937</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一般</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较好</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2253</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一般</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t="str">
        <f>估价对象房地状况!C19</f>
        <v>较好</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6" t="s">
        <v>2939</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5" t="s">
        <v>2937</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一般</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七通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2254</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一般</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t="str">
        <f>估价对象房地状况!C19</f>
        <v>较好</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一般</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七通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5" t="s">
        <v>2937</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2255</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5" t="s">
        <v>2937</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3" t="s">
        <v>1634</v>
      </c>
      <c r="B90" s="3413"/>
      <c r="C90" s="3413"/>
      <c r="D90" s="3413"/>
      <c r="E90" s="3413"/>
      <c r="F90" s="3413"/>
      <c r="G90" s="3413"/>
      <c r="H90" s="3413"/>
      <c r="I90" s="3413"/>
      <c r="J90" s="3413"/>
      <c r="K90" s="2451"/>
      <c r="L90" s="2451"/>
      <c r="M90" s="2451"/>
      <c r="N90" s="2451"/>
    </row>
    <row r="91" spans="1:40">
      <c r="A91" s="3414" t="s">
        <v>1444</v>
      </c>
      <c r="B91" s="3414" t="s">
        <v>1635</v>
      </c>
      <c r="C91" s="1140" t="s">
        <v>1636</v>
      </c>
      <c r="D91" s="1141"/>
      <c r="E91" s="1141"/>
      <c r="F91" s="1141"/>
      <c r="G91" s="1141"/>
      <c r="H91" s="1141"/>
      <c r="I91" s="1141"/>
      <c r="J91" s="1142"/>
      <c r="K91" s="1134"/>
      <c r="L91" s="1134"/>
      <c r="M91" s="1134"/>
      <c r="N91" s="1134"/>
    </row>
    <row r="92" spans="1:40">
      <c r="A92" s="3414"/>
      <c r="B92" s="3414"/>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3" t="s">
        <v>1638</v>
      </c>
      <c r="B101" s="1147" t="s">
        <v>906</v>
      </c>
      <c r="C101" s="1148">
        <f>$G$3</f>
        <v>2.19</v>
      </c>
      <c r="D101" s="1148">
        <f t="shared" ref="D101:N101" si="31">$G$3</f>
        <v>2.19</v>
      </c>
      <c r="E101" s="1148">
        <f t="shared" si="31"/>
        <v>2.19</v>
      </c>
      <c r="F101" s="1148">
        <f t="shared" si="31"/>
        <v>2.19</v>
      </c>
      <c r="G101" s="1148">
        <f t="shared" si="31"/>
        <v>2.19</v>
      </c>
      <c r="H101" s="1148">
        <f t="shared" si="31"/>
        <v>2.19</v>
      </c>
      <c r="I101" s="1148">
        <f t="shared" si="31"/>
        <v>2.19</v>
      </c>
      <c r="J101" s="1148">
        <f t="shared" si="31"/>
        <v>2.19</v>
      </c>
      <c r="K101" s="1148">
        <f t="shared" si="31"/>
        <v>2.19</v>
      </c>
      <c r="L101" s="1148">
        <f t="shared" si="31"/>
        <v>2.19</v>
      </c>
      <c r="M101" s="1148">
        <f t="shared" si="31"/>
        <v>2.19</v>
      </c>
      <c r="N101" s="1148">
        <f t="shared" si="31"/>
        <v>2.19</v>
      </c>
    </row>
    <row r="102" spans="1:14">
      <c r="A102" s="3404"/>
      <c r="B102" s="1143">
        <v>1</v>
      </c>
      <c r="C102" s="1144">
        <f>1.9362/C101</f>
        <v>0.88410958904109582</v>
      </c>
      <c r="D102" s="1144">
        <f>1.9362/D101</f>
        <v>0.88410958904109582</v>
      </c>
      <c r="E102" s="1144">
        <f>1.8629/E101</f>
        <v>0.85063926940639267</v>
      </c>
      <c r="F102" s="1144">
        <f>1.8629/F101</f>
        <v>0.85063926940639267</v>
      </c>
      <c r="G102" s="1144">
        <f>1.8629/G101</f>
        <v>0.85063926940639267</v>
      </c>
      <c r="H102" s="1144">
        <f>1.8629/H101</f>
        <v>0.85063926940639267</v>
      </c>
      <c r="I102" s="1144">
        <f>1.8629/I101</f>
        <v>0.85063926940639267</v>
      </c>
      <c r="J102" s="1144">
        <f>1.942/J101</f>
        <v>0.88675799086757989</v>
      </c>
      <c r="K102" s="1144">
        <f>1.942/K101</f>
        <v>0.88675799086757989</v>
      </c>
      <c r="L102" s="1144">
        <f>1.942/L101</f>
        <v>0.88675799086757989</v>
      </c>
      <c r="M102" s="1144">
        <f>1.942/M101</f>
        <v>0.88675799086757989</v>
      </c>
      <c r="N102" s="1144">
        <f>1.942/N101</f>
        <v>0.88675799086757989</v>
      </c>
    </row>
    <row r="103" spans="1:14">
      <c r="A103" s="3404"/>
      <c r="B103" s="1143">
        <v>2</v>
      </c>
      <c r="C103" s="1144">
        <f>1.4198/C101</f>
        <v>0.64831050228310505</v>
      </c>
      <c r="D103" s="1144">
        <f>1.4198/D101</f>
        <v>0.64831050228310505</v>
      </c>
      <c r="E103" s="1144">
        <f>1.3372/E101</f>
        <v>0.61059360730593604</v>
      </c>
      <c r="F103" s="1144">
        <f>1.3372/F101</f>
        <v>0.61059360730593604</v>
      </c>
      <c r="G103" s="1144">
        <f>1.3372/G101</f>
        <v>0.61059360730593604</v>
      </c>
      <c r="H103" s="1144">
        <f>1.3372/H101</f>
        <v>0.61059360730593604</v>
      </c>
      <c r="I103" s="1144">
        <f>1.3372/I101</f>
        <v>0.61059360730593604</v>
      </c>
      <c r="J103" s="1144">
        <f>1.2799/J101</f>
        <v>0.58442922374429229</v>
      </c>
      <c r="K103" s="1144">
        <f>1.2799/K101</f>
        <v>0.58442922374429229</v>
      </c>
      <c r="L103" s="1144">
        <f>1.2799/L101</f>
        <v>0.58442922374429229</v>
      </c>
      <c r="M103" s="1144">
        <f>1.2799/M101</f>
        <v>0.58442922374429229</v>
      </c>
      <c r="N103" s="1144">
        <f>1.2799/N101</f>
        <v>0.58442922374429229</v>
      </c>
    </row>
    <row r="104" spans="1:14">
      <c r="A104" s="3404"/>
      <c r="B104" s="1143">
        <v>3</v>
      </c>
      <c r="C104" s="1144">
        <f>1.1594/C101</f>
        <v>0.52940639269406398</v>
      </c>
      <c r="D104" s="1144">
        <f>1.1594/D101</f>
        <v>0.52940639269406398</v>
      </c>
      <c r="E104" s="1144">
        <f>1.0788/E101</f>
        <v>0.49260273972602742</v>
      </c>
      <c r="F104" s="1144">
        <f>1.0788/F101</f>
        <v>0.49260273972602742</v>
      </c>
      <c r="G104" s="1144">
        <f>1.0788/G101</f>
        <v>0.49260273972602742</v>
      </c>
      <c r="H104" s="1144">
        <f>1.0788/H101</f>
        <v>0.49260273972602742</v>
      </c>
      <c r="I104" s="1144">
        <f>1.0788/I101</f>
        <v>0.49260273972602742</v>
      </c>
      <c r="J104" s="1144">
        <f>1.0072/J101</f>
        <v>0.45990867579908679</v>
      </c>
      <c r="K104" s="1144">
        <f>1.0072/K101</f>
        <v>0.45990867579908679</v>
      </c>
      <c r="L104" s="1144">
        <f>1.0072/L101</f>
        <v>0.45990867579908679</v>
      </c>
      <c r="M104" s="1144">
        <f>1.0072/M101</f>
        <v>0.45990867579908679</v>
      </c>
      <c r="N104" s="1144">
        <f>1.0072/N101</f>
        <v>0.45990867579908679</v>
      </c>
    </row>
    <row r="105" spans="1:14">
      <c r="A105" s="3404"/>
      <c r="B105" s="1143">
        <v>4</v>
      </c>
      <c r="C105" s="1144">
        <f>0.9622/C101</f>
        <v>0.43936073059360736</v>
      </c>
      <c r="D105" s="1144">
        <f>0.9622/D101</f>
        <v>0.43936073059360736</v>
      </c>
      <c r="E105" s="1144">
        <f>0.8656/E101</f>
        <v>0.39525114155251145</v>
      </c>
      <c r="F105" s="1144">
        <f>0.8656/F101</f>
        <v>0.39525114155251145</v>
      </c>
      <c r="G105" s="1144">
        <f>0.8656/G101</f>
        <v>0.39525114155251145</v>
      </c>
      <c r="H105" s="1144">
        <f>0.8656/H101</f>
        <v>0.39525114155251145</v>
      </c>
      <c r="I105" s="1144">
        <f>0.8656/I101</f>
        <v>0.39525114155251145</v>
      </c>
      <c r="J105" s="1144">
        <f>0.7525/J101</f>
        <v>0.34360730593607303</v>
      </c>
      <c r="K105" s="1144">
        <f>0.7525/K101</f>
        <v>0.34360730593607303</v>
      </c>
      <c r="L105" s="1144">
        <f>0.7525/L101</f>
        <v>0.34360730593607303</v>
      </c>
      <c r="M105" s="1144">
        <f>0.7525/M101</f>
        <v>0.34360730593607303</v>
      </c>
      <c r="N105" s="1144">
        <f>0.7525/N101</f>
        <v>0.34360730593607303</v>
      </c>
    </row>
    <row r="106" spans="1:14">
      <c r="A106" s="3404"/>
      <c r="B106" s="1143">
        <v>5</v>
      </c>
      <c r="C106" s="1144">
        <f>0.8417/C101</f>
        <v>0.38433789954337899</v>
      </c>
      <c r="D106" s="1144">
        <f>0.8417/D101</f>
        <v>0.38433789954337899</v>
      </c>
      <c r="E106" s="1144">
        <f>0.7371/E101</f>
        <v>0.33657534246575344</v>
      </c>
      <c r="F106" s="1144">
        <f>0.7371/F101</f>
        <v>0.33657534246575344</v>
      </c>
      <c r="G106" s="1144">
        <f>0.7371/G101</f>
        <v>0.33657534246575344</v>
      </c>
      <c r="H106" s="1144">
        <f>0.7371/H101</f>
        <v>0.33657534246575344</v>
      </c>
      <c r="I106" s="1144">
        <f>0.7371/I101</f>
        <v>0.33657534246575344</v>
      </c>
      <c r="J106" s="1144">
        <f>0.5659/J101</f>
        <v>0.25840182648401827</v>
      </c>
      <c r="K106" s="1144">
        <f>0.5659/K101</f>
        <v>0.25840182648401827</v>
      </c>
      <c r="L106" s="1144">
        <f>0.5659/L101</f>
        <v>0.25840182648401827</v>
      </c>
      <c r="M106" s="1144">
        <f>0.5659/M101</f>
        <v>0.25840182648401827</v>
      </c>
      <c r="N106" s="1144">
        <f>0.5659/N101</f>
        <v>0.25840182648401827</v>
      </c>
    </row>
    <row r="107" spans="1:14">
      <c r="A107" s="3404"/>
      <c r="B107" s="1143">
        <v>6</v>
      </c>
      <c r="C107" s="1144">
        <f>0.7608/C101</f>
        <v>0.34739726027397261</v>
      </c>
      <c r="D107" s="1144">
        <f>0.7608/D101</f>
        <v>0.34739726027397261</v>
      </c>
      <c r="E107" s="1144">
        <f>0.6482/E101</f>
        <v>0.29598173515981735</v>
      </c>
      <c r="F107" s="1144">
        <f>0.6482/F101</f>
        <v>0.29598173515981735</v>
      </c>
      <c r="G107" s="1144">
        <f>0.6482/G101</f>
        <v>0.29598173515981735</v>
      </c>
      <c r="H107" s="1144">
        <f>0.6482/H101</f>
        <v>0.29598173515981735</v>
      </c>
      <c r="I107" s="1144">
        <f>0.6482/I101</f>
        <v>0.29598173515981735</v>
      </c>
      <c r="J107" s="1144">
        <f>0.4525/J101</f>
        <v>0.20662100456621005</v>
      </c>
      <c r="K107" s="1144">
        <f>0.4525/K101</f>
        <v>0.20662100456621005</v>
      </c>
      <c r="L107" s="1144">
        <f>0.4525/L101</f>
        <v>0.20662100456621005</v>
      </c>
      <c r="M107" s="1144">
        <f>0.4525/M101</f>
        <v>0.20662100456621005</v>
      </c>
      <c r="N107" s="1144">
        <f>0.4525/N101</f>
        <v>0.20662100456621005</v>
      </c>
    </row>
    <row r="108" spans="1:14">
      <c r="A108" s="3404"/>
      <c r="B108" s="340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5"/>
      <c r="B109" s="3407"/>
      <c r="C109" s="1146">
        <f>(-0.163*(C108^2)-0.59*C108+7617)*(10^(-4))/C101</f>
        <v>0.34711634703196348</v>
      </c>
      <c r="D109" s="1146">
        <f>(-0.163*(D108^2)-0.59*D108+7617)*(10^(-4))/D101</f>
        <v>0.34711634703196348</v>
      </c>
      <c r="E109" s="1146">
        <f>(-0.161*(E108^2)-7.509*E108+6533)*(10^(-4))/E101</f>
        <v>0.29509698630136988</v>
      </c>
      <c r="F109" s="1146">
        <f>(-0.161*(F108^2)-7.509*F108+6533)*(10^(-4))/F101</f>
        <v>0.29509698630136988</v>
      </c>
      <c r="G109" s="1146">
        <f>(-0.161*(G108^2)-7.509*G108+6533)*(10^(-4))/G101</f>
        <v>0.29509698630136988</v>
      </c>
      <c r="H109" s="1146">
        <f>(-0.161*(H108^2)-7.509*H108+6533)*(10^(-4))/H101</f>
        <v>0.29509698630136988</v>
      </c>
      <c r="I109" s="1146">
        <f>(-0.161*(I108^2)-7.509*I108+6533)*(10^(-4))/I101</f>
        <v>0.29509698630136988</v>
      </c>
      <c r="J109" s="1146">
        <f>(-0.214*(J108^2)-21.991*J108+4665)*(10^(-4))/J101</f>
        <v>0.20435506849315072</v>
      </c>
      <c r="K109" s="1146">
        <f>(-0.214*(K108^2)-21.991*K108+4665)*(10^(-4))/K101</f>
        <v>0.20435506849315072</v>
      </c>
      <c r="L109" s="1146">
        <f>(-0.214*(L108^2)-21.991*L108+4665)*(10^(-4))/L101</f>
        <v>0.20435506849315072</v>
      </c>
      <c r="M109" s="1146">
        <f>(-0.214*(M108^2)-21.991*M108+4665)*(10^(-4))/M101</f>
        <v>0.20435506849315072</v>
      </c>
      <c r="N109" s="1146">
        <f>(-0.214*(N108^2)-21.991*N108+4665)*(10^(-4))/N101</f>
        <v>0.20435506849315072</v>
      </c>
    </row>
    <row r="110" spans="1:14">
      <c r="A110" s="3408" t="s">
        <v>1640</v>
      </c>
      <c r="B110" s="3408"/>
      <c r="C110" s="3408"/>
      <c r="D110" s="3408"/>
      <c r="E110" s="3408"/>
      <c r="F110" s="3408"/>
      <c r="G110" s="3408"/>
      <c r="H110" s="3408"/>
      <c r="I110" s="3408"/>
      <c r="J110" s="3408"/>
      <c r="K110" s="2449"/>
      <c r="L110" s="2449"/>
      <c r="M110" s="2449"/>
      <c r="N110" s="2449"/>
    </row>
    <row r="112" spans="1:14" ht="12.75" thickBot="1"/>
    <row r="113" spans="1:13" ht="25.5" thickBot="1">
      <c r="A113" s="1016" t="s">
        <v>896</v>
      </c>
      <c r="B113" s="2452">
        <f>G3</f>
        <v>2.19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0.91290000000000004</v>
      </c>
      <c r="C115" s="1030">
        <f>B115</f>
        <v>0.91290000000000004</v>
      </c>
      <c r="D115" s="1030">
        <f>ROUND(0.8331-0.0109*B113,4)</f>
        <v>0.80920000000000003</v>
      </c>
      <c r="E115" s="1030">
        <f>D115</f>
        <v>0.80920000000000003</v>
      </c>
      <c r="F115" s="1030">
        <f>E115</f>
        <v>0.80920000000000003</v>
      </c>
      <c r="G115" s="1030">
        <f>F115</f>
        <v>0.80920000000000003</v>
      </c>
      <c r="H115" s="1030">
        <f>G115</f>
        <v>0.80920000000000003</v>
      </c>
      <c r="I115" s="1030">
        <f>ROUND(0.689-0.0155*B113,4)</f>
        <v>0.65510000000000002</v>
      </c>
      <c r="J115" s="1030">
        <f t="shared" ref="J115:M118" si="33">I115</f>
        <v>0.65510000000000002</v>
      </c>
      <c r="K115" s="1030">
        <f t="shared" si="33"/>
        <v>0.65510000000000002</v>
      </c>
      <c r="L115" s="1030">
        <f t="shared" si="33"/>
        <v>0.65510000000000002</v>
      </c>
      <c r="M115" s="1031">
        <f t="shared" si="33"/>
        <v>0.65510000000000002</v>
      </c>
    </row>
    <row r="116" spans="1:13" ht="12.75">
      <c r="A116" s="1029" t="s">
        <v>901</v>
      </c>
      <c r="B116" s="1030">
        <f>ROUND(0.949-0.012*B113,4)</f>
        <v>0.92269999999999996</v>
      </c>
      <c r="C116" s="1030">
        <f>B116</f>
        <v>0.92269999999999996</v>
      </c>
      <c r="D116" s="1030">
        <f>ROUND(0.8567-0.013*B113,4)</f>
        <v>0.82820000000000005</v>
      </c>
      <c r="E116" s="1030">
        <f t="shared" ref="E116:H117" si="34">D116</f>
        <v>0.82820000000000005</v>
      </c>
      <c r="F116" s="1030">
        <f t="shared" si="34"/>
        <v>0.82820000000000005</v>
      </c>
      <c r="G116" s="1030">
        <f t="shared" si="34"/>
        <v>0.82820000000000005</v>
      </c>
      <c r="H116" s="1030">
        <f t="shared" si="34"/>
        <v>0.82820000000000005</v>
      </c>
      <c r="I116" s="1030">
        <f>ROUND(0.7694-0.014*B113,4)</f>
        <v>0.73870000000000002</v>
      </c>
      <c r="J116" s="1030">
        <f t="shared" si="33"/>
        <v>0.73870000000000002</v>
      </c>
      <c r="K116" s="1030">
        <f t="shared" si="33"/>
        <v>0.73870000000000002</v>
      </c>
      <c r="L116" s="1030">
        <f t="shared" si="33"/>
        <v>0.73870000000000002</v>
      </c>
      <c r="M116" s="1031">
        <f t="shared" si="33"/>
        <v>0.73870000000000002</v>
      </c>
    </row>
    <row r="117" spans="1:13" ht="12.75">
      <c r="A117" s="1032" t="s">
        <v>902</v>
      </c>
      <c r="B117" s="1030">
        <f>ROUND(0.8808-0.006*B113,4)</f>
        <v>0.86770000000000003</v>
      </c>
      <c r="C117" s="1030">
        <f>B117</f>
        <v>0.86770000000000003</v>
      </c>
      <c r="D117" s="1030">
        <f>ROUND(0.8748-0.008*B113,4)</f>
        <v>0.85729999999999995</v>
      </c>
      <c r="E117" s="1030">
        <f t="shared" si="34"/>
        <v>0.85729999999999995</v>
      </c>
      <c r="F117" s="1030">
        <f t="shared" si="34"/>
        <v>0.85729999999999995</v>
      </c>
      <c r="G117" s="1030">
        <f t="shared" si="34"/>
        <v>0.85729999999999995</v>
      </c>
      <c r="H117" s="1030">
        <f t="shared" si="34"/>
        <v>0.85729999999999995</v>
      </c>
      <c r="I117" s="1030">
        <f>ROUND(0.7412-0.0095*B113,4)</f>
        <v>0.72040000000000004</v>
      </c>
      <c r="J117" s="1030">
        <f t="shared" si="33"/>
        <v>0.72040000000000004</v>
      </c>
      <c r="K117" s="1030">
        <f t="shared" si="33"/>
        <v>0.72040000000000004</v>
      </c>
      <c r="L117" s="1030">
        <f t="shared" si="33"/>
        <v>0.72040000000000004</v>
      </c>
      <c r="M117" s="1031">
        <f t="shared" si="33"/>
        <v>0.72040000000000004</v>
      </c>
    </row>
    <row r="118" spans="1:13" ht="13.5" thickBot="1">
      <c r="A118" s="1033" t="s">
        <v>903</v>
      </c>
      <c r="B118" s="1034">
        <f>ROUND(0.7275-0.01*B113,4)</f>
        <v>0.7056</v>
      </c>
      <c r="C118" s="1034">
        <f>B118</f>
        <v>0.7056</v>
      </c>
      <c r="D118" s="1034">
        <f>ROUND(0.7043-0.012*B113,4)</f>
        <v>0.67800000000000005</v>
      </c>
      <c r="E118" s="1034">
        <f>D118</f>
        <v>0.67800000000000005</v>
      </c>
      <c r="F118" s="1034">
        <f>E118</f>
        <v>0.67800000000000005</v>
      </c>
      <c r="G118" s="1034">
        <f>ROUND(0.6299-0.0122*B113,4)</f>
        <v>0.60319999999999996</v>
      </c>
      <c r="H118" s="1034">
        <f>G118</f>
        <v>0.60319999999999996</v>
      </c>
      <c r="I118" s="1034">
        <f>ROUND(0.5667-0.0136*B113,4)</f>
        <v>0.53690000000000004</v>
      </c>
      <c r="J118" s="1034">
        <f t="shared" si="33"/>
        <v>0.53690000000000004</v>
      </c>
      <c r="K118" s="1034">
        <f t="shared" si="33"/>
        <v>0.53690000000000004</v>
      </c>
      <c r="L118" s="1034">
        <f t="shared" si="33"/>
        <v>0.53690000000000004</v>
      </c>
      <c r="M118" s="1035">
        <f t="shared" si="33"/>
        <v>0.53690000000000004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14" t="s">
        <v>1008</v>
      </c>
      <c r="B18" s="1154" t="s">
        <v>1447</v>
      </c>
      <c r="C18" s="1131" t="s">
        <v>1448</v>
      </c>
      <c r="D18" s="1132"/>
      <c r="E18" s="1154">
        <v>1</v>
      </c>
      <c r="F18" s="1133" t="s">
        <v>1449</v>
      </c>
      <c r="G18" s="1134"/>
      <c r="H18" s="1105"/>
      <c r="I18" s="1105"/>
    </row>
    <row r="19" spans="1:9" s="1599" customFormat="1" ht="19.5" customHeight="1">
      <c r="A19" s="3414"/>
      <c r="B19" s="3414" t="s">
        <v>1450</v>
      </c>
      <c r="C19" s="1131" t="s">
        <v>1451</v>
      </c>
      <c r="D19" s="1132"/>
      <c r="E19" s="1154">
        <v>0.9</v>
      </c>
      <c r="F19" s="1133" t="s">
        <v>1452</v>
      </c>
      <c r="G19" s="1134"/>
      <c r="H19" s="1105"/>
      <c r="I19" s="1105"/>
    </row>
    <row r="20" spans="1:9" s="1599" customFormat="1" ht="19.5" customHeight="1">
      <c r="A20" s="3414"/>
      <c r="B20" s="3414"/>
      <c r="C20" s="1131" t="s">
        <v>1453</v>
      </c>
      <c r="D20" s="1132"/>
      <c r="E20" s="1154">
        <v>1.1000000000000001</v>
      </c>
      <c r="F20" s="1133" t="s">
        <v>1454</v>
      </c>
      <c r="G20" s="1134"/>
      <c r="H20" s="1105"/>
      <c r="I20" s="1105"/>
    </row>
    <row r="21" spans="1:9" s="1599" customFormat="1" ht="19.5" customHeight="1">
      <c r="A21" s="3414"/>
      <c r="B21" s="3414"/>
      <c r="C21" s="1131" t="s">
        <v>1455</v>
      </c>
      <c r="D21" s="1132"/>
      <c r="E21" s="1154">
        <v>0.8</v>
      </c>
      <c r="F21" s="1133" t="s">
        <v>1456</v>
      </c>
      <c r="G21" s="1134"/>
      <c r="H21" s="1105"/>
      <c r="I21" s="1105"/>
    </row>
    <row r="22" spans="1:9" s="1599" customFormat="1" ht="19.5" customHeight="1">
      <c r="A22" s="3414"/>
      <c r="B22" s="3414"/>
      <c r="C22" s="1131" t="s">
        <v>1457</v>
      </c>
      <c r="D22" s="1132"/>
      <c r="E22" s="1154">
        <v>0.5</v>
      </c>
      <c r="F22" s="1133"/>
      <c r="G22" s="1134"/>
      <c r="H22" s="1105"/>
      <c r="I22" s="1105"/>
    </row>
    <row r="23" spans="1:9" s="1599" customFormat="1" ht="19.5" customHeight="1">
      <c r="A23" s="3414" t="s">
        <v>1030</v>
      </c>
      <c r="B23" s="1154" t="s">
        <v>1447</v>
      </c>
      <c r="C23" s="1131" t="s">
        <v>1458</v>
      </c>
      <c r="D23" s="1132"/>
      <c r="E23" s="1154">
        <v>1</v>
      </c>
      <c r="F23" s="1133" t="s">
        <v>1459</v>
      </c>
      <c r="G23" s="1134"/>
      <c r="H23" s="1105"/>
      <c r="I23" s="1105"/>
    </row>
    <row r="24" spans="1:9" s="1599" customFormat="1" ht="19.5" customHeight="1">
      <c r="A24" s="3414"/>
      <c r="B24" s="3414" t="s">
        <v>1450</v>
      </c>
      <c r="C24" s="1131" t="s">
        <v>1460</v>
      </c>
      <c r="D24" s="1132"/>
      <c r="E24" s="1154">
        <v>0.5</v>
      </c>
      <c r="F24" s="1133"/>
      <c r="G24" s="1134"/>
      <c r="H24" s="1105"/>
      <c r="I24" s="1105"/>
    </row>
    <row r="25" spans="1:9" s="1599" customFormat="1" ht="19.5" customHeight="1">
      <c r="A25" s="3414"/>
      <c r="B25" s="3414"/>
      <c r="C25" s="1131" t="s">
        <v>1461</v>
      </c>
      <c r="D25" s="1132"/>
      <c r="E25" s="1154">
        <v>1.1000000000000001</v>
      </c>
      <c r="F25" s="1133"/>
      <c r="G25" s="1134"/>
      <c r="H25" s="1105"/>
      <c r="I25" s="1105"/>
    </row>
    <row r="26" spans="1:9" s="1599" customFormat="1" ht="19.5" customHeight="1">
      <c r="A26" s="3414"/>
      <c r="B26" s="3414"/>
      <c r="C26" s="1131" t="s">
        <v>1462</v>
      </c>
      <c r="D26" s="1132"/>
      <c r="E26" s="1154">
        <v>1.1000000000000001</v>
      </c>
      <c r="F26" s="1133"/>
      <c r="G26" s="1134"/>
      <c r="H26" s="1105"/>
      <c r="I26" s="1105"/>
    </row>
    <row r="27" spans="1:9" s="1599" customFormat="1" ht="19.5" customHeight="1">
      <c r="A27" s="3414"/>
      <c r="B27" s="3414"/>
      <c r="C27" s="1131" t="s">
        <v>1463</v>
      </c>
      <c r="D27" s="1132"/>
      <c r="E27" s="1154">
        <v>0.9</v>
      </c>
      <c r="F27" s="1133" t="s">
        <v>1464</v>
      </c>
      <c r="G27" s="1134"/>
      <c r="H27" s="1105"/>
      <c r="I27" s="1105"/>
    </row>
    <row r="28" spans="1:9" s="1599" customFormat="1" ht="19.5" customHeight="1">
      <c r="A28" s="3414"/>
      <c r="B28" s="3414"/>
      <c r="C28" s="1131" t="s">
        <v>1465</v>
      </c>
      <c r="D28" s="1132"/>
      <c r="E28" s="1154">
        <v>0.9</v>
      </c>
      <c r="F28" s="1133" t="s">
        <v>1466</v>
      </c>
      <c r="G28" s="1134"/>
      <c r="H28" s="1105"/>
      <c r="I28" s="1105"/>
    </row>
    <row r="29" spans="1:9" s="1599" customFormat="1" ht="19.5" customHeight="1">
      <c r="A29" s="3414"/>
      <c r="B29" s="3414"/>
      <c r="C29" s="1131" t="s">
        <v>1467</v>
      </c>
      <c r="D29" s="1132"/>
      <c r="E29" s="1154">
        <v>0.9</v>
      </c>
      <c r="F29" s="1133" t="s">
        <v>1468</v>
      </c>
      <c r="G29" s="1134"/>
      <c r="H29" s="1105"/>
      <c r="I29" s="1105"/>
    </row>
    <row r="30" spans="1:9" s="1599" customFormat="1" ht="19.5" customHeight="1">
      <c r="A30" s="3414"/>
      <c r="B30" s="3414"/>
      <c r="C30" s="1131" t="s">
        <v>1469</v>
      </c>
      <c r="D30" s="1132"/>
      <c r="E30" s="1154">
        <v>0.9</v>
      </c>
      <c r="F30" s="1133" t="s">
        <v>1470</v>
      </c>
      <c r="G30" s="1134"/>
      <c r="H30" s="1105"/>
      <c r="I30" s="1105"/>
    </row>
    <row r="31" spans="1:9" s="1599" customFormat="1" ht="19.5" customHeight="1">
      <c r="A31" s="3414"/>
      <c r="B31" s="3414"/>
      <c r="C31" s="1131" t="s">
        <v>1471</v>
      </c>
      <c r="D31" s="1132"/>
      <c r="E31" s="1154">
        <v>0.8</v>
      </c>
      <c r="F31" s="1133" t="s">
        <v>1472</v>
      </c>
      <c r="G31" s="1134"/>
      <c r="H31" s="1105"/>
      <c r="I31" s="1105"/>
    </row>
    <row r="32" spans="1:9" s="1599" customFormat="1" ht="19.5" customHeight="1">
      <c r="A32" s="3414"/>
      <c r="B32" s="3414"/>
      <c r="C32" s="1131" t="s">
        <v>1473</v>
      </c>
      <c r="D32" s="1132"/>
      <c r="E32" s="1154">
        <v>0.8</v>
      </c>
      <c r="F32" s="1133" t="s">
        <v>1474</v>
      </c>
      <c r="G32" s="1134"/>
      <c r="H32" s="1105"/>
      <c r="I32" s="1105"/>
    </row>
    <row r="33" spans="1:9" s="1599" customFormat="1" ht="19.5" customHeight="1">
      <c r="A33" s="3414" t="s">
        <v>1475</v>
      </c>
      <c r="B33" s="1154" t="s">
        <v>1447</v>
      </c>
      <c r="C33" s="1131" t="s">
        <v>1476</v>
      </c>
      <c r="D33" s="1132"/>
      <c r="E33" s="1154">
        <v>1</v>
      </c>
      <c r="F33" s="1133" t="s">
        <v>1477</v>
      </c>
      <c r="G33" s="1134"/>
      <c r="H33" s="1105"/>
      <c r="I33" s="1105"/>
    </row>
    <row r="34" spans="1:9" s="1599" customFormat="1" ht="19.5" customHeight="1">
      <c r="A34" s="3414"/>
      <c r="B34" s="1154" t="s">
        <v>1450</v>
      </c>
      <c r="C34" s="1131" t="s">
        <v>1478</v>
      </c>
      <c r="D34" s="1132"/>
      <c r="E34" s="1154">
        <v>1.5</v>
      </c>
      <c r="F34" s="1133" t="s">
        <v>1479</v>
      </c>
      <c r="G34" s="1134"/>
      <c r="H34" s="1105"/>
      <c r="I34" s="1105"/>
    </row>
    <row r="35" spans="1:9" s="1599" customFormat="1" ht="19.5" customHeight="1">
      <c r="A35" s="3414" t="s">
        <v>1433</v>
      </c>
      <c r="B35" s="1154" t="s">
        <v>1447</v>
      </c>
      <c r="C35" s="1131" t="s">
        <v>1480</v>
      </c>
      <c r="D35" s="1132"/>
      <c r="E35" s="1154">
        <v>1</v>
      </c>
      <c r="F35" s="1133" t="s">
        <v>1481</v>
      </c>
      <c r="G35" s="1134"/>
      <c r="H35" s="1105"/>
      <c r="I35" s="1105"/>
    </row>
    <row r="36" spans="1:9" s="1599" customFormat="1" ht="19.5" customHeight="1">
      <c r="A36" s="3414"/>
      <c r="B36" s="3414" t="s">
        <v>1450</v>
      </c>
      <c r="C36" s="1131" t="s">
        <v>1482</v>
      </c>
      <c r="D36" s="1132"/>
      <c r="E36" s="1154">
        <v>1</v>
      </c>
      <c r="F36" s="1133" t="s">
        <v>1483</v>
      </c>
      <c r="G36" s="1134"/>
      <c r="H36" s="1105"/>
      <c r="I36" s="1105"/>
    </row>
    <row r="37" spans="1:9" s="1599" customFormat="1" ht="19.5" customHeight="1">
      <c r="A37" s="3414"/>
      <c r="B37" s="3414"/>
      <c r="C37" s="1131" t="s">
        <v>1484</v>
      </c>
      <c r="D37" s="1132"/>
      <c r="E37" s="1154">
        <v>1.5</v>
      </c>
      <c r="F37" s="1133" t="s">
        <v>1485</v>
      </c>
      <c r="G37" s="1134"/>
      <c r="H37" s="1105"/>
      <c r="I37" s="1105"/>
    </row>
    <row r="38" spans="1:9" s="1599" customFormat="1" ht="19.5" customHeight="1">
      <c r="A38" s="3414"/>
      <c r="B38" s="3414"/>
      <c r="C38" s="1131" t="s">
        <v>1486</v>
      </c>
      <c r="D38" s="1132"/>
      <c r="E38" s="1154">
        <v>1</v>
      </c>
      <c r="F38" s="1133" t="s">
        <v>1487</v>
      </c>
      <c r="G38" s="1134"/>
      <c r="H38" s="1105"/>
      <c r="I38" s="1105"/>
    </row>
    <row r="39" spans="1:9" s="1599" customFormat="1" ht="19.5" customHeight="1">
      <c r="A39" s="3414"/>
      <c r="B39" s="3414"/>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4" t="s">
        <v>1502</v>
      </c>
      <c r="C61" s="1068" t="s">
        <v>1503</v>
      </c>
      <c r="D61" s="1068" t="s">
        <v>1504</v>
      </c>
      <c r="E61" s="1139">
        <v>0.5</v>
      </c>
      <c r="F61" s="1154">
        <v>80</v>
      </c>
      <c r="H61" s="1105">
        <f>SUMIF(C59:C119,基准地价!C8,E59:E119)</f>
        <v>0</v>
      </c>
    </row>
    <row r="62" spans="1:8" s="1105" customFormat="1" ht="24">
      <c r="A62" s="1154">
        <v>2</v>
      </c>
      <c r="B62" s="3414"/>
      <c r="C62" s="1068" t="s">
        <v>1505</v>
      </c>
      <c r="D62" s="1068" t="s">
        <v>1506</v>
      </c>
      <c r="E62" s="1139">
        <v>0.5</v>
      </c>
      <c r="F62" s="1154">
        <v>80</v>
      </c>
    </row>
    <row r="63" spans="1:8" s="1105" customFormat="1" ht="36">
      <c r="A63" s="1154">
        <v>3</v>
      </c>
      <c r="B63" s="3414"/>
      <c r="C63" s="1068" t="s">
        <v>1507</v>
      </c>
      <c r="D63" s="1068" t="s">
        <v>1508</v>
      </c>
      <c r="E63" s="1139">
        <v>0.5</v>
      </c>
      <c r="F63" s="1154">
        <v>80</v>
      </c>
    </row>
    <row r="64" spans="1:8" s="1105" customFormat="1" ht="36">
      <c r="A64" s="1154">
        <v>4</v>
      </c>
      <c r="B64" s="3414"/>
      <c r="C64" s="1068" t="s">
        <v>1509</v>
      </c>
      <c r="D64" s="1068" t="s">
        <v>1510</v>
      </c>
      <c r="E64" s="1139">
        <v>0.4</v>
      </c>
      <c r="F64" s="1154">
        <v>60</v>
      </c>
    </row>
    <row r="65" spans="1:6" s="1105" customFormat="1" ht="36">
      <c r="A65" s="1154">
        <v>5</v>
      </c>
      <c r="B65" s="3414"/>
      <c r="C65" s="1068" t="s">
        <v>1511</v>
      </c>
      <c r="D65" s="1068" t="s">
        <v>1512</v>
      </c>
      <c r="E65" s="1139">
        <v>0.2</v>
      </c>
      <c r="F65" s="1154">
        <v>30</v>
      </c>
    </row>
    <row r="66" spans="1:6" s="1105" customFormat="1" ht="36">
      <c r="A66" s="1154">
        <v>6</v>
      </c>
      <c r="B66" s="3414"/>
      <c r="C66" s="1068" t="s">
        <v>1513</v>
      </c>
      <c r="D66" s="1068" t="s">
        <v>1514</v>
      </c>
      <c r="E66" s="1139">
        <v>0.3</v>
      </c>
      <c r="F66" s="1154">
        <v>50</v>
      </c>
    </row>
    <row r="67" spans="1:6" s="1105" customFormat="1" ht="36">
      <c r="A67" s="1154">
        <v>7</v>
      </c>
      <c r="B67" s="3414"/>
      <c r="C67" s="1068" t="s">
        <v>1515</v>
      </c>
      <c r="D67" s="1068" t="s">
        <v>1516</v>
      </c>
      <c r="E67" s="1139">
        <v>0.2</v>
      </c>
      <c r="F67" s="1154">
        <v>30</v>
      </c>
    </row>
    <row r="68" spans="1:6" s="1105" customFormat="1" ht="36">
      <c r="A68" s="1154">
        <v>8</v>
      </c>
      <c r="B68" s="3414"/>
      <c r="C68" s="1068" t="s">
        <v>1517</v>
      </c>
      <c r="D68" s="1068" t="s">
        <v>1518</v>
      </c>
      <c r="E68" s="1139">
        <v>0.2</v>
      </c>
      <c r="F68" s="1154">
        <v>30</v>
      </c>
    </row>
    <row r="69" spans="1:6" s="1105" customFormat="1" ht="36">
      <c r="A69" s="1154">
        <v>9</v>
      </c>
      <c r="B69" s="3414"/>
      <c r="C69" s="1068" t="s">
        <v>1519</v>
      </c>
      <c r="D69" s="1068" t="s">
        <v>1520</v>
      </c>
      <c r="E69" s="1139">
        <v>0.2</v>
      </c>
      <c r="F69" s="1154">
        <v>30</v>
      </c>
    </row>
    <row r="70" spans="1:6" s="1105" customFormat="1" ht="48">
      <c r="A70" s="1154">
        <v>10</v>
      </c>
      <c r="B70" s="3414"/>
      <c r="C70" s="1068" t="s">
        <v>1521</v>
      </c>
      <c r="D70" s="1068" t="s">
        <v>1522</v>
      </c>
      <c r="E70" s="1139">
        <v>0.2</v>
      </c>
      <c r="F70" s="1154">
        <v>30</v>
      </c>
    </row>
    <row r="71" spans="1:6" s="1105" customFormat="1" ht="48">
      <c r="A71" s="1154">
        <v>11</v>
      </c>
      <c r="B71" s="3414"/>
      <c r="C71" s="1068" t="s">
        <v>1523</v>
      </c>
      <c r="D71" s="1068" t="s">
        <v>1524</v>
      </c>
      <c r="E71" s="1139">
        <v>0.2</v>
      </c>
      <c r="F71" s="1154">
        <v>30</v>
      </c>
    </row>
    <row r="72" spans="1:6" s="1105" customFormat="1" ht="36">
      <c r="A72" s="1154">
        <v>12</v>
      </c>
      <c r="B72" s="3414"/>
      <c r="C72" s="1068" t="s">
        <v>1525</v>
      </c>
      <c r="D72" s="1068" t="s">
        <v>1526</v>
      </c>
      <c r="E72" s="1139">
        <v>0.5</v>
      </c>
      <c r="F72" s="1154">
        <v>80</v>
      </c>
    </row>
    <row r="73" spans="1:6" s="1105" customFormat="1" ht="24">
      <c r="A73" s="1154">
        <v>13</v>
      </c>
      <c r="B73" s="3414"/>
      <c r="C73" s="1068" t="s">
        <v>1527</v>
      </c>
      <c r="D73" s="1068" t="s">
        <v>1528</v>
      </c>
      <c r="E73" s="1139">
        <v>0.4</v>
      </c>
      <c r="F73" s="1154">
        <v>60</v>
      </c>
    </row>
    <row r="74" spans="1:6" s="1105" customFormat="1" ht="24">
      <c r="A74" s="1154">
        <v>14</v>
      </c>
      <c r="B74" s="3414"/>
      <c r="C74" s="1068" t="s">
        <v>1529</v>
      </c>
      <c r="D74" s="1068" t="s">
        <v>1530</v>
      </c>
      <c r="E74" s="1139">
        <v>0.2</v>
      </c>
      <c r="F74" s="1154">
        <v>30</v>
      </c>
    </row>
    <row r="75" spans="1:6" s="1105" customFormat="1" ht="24">
      <c r="A75" s="1154">
        <v>15</v>
      </c>
      <c r="B75" s="3414"/>
      <c r="C75" s="1068" t="s">
        <v>1531</v>
      </c>
      <c r="D75" s="1068" t="s">
        <v>1532</v>
      </c>
      <c r="E75" s="1139">
        <v>0.2</v>
      </c>
      <c r="F75" s="1154">
        <v>30</v>
      </c>
    </row>
    <row r="76" spans="1:6" s="1105" customFormat="1" ht="24">
      <c r="A76" s="1154">
        <v>16</v>
      </c>
      <c r="B76" s="3414" t="s">
        <v>1533</v>
      </c>
      <c r="C76" s="1068" t="s">
        <v>1534</v>
      </c>
      <c r="D76" s="1068" t="s">
        <v>1535</v>
      </c>
      <c r="E76" s="1139">
        <v>0.5</v>
      </c>
      <c r="F76" s="1154">
        <v>80</v>
      </c>
    </row>
    <row r="77" spans="1:6" s="1105" customFormat="1" ht="24">
      <c r="A77" s="1154">
        <v>17</v>
      </c>
      <c r="B77" s="3414"/>
      <c r="C77" s="1068" t="s">
        <v>1536</v>
      </c>
      <c r="D77" s="1068" t="s">
        <v>1537</v>
      </c>
      <c r="E77" s="1139">
        <v>0.5</v>
      </c>
      <c r="F77" s="1154">
        <v>80</v>
      </c>
    </row>
    <row r="78" spans="1:6" s="1105" customFormat="1" ht="24">
      <c r="A78" s="1154">
        <v>18</v>
      </c>
      <c r="B78" s="3414"/>
      <c r="C78" s="1068" t="s">
        <v>1538</v>
      </c>
      <c r="D78" s="1068" t="s">
        <v>1539</v>
      </c>
      <c r="E78" s="1139">
        <v>0.2</v>
      </c>
      <c r="F78" s="1154">
        <v>30</v>
      </c>
    </row>
    <row r="79" spans="1:6" s="1105" customFormat="1" ht="24">
      <c r="A79" s="1154">
        <v>19</v>
      </c>
      <c r="B79" s="3414"/>
      <c r="C79" s="1068" t="s">
        <v>1540</v>
      </c>
      <c r="D79" s="1068" t="s">
        <v>1541</v>
      </c>
      <c r="E79" s="1139">
        <v>0.5</v>
      </c>
      <c r="F79" s="1154">
        <v>80</v>
      </c>
    </row>
    <row r="80" spans="1:6" s="1105" customFormat="1" ht="36">
      <c r="A80" s="1154">
        <v>20</v>
      </c>
      <c r="B80" s="3414"/>
      <c r="C80" s="1068" t="s">
        <v>1542</v>
      </c>
      <c r="D80" s="1068" t="s">
        <v>1543</v>
      </c>
      <c r="E80" s="1139">
        <v>0.2</v>
      </c>
      <c r="F80" s="1154">
        <v>30</v>
      </c>
    </row>
    <row r="81" spans="1:6" s="1105" customFormat="1" ht="36">
      <c r="A81" s="1154">
        <v>21</v>
      </c>
      <c r="B81" s="3414"/>
      <c r="C81" s="1068" t="s">
        <v>1544</v>
      </c>
      <c r="D81" s="1068" t="s">
        <v>1545</v>
      </c>
      <c r="E81" s="1139">
        <v>0.2</v>
      </c>
      <c r="F81" s="1154">
        <v>30</v>
      </c>
    </row>
    <row r="82" spans="1:6" s="1105" customFormat="1" ht="48">
      <c r="A82" s="1154">
        <v>22</v>
      </c>
      <c r="B82" s="3414"/>
      <c r="C82" s="1068" t="s">
        <v>1546</v>
      </c>
      <c r="D82" s="1068" t="s">
        <v>1547</v>
      </c>
      <c r="E82" s="1139">
        <v>0.2</v>
      </c>
      <c r="F82" s="1154">
        <v>30</v>
      </c>
    </row>
    <row r="83" spans="1:6" s="1105" customFormat="1" ht="48">
      <c r="A83" s="1154">
        <v>23</v>
      </c>
      <c r="B83" s="3414"/>
      <c r="C83" s="1068" t="s">
        <v>1548</v>
      </c>
      <c r="D83" s="1068" t="s">
        <v>1549</v>
      </c>
      <c r="E83" s="1139">
        <v>0.2</v>
      </c>
      <c r="F83" s="1154">
        <v>30</v>
      </c>
    </row>
    <row r="84" spans="1:6" s="1105" customFormat="1" ht="36">
      <c r="A84" s="1154">
        <v>24</v>
      </c>
      <c r="B84" s="3414"/>
      <c r="C84" s="1068" t="s">
        <v>1550</v>
      </c>
      <c r="D84" s="1068" t="s">
        <v>1551</v>
      </c>
      <c r="E84" s="1139">
        <v>0.2</v>
      </c>
      <c r="F84" s="1154">
        <v>30</v>
      </c>
    </row>
    <row r="85" spans="1:6" s="1105" customFormat="1" ht="36">
      <c r="A85" s="1154">
        <v>25</v>
      </c>
      <c r="B85" s="3414"/>
      <c r="C85" s="1068" t="s">
        <v>1552</v>
      </c>
      <c r="D85" s="1068" t="s">
        <v>1553</v>
      </c>
      <c r="E85" s="1139">
        <v>0.5</v>
      </c>
      <c r="F85" s="1154">
        <v>80</v>
      </c>
    </row>
    <row r="86" spans="1:6" s="1105" customFormat="1" ht="36">
      <c r="A86" s="1154">
        <v>26</v>
      </c>
      <c r="B86" s="3414"/>
      <c r="C86" s="1068" t="s">
        <v>1554</v>
      </c>
      <c r="D86" s="1068" t="s">
        <v>1555</v>
      </c>
      <c r="E86" s="1139">
        <v>0.2</v>
      </c>
      <c r="F86" s="1154">
        <v>30</v>
      </c>
    </row>
    <row r="87" spans="1:6" s="1105" customFormat="1" ht="36">
      <c r="A87" s="1154">
        <v>27</v>
      </c>
      <c r="B87" s="3414"/>
      <c r="C87" s="1068" t="s">
        <v>1556</v>
      </c>
      <c r="D87" s="1068" t="s">
        <v>1557</v>
      </c>
      <c r="E87" s="1139">
        <v>0.2</v>
      </c>
      <c r="F87" s="1154">
        <v>30</v>
      </c>
    </row>
    <row r="88" spans="1:6" s="1105" customFormat="1" ht="36">
      <c r="A88" s="1154">
        <v>28</v>
      </c>
      <c r="B88" s="3414"/>
      <c r="C88" s="1068" t="s">
        <v>1558</v>
      </c>
      <c r="D88" s="1068" t="s">
        <v>1559</v>
      </c>
      <c r="E88" s="1139">
        <v>0.2</v>
      </c>
      <c r="F88" s="1154">
        <v>30</v>
      </c>
    </row>
    <row r="89" spans="1:6" s="1105" customFormat="1" ht="24">
      <c r="A89" s="1154">
        <v>29</v>
      </c>
      <c r="B89" s="3414"/>
      <c r="C89" s="1068" t="s">
        <v>1560</v>
      </c>
      <c r="D89" s="1068" t="s">
        <v>1561</v>
      </c>
      <c r="E89" s="1139">
        <v>0.2</v>
      </c>
      <c r="F89" s="1154">
        <v>30</v>
      </c>
    </row>
    <row r="90" spans="1:6" s="1105" customFormat="1" ht="24">
      <c r="A90" s="1154">
        <v>30</v>
      </c>
      <c r="B90" s="3414"/>
      <c r="C90" s="1068" t="s">
        <v>1562</v>
      </c>
      <c r="D90" s="1068" t="s">
        <v>1563</v>
      </c>
      <c r="E90" s="1139">
        <v>0.2</v>
      </c>
      <c r="F90" s="1154">
        <v>30</v>
      </c>
    </row>
    <row r="91" spans="1:6" s="1105" customFormat="1" ht="36">
      <c r="A91" s="1154">
        <v>31</v>
      </c>
      <c r="B91" s="3414"/>
      <c r="C91" s="1068" t="s">
        <v>1564</v>
      </c>
      <c r="D91" s="1068" t="s">
        <v>1565</v>
      </c>
      <c r="E91" s="1139">
        <v>0.2</v>
      </c>
      <c r="F91" s="1154">
        <v>30</v>
      </c>
    </row>
    <row r="92" spans="1:6" s="1105" customFormat="1" ht="24">
      <c r="A92" s="1154">
        <v>32</v>
      </c>
      <c r="B92" s="3414" t="s">
        <v>1566</v>
      </c>
      <c r="C92" s="1154" t="s">
        <v>1567</v>
      </c>
      <c r="D92" s="1068" t="s">
        <v>1568</v>
      </c>
      <c r="E92" s="1139">
        <v>0.2</v>
      </c>
      <c r="F92" s="1154">
        <v>30</v>
      </c>
    </row>
    <row r="93" spans="1:6" s="1105" customFormat="1" ht="36">
      <c r="A93" s="1154">
        <v>33</v>
      </c>
      <c r="B93" s="3414"/>
      <c r="C93" s="1154" t="s">
        <v>1569</v>
      </c>
      <c r="D93" s="1068" t="s">
        <v>1570</v>
      </c>
      <c r="E93" s="1139">
        <v>0.2</v>
      </c>
      <c r="F93" s="1154">
        <v>30</v>
      </c>
    </row>
    <row r="94" spans="1:6" s="1105" customFormat="1" ht="48">
      <c r="A94" s="1154">
        <v>34</v>
      </c>
      <c r="B94" s="3414"/>
      <c r="C94" s="1154" t="s">
        <v>1571</v>
      </c>
      <c r="D94" s="1068" t="s">
        <v>1572</v>
      </c>
      <c r="E94" s="1139">
        <v>0.2</v>
      </c>
      <c r="F94" s="1154">
        <v>30</v>
      </c>
    </row>
    <row r="95" spans="1:6" s="1105" customFormat="1" ht="36">
      <c r="A95" s="1154">
        <v>35</v>
      </c>
      <c r="B95" s="3414"/>
      <c r="C95" s="1154" t="s">
        <v>1573</v>
      </c>
      <c r="D95" s="1068" t="s">
        <v>1574</v>
      </c>
      <c r="E95" s="1139">
        <v>0.2</v>
      </c>
      <c r="F95" s="1154">
        <v>30</v>
      </c>
    </row>
    <row r="96" spans="1:6" s="1105" customFormat="1" ht="48">
      <c r="A96" s="1154">
        <v>36</v>
      </c>
      <c r="B96" s="3414"/>
      <c r="C96" s="1068" t="s">
        <v>1575</v>
      </c>
      <c r="D96" s="1068" t="s">
        <v>1576</v>
      </c>
      <c r="E96" s="1139">
        <v>0.2</v>
      </c>
      <c r="F96" s="1154">
        <v>30</v>
      </c>
    </row>
    <row r="97" spans="1:6" s="1105" customFormat="1" ht="36">
      <c r="A97" s="1154">
        <v>37</v>
      </c>
      <c r="B97" s="3414"/>
      <c r="C97" s="1154" t="s">
        <v>1577</v>
      </c>
      <c r="D97" s="1068" t="s">
        <v>1578</v>
      </c>
      <c r="E97" s="1139">
        <v>0.2</v>
      </c>
      <c r="F97" s="1154">
        <v>30</v>
      </c>
    </row>
    <row r="98" spans="1:6" s="1105" customFormat="1" ht="36">
      <c r="A98" s="1154">
        <v>38</v>
      </c>
      <c r="B98" s="3414"/>
      <c r="C98" s="1154" t="s">
        <v>1579</v>
      </c>
      <c r="D98" s="1068" t="s">
        <v>1580</v>
      </c>
      <c r="E98" s="1139">
        <v>0.2</v>
      </c>
      <c r="F98" s="1154">
        <v>30</v>
      </c>
    </row>
    <row r="99" spans="1:6" s="1105" customFormat="1" ht="36">
      <c r="A99" s="1154">
        <v>39</v>
      </c>
      <c r="B99" s="3414" t="s">
        <v>1581</v>
      </c>
      <c r="C99" s="1154" t="s">
        <v>1582</v>
      </c>
      <c r="D99" s="1068" t="s">
        <v>1583</v>
      </c>
      <c r="E99" s="1139">
        <v>0.3</v>
      </c>
      <c r="F99" s="1154">
        <v>50</v>
      </c>
    </row>
    <row r="100" spans="1:6" s="1105" customFormat="1" ht="24">
      <c r="A100" s="1154">
        <v>40</v>
      </c>
      <c r="B100" s="3414"/>
      <c r="C100" s="1154" t="s">
        <v>1584</v>
      </c>
      <c r="D100" s="1068" t="s">
        <v>1585</v>
      </c>
      <c r="E100" s="1139">
        <v>0.2</v>
      </c>
      <c r="F100" s="1154">
        <v>30</v>
      </c>
    </row>
    <row r="101" spans="1:6" s="1105" customFormat="1" ht="36">
      <c r="A101" s="1154">
        <v>41</v>
      </c>
      <c r="B101" s="34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4" t="s">
        <v>1596</v>
      </c>
      <c r="C105" s="1154" t="s">
        <v>1597</v>
      </c>
      <c r="D105" s="1068" t="s">
        <v>1598</v>
      </c>
      <c r="E105" s="1139">
        <v>0.2</v>
      </c>
      <c r="F105" s="1154">
        <v>30</v>
      </c>
    </row>
    <row r="106" spans="1:6" s="1105" customFormat="1" ht="36">
      <c r="A106" s="1154">
        <v>46</v>
      </c>
      <c r="B106" s="3414"/>
      <c r="C106" s="1154" t="s">
        <v>1599</v>
      </c>
      <c r="D106" s="1068" t="s">
        <v>1600</v>
      </c>
      <c r="E106" s="1139">
        <v>0.2</v>
      </c>
      <c r="F106" s="1154">
        <v>30</v>
      </c>
    </row>
    <row r="107" spans="1:6" s="1105" customFormat="1" ht="36">
      <c r="A107" s="1154">
        <v>47</v>
      </c>
      <c r="B107" s="3414" t="s">
        <v>1601</v>
      </c>
      <c r="C107" s="1154" t="s">
        <v>1602</v>
      </c>
      <c r="D107" s="1068" t="s">
        <v>1603</v>
      </c>
      <c r="E107" s="1139">
        <v>0.3</v>
      </c>
      <c r="F107" s="1154">
        <v>50</v>
      </c>
    </row>
    <row r="108" spans="1:6" s="1105" customFormat="1" ht="36">
      <c r="A108" s="1154">
        <v>48</v>
      </c>
      <c r="B108" s="34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4" t="s">
        <v>1612</v>
      </c>
      <c r="C111" s="1154" t="s">
        <v>1613</v>
      </c>
      <c r="D111" s="1068" t="s">
        <v>1614</v>
      </c>
      <c r="E111" s="1139">
        <v>0.2</v>
      </c>
      <c r="F111" s="1154">
        <v>30</v>
      </c>
    </row>
    <row r="112" spans="1:6" s="1105" customFormat="1" ht="24">
      <c r="A112" s="1154">
        <v>52</v>
      </c>
      <c r="B112" s="3414"/>
      <c r="C112" s="1154" t="s">
        <v>1615</v>
      </c>
      <c r="D112" s="1068" t="s">
        <v>1616</v>
      </c>
      <c r="E112" s="1139">
        <v>0.2</v>
      </c>
      <c r="F112" s="1154">
        <v>30</v>
      </c>
    </row>
    <row r="113" spans="1:14" s="1105" customFormat="1" ht="24">
      <c r="A113" s="1154">
        <v>53</v>
      </c>
      <c r="B113" s="34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4" t="s">
        <v>1625</v>
      </c>
      <c r="C116" s="1154" t="s">
        <v>1626</v>
      </c>
      <c r="D116" s="1068" t="s">
        <v>1627</v>
      </c>
      <c r="E116" s="1139">
        <v>0.2</v>
      </c>
      <c r="F116" s="1154">
        <v>30</v>
      </c>
    </row>
    <row r="117" spans="1:14" ht="36">
      <c r="A117" s="1154">
        <v>57</v>
      </c>
      <c r="B117" s="34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3" t="s">
        <v>1634</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2081</v>
      </c>
      <c r="B1" s="3422"/>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2950</v>
      </c>
      <c r="B1" s="3104"/>
      <c r="C1" s="3104"/>
      <c r="D1" s="3104"/>
      <c r="E1" s="3104"/>
      <c r="F1" s="3104"/>
    </row>
    <row r="2" spans="1:6" ht="14.25">
      <c r="A2" s="3105" t="s">
        <v>2945</v>
      </c>
      <c r="B2" s="3106" t="e">
        <f ca="1">SUMIF(B7:B14,"&lt;&gt;#ref!",B7:B14)</f>
        <v>#DIV/0!</v>
      </c>
      <c r="C2" s="3105" t="s">
        <v>2946</v>
      </c>
      <c r="D2" s="3104"/>
      <c r="E2" s="3104"/>
      <c r="F2" s="3104"/>
    </row>
    <row r="3" spans="1:6" ht="14.25">
      <c r="A3" s="3105" t="s">
        <v>2979</v>
      </c>
      <c r="B3" s="3106" t="e">
        <f ca="1">ROUND(B2*10000/E3,0)</f>
        <v>#DIV/0!</v>
      </c>
      <c r="C3" s="3105" t="s">
        <v>2080</v>
      </c>
      <c r="D3" s="3105" t="s">
        <v>2947</v>
      </c>
      <c r="E3" s="3106">
        <f ca="1">SUMIF(E7:E14,"&lt;&gt;#ref!",E7:E14)</f>
        <v>0</v>
      </c>
      <c r="F3" s="3104"/>
    </row>
    <row r="4" spans="1:6" ht="14.25">
      <c r="A4" s="3105" t="s">
        <v>2954</v>
      </c>
      <c r="B4" s="3106" t="e">
        <f ca="1">ROUND(B2*10000/E4,0)</f>
        <v>#DIV/0!</v>
      </c>
      <c r="C4" s="3105" t="s">
        <v>2080</v>
      </c>
      <c r="D4" s="3105" t="s">
        <v>2955</v>
      </c>
      <c r="E4" s="3106">
        <f ca="1">SUMIF(F7:F14,"&lt;&gt;#ref!",F7:F14)</f>
        <v>0</v>
      </c>
      <c r="F4" s="3104"/>
    </row>
    <row r="5" spans="1:6" ht="14.25">
      <c r="A5" s="3107"/>
      <c r="B5" s="1882"/>
      <c r="C5" s="1882"/>
      <c r="D5" s="1882"/>
      <c r="E5" s="1882"/>
      <c r="F5" s="3104"/>
    </row>
    <row r="6" spans="1:6" ht="28.5">
      <c r="A6" s="3108" t="s">
        <v>2951</v>
      </c>
      <c r="B6" s="3105" t="s">
        <v>2948</v>
      </c>
      <c r="C6" s="3106"/>
      <c r="D6" s="1882"/>
      <c r="E6" s="3105" t="s">
        <v>2949</v>
      </c>
      <c r="F6" s="3105" t="s">
        <v>2953</v>
      </c>
    </row>
    <row r="7" spans="1:6" ht="14.25">
      <c r="A7" s="260" t="s">
        <v>2952</v>
      </c>
      <c r="B7" s="3109" t="e">
        <f ca="1">SUMIF(INDIRECT("'"&amp;A7&amp;"'"&amp;"!A:A"),"总价",INDIRECT("'"&amp;A7&amp;"'"&amp;"!B:B"))</f>
        <v>#DIV/0!</v>
      </c>
      <c r="C7" s="3105" t="s">
        <v>2946</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2946</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2946</v>
      </c>
      <c r="D9" s="1882"/>
      <c r="E9" s="3110" t="e">
        <f t="shared" ca="1" si="1"/>
        <v>#REF!</v>
      </c>
      <c r="F9" s="3110" t="e">
        <f t="shared" ca="1" si="2"/>
        <v>#REF!</v>
      </c>
    </row>
    <row r="10" spans="1:6" ht="14.25">
      <c r="A10" s="260"/>
      <c r="B10" s="3109" t="e">
        <f t="shared" ca="1" si="0"/>
        <v>#REF!</v>
      </c>
      <c r="C10" s="3105" t="s">
        <v>2946</v>
      </c>
      <c r="D10" s="1882"/>
      <c r="E10" s="3110" t="e">
        <f t="shared" ca="1" si="1"/>
        <v>#REF!</v>
      </c>
      <c r="F10" s="3110" t="e">
        <f t="shared" ca="1" si="2"/>
        <v>#REF!</v>
      </c>
    </row>
    <row r="11" spans="1:6" ht="14.25">
      <c r="A11" s="260"/>
      <c r="B11" s="3109" t="e">
        <f t="shared" ca="1" si="0"/>
        <v>#REF!</v>
      </c>
      <c r="C11" s="3105" t="s">
        <v>2946</v>
      </c>
      <c r="D11" s="1882"/>
      <c r="E11" s="3110" t="e">
        <f t="shared" ca="1" si="1"/>
        <v>#REF!</v>
      </c>
      <c r="F11" s="3110" t="e">
        <f t="shared" ca="1" si="2"/>
        <v>#REF!</v>
      </c>
    </row>
    <row r="12" spans="1:6" ht="14.25">
      <c r="A12" s="260"/>
      <c r="B12" s="3109" t="e">
        <f t="shared" ca="1" si="0"/>
        <v>#REF!</v>
      </c>
      <c r="C12" s="3105" t="s">
        <v>2946</v>
      </c>
      <c r="D12" s="1882"/>
      <c r="E12" s="3110" t="e">
        <f t="shared" ca="1" si="1"/>
        <v>#REF!</v>
      </c>
      <c r="F12" s="3110" t="e">
        <f t="shared" ca="1" si="2"/>
        <v>#REF!</v>
      </c>
    </row>
    <row r="13" spans="1:6" ht="14.25">
      <c r="A13" s="260"/>
      <c r="B13" s="3109" t="e">
        <f t="shared" ca="1" si="0"/>
        <v>#REF!</v>
      </c>
      <c r="C13" s="3105" t="s">
        <v>2946</v>
      </c>
      <c r="D13" s="1882"/>
      <c r="E13" s="3110" t="e">
        <f t="shared" ca="1" si="1"/>
        <v>#REF!</v>
      </c>
      <c r="F13" s="3110" t="e">
        <f t="shared" ca="1" si="2"/>
        <v>#REF!</v>
      </c>
    </row>
    <row r="14" spans="1:6" ht="14.25">
      <c r="A14" s="3103"/>
      <c r="B14" s="3109" t="e">
        <f t="shared" ca="1" si="0"/>
        <v>#REF!</v>
      </c>
      <c r="C14" s="3105" t="s">
        <v>2946</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2376</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24" t="s">
        <v>2465</v>
      </c>
      <c r="C8" s="1826">
        <f ca="1">ROUND(F8*F10*F9*(1-F11)/10000,0)</f>
        <v>0</v>
      </c>
      <c r="D8" s="1823" t="s">
        <v>2536</v>
      </c>
      <c r="E8" s="61" t="s">
        <v>637</v>
      </c>
      <c r="F8" s="785">
        <f ca="1">INDIRECT("'数据-取费表'!u"&amp;$G$1)</f>
        <v>0</v>
      </c>
      <c r="G8" s="1592"/>
      <c r="H8" s="2505" t="s">
        <v>1825</v>
      </c>
      <c r="I8" s="3424" t="s">
        <v>2465</v>
      </c>
      <c r="J8" s="783">
        <f ca="1">ROUND(M8*M10*M9*(1-M11)/10000,0)</f>
        <v>0</v>
      </c>
      <c r="K8" s="341" t="s">
        <v>2536</v>
      </c>
      <c r="L8" s="784" t="s">
        <v>1739</v>
      </c>
      <c r="M8" s="785">
        <f ca="1">INDIRECT("'数据-取费表'!z"&amp;$G$1)</f>
        <v>0</v>
      </c>
    </row>
    <row r="9" spans="1:25" ht="18" customHeight="1">
      <c r="A9" s="2501"/>
      <c r="B9" s="3425"/>
      <c r="C9" s="1827"/>
      <c r="D9" s="1824"/>
      <c r="E9" s="61" t="s">
        <v>638</v>
      </c>
      <c r="F9" s="785">
        <f ca="1">IF(INDIRECT("'数据-取费表'!ah"&amp;$G$1)="",INDIRECT("'数据-取费表'!k"&amp;$G$1),INDIRECT("'数据-取费表'!ah"&amp;$G$1))</f>
        <v>0</v>
      </c>
      <c r="G9" s="1592"/>
      <c r="H9" s="2490"/>
      <c r="I9" s="3425"/>
      <c r="J9" s="788"/>
      <c r="K9" s="789"/>
      <c r="L9" s="784" t="s">
        <v>1740</v>
      </c>
      <c r="M9" s="785">
        <f ca="1">F9</f>
        <v>0</v>
      </c>
    </row>
    <row r="10" spans="1:25" ht="18" customHeight="1">
      <c r="A10" s="2494"/>
      <c r="B10" s="3426"/>
      <c r="C10" s="1827"/>
      <c r="D10" s="1824"/>
      <c r="E10" s="61" t="s">
        <v>639</v>
      </c>
      <c r="F10" s="785">
        <f ca="1">INDIRECT("'数据-取费表'!ai"&amp;$G$1)</f>
        <v>0</v>
      </c>
      <c r="G10" s="1592"/>
      <c r="H10" s="2490"/>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2"/>
      <c r="H11" s="2506"/>
      <c r="I11" s="3426"/>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2975</v>
      </c>
      <c r="E12" s="2499" t="s">
        <v>2466</v>
      </c>
      <c r="F12" s="2622"/>
      <c r="G12" s="1592"/>
      <c r="H12" s="2562" t="s">
        <v>1826</v>
      </c>
      <c r="I12" s="2567" t="s">
        <v>2461</v>
      </c>
      <c r="J12" s="783">
        <f ca="1">ROUND(IF(M12="押一",J8/12*M13,IF(M12="押二",J8/12*2*M13,IF(M12="押三",J8/12*3*M13,J13*M13))),0)</f>
        <v>0</v>
      </c>
      <c r="K12" s="2502" t="s">
        <v>2975</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1" t="s">
        <v>2824</v>
      </c>
      <c r="J27" s="799">
        <f ca="1">J7-J18</f>
        <v>0</v>
      </c>
      <c r="K27" s="1980" t="s">
        <v>700</v>
      </c>
      <c r="L27" s="1982"/>
      <c r="M27" s="820"/>
    </row>
    <row r="28" spans="1:25" ht="18" customHeight="1">
      <c r="A28" s="803" t="s">
        <v>1876</v>
      </c>
      <c r="B28" s="784" t="s">
        <v>2440</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1" t="s">
        <v>2963</v>
      </c>
      <c r="F43" s="3122">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7">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3"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59" t="str">
        <f ca="1">IF(M48="住宅",0,IF(L49&gt;J52,L61,J61))</f>
        <v>0</v>
      </c>
      <c r="O47" s="2395" t="s">
        <v>2412</v>
      </c>
      <c r="P47" s="1592"/>
      <c r="Q47" s="1604"/>
      <c r="R47" s="1592"/>
    </row>
    <row r="48" spans="1:18" s="2060" customFormat="1" ht="18" customHeight="1" thickBot="1">
      <c r="A48" s="2085"/>
      <c r="C48" s="2088"/>
      <c r="D48" s="2089"/>
      <c r="E48" s="2089"/>
      <c r="F48" s="2090"/>
      <c r="G48" s="2091"/>
      <c r="I48" s="3149" t="s">
        <v>2346</v>
      </c>
      <c r="J48" s="2382"/>
      <c r="K48" s="3156" t="s">
        <v>2351</v>
      </c>
      <c r="L48" s="3160">
        <f ca="1">INDIRECT("'数据-取费表'!d"&amp;$G$1)</f>
        <v>0</v>
      </c>
      <c r="M48" s="3120"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5" t="s">
        <v>2347</v>
      </c>
      <c r="J49" s="2383"/>
      <c r="K49" s="3157"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5" t="s">
        <v>2348</v>
      </c>
      <c r="J50" s="2384"/>
      <c r="K50" s="3158"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5" t="s">
        <v>2349</v>
      </c>
      <c r="J51" s="3153">
        <f>SUMPRODUCT((I64:I66=J48)*(J63:L63=J49)*(J64:L66))</f>
        <v>0</v>
      </c>
      <c r="K51" s="3158" t="s">
        <v>2355</v>
      </c>
      <c r="L51" s="2385"/>
      <c r="O51" s="2402" t="s">
        <v>2385</v>
      </c>
      <c r="P51" s="2400" t="s">
        <v>2409</v>
      </c>
      <c r="Q51" s="2401">
        <f ca="1">C31</f>
        <v>0</v>
      </c>
      <c r="R51" s="2400" t="s">
        <v>2382</v>
      </c>
    </row>
    <row r="52" spans="1:18" s="2060" customFormat="1" ht="18" customHeight="1" thickBot="1">
      <c r="A52" s="2097"/>
      <c r="F52" s="2086"/>
      <c r="I52" s="3150" t="s">
        <v>2350</v>
      </c>
      <c r="J52" s="3154">
        <f>IF(J50="",J51,J50+J51-YEAR('数据-取费表'!B3))</f>
        <v>0</v>
      </c>
      <c r="K52" s="3125" t="s">
        <v>2356</v>
      </c>
      <c r="L52" s="3161">
        <f ca="1">ROUND(-PV(INDIRECT("'数据-取费表'!h"&amp;$G$1),L49,(C40-C14*J36),0),0)</f>
        <v>0</v>
      </c>
      <c r="O52" s="2402" t="s">
        <v>2386</v>
      </c>
      <c r="P52" s="2400" t="s">
        <v>2387</v>
      </c>
      <c r="Q52" s="2403" t="e">
        <f ca="1">J59</f>
        <v>#VALUE!</v>
      </c>
      <c r="R52" s="2404"/>
    </row>
    <row r="53" spans="1:18" s="2060" customFormat="1" ht="18" customHeight="1" thickBot="1">
      <c r="A53" s="2097"/>
      <c r="F53" s="2086"/>
      <c r="I53" s="3151" t="s">
        <v>2423</v>
      </c>
      <c r="J53" s="2386"/>
      <c r="K53" s="3151" t="s">
        <v>2422</v>
      </c>
      <c r="L53" s="2386"/>
      <c r="O53" s="2402" t="s">
        <v>2388</v>
      </c>
      <c r="P53" s="2400" t="s">
        <v>2389</v>
      </c>
      <c r="Q53" s="2403">
        <f>J53</f>
        <v>0</v>
      </c>
      <c r="R53" s="2404"/>
    </row>
    <row r="54" spans="1:18" s="2060" customFormat="1" ht="29.25" thickBot="1">
      <c r="A54" s="2097"/>
      <c r="I54" s="3152" t="s">
        <v>2980</v>
      </c>
      <c r="J54" s="3155">
        <f ca="1">IF(M48="住宅",MAX(J52,L49-'数据-取费表'!B20),MIN(J52,L49-'数据-取费表'!B20))</f>
        <v>-2</v>
      </c>
      <c r="K54" s="3428"/>
      <c r="L54" s="3429"/>
      <c r="O54" s="2402" t="s">
        <v>2390</v>
      </c>
      <c r="P54" s="2400" t="s">
        <v>2391</v>
      </c>
      <c r="Q54" s="2401">
        <f ca="1">J54</f>
        <v>-2</v>
      </c>
      <c r="R54" s="2400" t="s">
        <v>2392</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9" t="s">
        <v>2393</v>
      </c>
      <c r="P55" s="2400" t="s">
        <v>2410</v>
      </c>
      <c r="Q55" s="2401">
        <f ca="1">Q49+Q50</f>
        <v>0</v>
      </c>
      <c r="R55" s="2404" t="s">
        <v>2394</v>
      </c>
    </row>
    <row r="56" spans="1:18" s="2060" customFormat="1" ht="16.5" thickBot="1">
      <c r="A56" s="2097"/>
      <c r="B56" s="2098"/>
      <c r="C56" s="2098"/>
      <c r="I56" s="3164" t="s">
        <v>2357</v>
      </c>
      <c r="J56" s="3100" t="e">
        <f ca="1">ROUND(IF(J48="钢混",J58/J51,1-(1-2%)*(J51-J58)/J51),3)</f>
        <v>#VALUE!</v>
      </c>
      <c r="K56" s="3165" t="s">
        <v>2358</v>
      </c>
      <c r="L56" s="2387"/>
      <c r="O56" s="2405" t="s">
        <v>2413</v>
      </c>
      <c r="P56" s="1592"/>
      <c r="Q56" s="1604"/>
      <c r="R56" s="1592"/>
    </row>
    <row r="57" spans="1:18" s="2060" customFormat="1" ht="43.5" thickBot="1">
      <c r="A57" s="2097"/>
      <c r="B57" s="2098"/>
      <c r="C57" s="2098"/>
      <c r="I57" s="3166" t="s">
        <v>2359</v>
      </c>
      <c r="J57" s="3176" t="s">
        <v>1679</v>
      </c>
      <c r="K57" s="3125" t="s">
        <v>2364</v>
      </c>
      <c r="L57" s="1909">
        <f ca="1">IF(L49&lt;J52,"——",L49-J52)</f>
        <v>0</v>
      </c>
      <c r="O57" s="2396" t="s">
        <v>2377</v>
      </c>
      <c r="P57" s="2397" t="s">
        <v>2378</v>
      </c>
      <c r="Q57" s="2398" t="s">
        <v>2379</v>
      </c>
      <c r="R57" s="2397" t="s">
        <v>2380</v>
      </c>
    </row>
    <row r="58" spans="1:18" s="2060" customFormat="1" ht="29.25" thickBot="1">
      <c r="A58" s="2097"/>
      <c r="B58" s="2098"/>
      <c r="C58" s="2098"/>
      <c r="I58" s="3167" t="s">
        <v>2360</v>
      </c>
      <c r="J58" s="3168" t="str">
        <f ca="1">IF(OR(M48="住宅",J52&lt;L49,J57="是"),"——",J52-L49)</f>
        <v>——</v>
      </c>
      <c r="K58" s="3125"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7" t="s">
        <v>2361</v>
      </c>
      <c r="J59" s="3101" t="e">
        <f ca="1">IF(J56&lt;0.4,0.4,J56)</f>
        <v>#VALUE!</v>
      </c>
      <c r="K59" s="3125"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7" t="s">
        <v>2362</v>
      </c>
      <c r="J60" s="3168" t="str">
        <f ca="1">IF(OR(M48="住宅",J52&lt;L49,J57="是"),"——",ROUND(C30*J59,0))</f>
        <v>——</v>
      </c>
      <c r="K60" s="3125"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69" t="s">
        <v>2363</v>
      </c>
      <c r="J61" s="3170" t="str">
        <f ca="1">IF(OR(M48="住宅",J52&lt;L49,J57="是"),"0",ROUND(J60/(1+J53)^J54,0))</f>
        <v>0</v>
      </c>
      <c r="K61" s="3171" t="s">
        <v>2368</v>
      </c>
      <c r="L61" s="3170"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2" t="s">
        <v>2369</v>
      </c>
      <c r="J63" s="3173" t="s">
        <v>2370</v>
      </c>
      <c r="K63" s="3173" t="s">
        <v>2371</v>
      </c>
      <c r="L63" s="3173" t="s">
        <v>2352</v>
      </c>
      <c r="M63" s="3174" t="s">
        <v>2943</v>
      </c>
      <c r="O63" s="2402" t="s">
        <v>2390</v>
      </c>
      <c r="P63" s="2400" t="s">
        <v>2398</v>
      </c>
      <c r="Q63" s="2401">
        <f ca="1">L60</f>
        <v>0</v>
      </c>
      <c r="R63" s="2404" t="s">
        <v>2399</v>
      </c>
    </row>
    <row r="64" spans="1:18" s="2060" customFormat="1" ht="15.75" thickBot="1">
      <c r="A64" s="2097"/>
      <c r="B64" s="2098"/>
      <c r="C64" s="2098"/>
      <c r="I64" s="3172" t="s">
        <v>2372</v>
      </c>
      <c r="J64" s="3173">
        <v>70</v>
      </c>
      <c r="K64" s="3173">
        <v>50</v>
      </c>
      <c r="L64" s="3173">
        <v>80</v>
      </c>
      <c r="M64" s="3175">
        <v>0.02</v>
      </c>
      <c r="O64" s="2399" t="s">
        <v>2393</v>
      </c>
      <c r="P64" s="2400" t="s">
        <v>2410</v>
      </c>
      <c r="Q64" s="2401" t="e">
        <f ca="1">Q58+Q59</f>
        <v>#DIV/0!</v>
      </c>
      <c r="R64" s="2404" t="s">
        <v>2394</v>
      </c>
    </row>
    <row r="65" spans="1:18" s="2060" customFormat="1" ht="16.5" thickBot="1">
      <c r="A65" s="2097"/>
      <c r="B65" s="2098"/>
      <c r="C65" s="2098"/>
      <c r="I65" s="3172" t="s">
        <v>2373</v>
      </c>
      <c r="J65" s="3173">
        <v>50</v>
      </c>
      <c r="K65" s="3173">
        <v>35</v>
      </c>
      <c r="L65" s="3173">
        <v>60</v>
      </c>
      <c r="M65" s="846">
        <v>0</v>
      </c>
      <c r="O65" s="2405" t="s">
        <v>2417</v>
      </c>
      <c r="P65" s="1592"/>
      <c r="Q65" s="1604"/>
      <c r="R65" s="1592"/>
    </row>
    <row r="66" spans="1:18" s="2060" customFormat="1" ht="15.75" thickBot="1">
      <c r="A66" s="2097"/>
      <c r="B66" s="2098"/>
      <c r="C66" s="2098"/>
      <c r="I66" s="3172" t="s">
        <v>2374</v>
      </c>
      <c r="J66" s="3173">
        <v>40</v>
      </c>
      <c r="K66" s="3173">
        <v>30</v>
      </c>
      <c r="L66" s="3173">
        <v>50</v>
      </c>
      <c r="M66" s="3175">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6" t="s">
        <v>2578</v>
      </c>
      <c r="C1" s="3436"/>
      <c r="D1" s="3436"/>
      <c r="E1" s="3436"/>
      <c r="F1" s="3436"/>
      <c r="G1" s="3435" t="s">
        <v>2579</v>
      </c>
      <c r="H1" s="3435"/>
      <c r="I1" s="3435"/>
      <c r="J1" s="3435"/>
      <c r="K1" s="3435"/>
      <c r="L1" s="3435"/>
      <c r="N1" s="3435" t="s">
        <v>2580</v>
      </c>
      <c r="O1" s="3435"/>
      <c r="P1" s="3435"/>
      <c r="Q1" s="3435"/>
      <c r="R1" s="2655"/>
      <c r="S1" s="3435" t="s">
        <v>2581</v>
      </c>
      <c r="T1" s="3435"/>
      <c r="U1" s="3435"/>
      <c r="V1" s="3435"/>
      <c r="X1" s="3434" t="s">
        <v>2641</v>
      </c>
      <c r="Y1" s="3435"/>
      <c r="Z1" s="3435"/>
      <c r="AA1" s="3435"/>
      <c r="AB1" s="3435"/>
      <c r="AD1" s="3434" t="s">
        <v>2645</v>
      </c>
      <c r="AE1" s="3435"/>
      <c r="AF1" s="3435"/>
      <c r="AG1" s="3435"/>
      <c r="AH1" s="3435"/>
    </row>
    <row r="2" spans="1:34" s="2757" customFormat="1" ht="14.25" thickBot="1">
      <c r="B2" s="2765" t="s">
        <v>2582</v>
      </c>
      <c r="C2" s="2765" t="s">
        <v>2643</v>
      </c>
      <c r="D2" s="2758" t="s">
        <v>1645</v>
      </c>
      <c r="E2" s="2758" t="s">
        <v>1952</v>
      </c>
      <c r="F2" s="2765" t="s">
        <v>2644</v>
      </c>
      <c r="G2" s="2761"/>
      <c r="H2" s="2760"/>
      <c r="I2" s="2765" t="s">
        <v>2957</v>
      </c>
      <c r="J2" s="2758" t="s">
        <v>2959</v>
      </c>
      <c r="K2" s="2758" t="s">
        <v>2960</v>
      </c>
      <c r="L2" s="2765" t="s">
        <v>2961</v>
      </c>
      <c r="N2" s="2765" t="s">
        <v>2582</v>
      </c>
      <c r="O2" s="2758" t="s">
        <v>2958</v>
      </c>
      <c r="P2" s="2758" t="s">
        <v>1952</v>
      </c>
      <c r="Q2" s="2765" t="s">
        <v>2644</v>
      </c>
      <c r="R2" s="2759"/>
      <c r="S2" s="2765" t="s">
        <v>2582</v>
      </c>
      <c r="T2" s="2758" t="s">
        <v>2958</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3" customFormat="1" ht="14.25">
      <c r="A3" s="3145" t="s">
        <v>2970</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50" customFormat="1" ht="14.25">
      <c r="B4" s="2751"/>
      <c r="C4" s="2751"/>
      <c r="D4" s="2752"/>
      <c r="E4" s="2752"/>
      <c r="F4" s="2751"/>
      <c r="G4" s="2756"/>
      <c r="H4" s="2753"/>
      <c r="I4" s="3126"/>
      <c r="J4" s="3126"/>
      <c r="K4" s="3126"/>
      <c r="L4" s="3126"/>
      <c r="N4" s="2756"/>
      <c r="O4" s="2754"/>
      <c r="P4" s="2754"/>
      <c r="Q4" s="2754"/>
      <c r="R4" s="2754"/>
      <c r="S4" s="2756"/>
      <c r="T4" s="2754"/>
      <c r="U4" s="2754"/>
      <c r="V4" s="2754"/>
      <c r="W4" s="3142"/>
      <c r="X4" s="2755"/>
      <c r="Y4" s="2755"/>
      <c r="Z4" s="2755"/>
      <c r="AA4" s="2755"/>
      <c r="AB4" s="2755"/>
      <c r="AD4" s="2675"/>
      <c r="AE4" s="2675"/>
      <c r="AF4" s="2675"/>
      <c r="AG4" s="2675"/>
      <c r="AH4" s="2675"/>
    </row>
    <row r="5" spans="1:34" s="3114" customFormat="1">
      <c r="A5" s="3112" t="s">
        <v>2981</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3">
        <v>3</v>
      </c>
      <c r="I5" s="3127">
        <v>1.49</v>
      </c>
      <c r="J5" s="3127">
        <v>0.96</v>
      </c>
      <c r="K5" s="3127">
        <v>1.58</v>
      </c>
      <c r="L5" s="3127">
        <v>2.44</v>
      </c>
      <c r="N5" s="2763">
        <f t="shared" ref="N5" si="6">I5/100</f>
        <v>1.49E-2</v>
      </c>
      <c r="O5" s="2763">
        <f t="shared" ref="O5" si="7">J5/100</f>
        <v>9.5999999999999992E-3</v>
      </c>
      <c r="P5" s="2763">
        <f t="shared" ref="P5" si="8">K5/100</f>
        <v>1.5800000000000002E-2</v>
      </c>
      <c r="Q5" s="2763">
        <f t="shared" ref="Q5" si="9">L5/100</f>
        <v>2.4399999999999998E-2</v>
      </c>
      <c r="R5" s="3115"/>
      <c r="S5" s="3116"/>
      <c r="T5" s="3115"/>
      <c r="U5" s="3115"/>
      <c r="V5" s="3115"/>
      <c r="W5" s="3143" t="s">
        <v>2971</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2" customFormat="1" ht="13.5" thickBot="1">
      <c r="A6" s="2656" t="s">
        <v>2982</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2"/>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2977</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2"/>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2968</v>
      </c>
      <c r="B8" s="3147">
        <v>439</v>
      </c>
      <c r="C8" s="3147">
        <v>327</v>
      </c>
      <c r="D8" s="3147">
        <f t="shared" si="23"/>
        <v>327</v>
      </c>
      <c r="E8" s="3147">
        <v>627</v>
      </c>
      <c r="F8" s="3148">
        <v>283</v>
      </c>
      <c r="G8" s="3130">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2972</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2"/>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1"/>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2"/>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33">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3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3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3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3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3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3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3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3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43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3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3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3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3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3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3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3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3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3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3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3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3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3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3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3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3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3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3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3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3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3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3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3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3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3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3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3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3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3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3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3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30">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31">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31">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32">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30">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31">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31">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3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受贵公司委托，我公司对北京市出让国有建设用地使用权抵押价格进行了预评估。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75237.13平方米。根据《建设工程规划许可证》[]、《出让合同》[]，估价对象规划建筑面积为265820.24平方米。</v>
      </c>
    </row>
    <row r="7" spans="1:4" ht="56.25">
      <c r="A7" s="1796" t="s">
        <v>2749</v>
      </c>
    </row>
    <row r="8" spans="1:4" ht="18.75">
      <c r="A8" s="1795" t="s">
        <v>1907</v>
      </c>
    </row>
    <row r="9" spans="1:4" ht="37.5">
      <c r="A9" s="179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2018年9月4日（评估专业人员勘察现场之日）</v>
      </c>
    </row>
    <row r="12" spans="1:4" ht="18.75">
      <c r="A12" s="1798" t="s">
        <v>2027</v>
      </c>
    </row>
    <row r="13" spans="1:4" ht="18.75">
      <c r="A13" s="1792" t="s">
        <v>2942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根据《国有土地使用证》[]，估价对象（分摊）出让国有建设用地使用权面积为75237.13平方米。根据《建设工程规划许可证》[]、《出让合同》[]，估价对象规划建筑面积为265820.24平方米。</v>
      </c>
    </row>
    <row r="21" spans="1:1" ht="18.75">
      <c r="A21" s="1792" t="s">
        <v>2076</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21日、商业2057年5月21日、办公2067年5月21日、车库2067年5月21日、仓储2067年5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150">
      <c r="A25" s="1792" t="str">
        <f>定义!C53</f>
        <v>本次估价的“出让国有建设用地使用权价格”是指在估价对象土地所有权为国家所有，使用权性质为出让，在公开市场条件下、于估价期日2018年9月4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8" sqref="I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4" t="s">
        <v>3293</v>
      </c>
      <c r="E1" s="2388" t="s">
        <v>2376</v>
      </c>
      <c r="F1" s="2389">
        <f ca="1">J53</f>
        <v>36.729999999999997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3045</v>
      </c>
      <c r="C2" s="2058"/>
      <c r="D2" s="2056"/>
      <c r="E2" s="2057"/>
      <c r="F2" s="2057"/>
      <c r="G2" s="1590"/>
      <c r="H2" s="2058"/>
      <c r="I2" s="2058"/>
      <c r="J2" s="2058"/>
      <c r="K2" s="2059"/>
      <c r="L2" s="2058"/>
      <c r="M2" s="2058"/>
    </row>
    <row r="3" spans="1:33" ht="18" customHeight="1" thickBot="1">
      <c r="A3" s="833" t="s">
        <v>1728</v>
      </c>
      <c r="B3" s="834">
        <f ca="1">IF(ISERROR(B2*10000/F43),0,ROUND(B2*10000/F43,0))</f>
        <v>6858</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f ca="1">C6+C10+C12</f>
        <v>219</v>
      </c>
      <c r="D5" s="2497" t="s">
        <v>2463</v>
      </c>
      <c r="E5" s="2491"/>
      <c r="F5" s="2492"/>
      <c r="G5" s="1592"/>
      <c r="H5" s="781">
        <v>1</v>
      </c>
      <c r="I5" s="782" t="s">
        <v>2460</v>
      </c>
      <c r="J5" s="55">
        <f ca="1">J6+J10+J12</f>
        <v>0</v>
      </c>
      <c r="K5" s="2497" t="s">
        <v>2463</v>
      </c>
      <c r="L5" s="2491"/>
      <c r="M5" s="2492"/>
    </row>
    <row r="6" spans="1:33" ht="18" customHeight="1">
      <c r="A6" s="1831" t="s">
        <v>1825</v>
      </c>
      <c r="B6" s="3424" t="s">
        <v>2465</v>
      </c>
      <c r="C6" s="783">
        <f ca="1">ROUND(F6*F8*F7*(1-F9)/10000,0)</f>
        <v>219</v>
      </c>
      <c r="D6" s="2498" t="s">
        <v>2464</v>
      </c>
      <c r="E6" s="784" t="s">
        <v>1739</v>
      </c>
      <c r="F6" s="785">
        <f ca="1">INDIRECT("'数据-取费表'!u"&amp;$G$1)</f>
        <v>1.5</v>
      </c>
      <c r="G6" s="1592"/>
      <c r="H6" s="2505" t="s">
        <v>2470</v>
      </c>
      <c r="I6" s="3424" t="s">
        <v>2465</v>
      </c>
      <c r="J6" s="783">
        <f ca="1">ROUND(M6*M8*M7*(1-M9)/10000,0)</f>
        <v>0</v>
      </c>
      <c r="K6" s="341" t="s">
        <v>1738</v>
      </c>
      <c r="L6" s="784" t="s">
        <v>1739</v>
      </c>
      <c r="M6" s="785">
        <f ca="1">INDIRECT("'数据-取费表'!z"&amp;$G$1)</f>
        <v>0</v>
      </c>
    </row>
    <row r="7" spans="1:33" ht="18" customHeight="1">
      <c r="A7" s="2501"/>
      <c r="B7" s="3425"/>
      <c r="C7" s="788"/>
      <c r="D7" s="789"/>
      <c r="E7" s="784" t="s">
        <v>1740</v>
      </c>
      <c r="F7" s="785">
        <f ca="1">IF(INDIRECT("'数据-取费表'!ah"&amp;$G$1)="",INDIRECT("'数据-取费表'!k"&amp;$G$1),INDIRECT("'数据-取费表'!ah"&amp;$G$1))</f>
        <v>4440</v>
      </c>
      <c r="G7" s="1592"/>
      <c r="H7" s="2490"/>
      <c r="I7" s="3425"/>
      <c r="J7" s="788"/>
      <c r="K7" s="789"/>
      <c r="L7" s="784" t="s">
        <v>1740</v>
      </c>
      <c r="M7" s="785">
        <f ca="1">F7</f>
        <v>4440</v>
      </c>
    </row>
    <row r="8" spans="1:33" ht="18" customHeight="1">
      <c r="A8" s="2494"/>
      <c r="B8" s="3426"/>
      <c r="C8" s="788"/>
      <c r="D8" s="789"/>
      <c r="E8" s="784" t="s">
        <v>1741</v>
      </c>
      <c r="F8" s="785">
        <f ca="1">INDIRECT("'数据-取费表'!ai"&amp;$G$1)</f>
        <v>365</v>
      </c>
      <c r="G8" s="1592"/>
      <c r="H8" s="2490"/>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2"/>
      <c r="H9" s="2506"/>
      <c r="I9" s="3426"/>
      <c r="J9" s="788"/>
      <c r="K9" s="789"/>
      <c r="L9" s="795" t="s">
        <v>1742</v>
      </c>
      <c r="M9" s="796">
        <f ca="1">INDIRECT("'数据-取费表'!ab"&amp;$G$1)</f>
        <v>0</v>
      </c>
    </row>
    <row r="10" spans="1:33" ht="18" customHeight="1">
      <c r="A10" s="1831" t="s">
        <v>2468</v>
      </c>
      <c r="B10" s="2495" t="s">
        <v>2461</v>
      </c>
      <c r="C10" s="799">
        <f ca="1">ROUND(IF(F10="押一",C6/12*F11,IF(F10="押二",C6/12*2*F11,IF(F10="押三",C6/12*3*F11,C11*F11))),0)</f>
        <v>0</v>
      </c>
      <c r="D10" s="2502" t="s">
        <v>2975</v>
      </c>
      <c r="E10" s="2499" t="s">
        <v>2466</v>
      </c>
      <c r="F10" s="2622" t="s">
        <v>3294</v>
      </c>
      <c r="G10" s="1592"/>
      <c r="H10" s="2562" t="s">
        <v>2471</v>
      </c>
      <c r="I10" s="2567" t="s">
        <v>2461</v>
      </c>
      <c r="J10" s="783">
        <f ca="1">ROUND(IF(M10="押一",J6/12*M11,IF(M10="押二",J6/12*2*M11,IF(M10="押三",J6/12*3*M11,J11*M11))),0)</f>
        <v>0</v>
      </c>
      <c r="K10" s="2502" t="s">
        <v>2975</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f ca="1">ROUND(C29*F13,0)</f>
        <v>1734</v>
      </c>
      <c r="D13" s="1835" t="s">
        <v>2299</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1275</v>
      </c>
      <c r="D14" s="1980" t="s">
        <v>1746</v>
      </c>
      <c r="E14" s="1981"/>
      <c r="F14" s="805"/>
      <c r="G14" s="1592"/>
      <c r="H14" s="1649" t="s">
        <v>1831</v>
      </c>
      <c r="I14" s="2232" t="s">
        <v>2828</v>
      </c>
      <c r="J14" s="53">
        <f ca="1">C29</f>
        <v>1734</v>
      </c>
      <c r="K14" s="26"/>
      <c r="L14" s="801"/>
      <c r="M14" s="802"/>
    </row>
    <row r="15" spans="1:33" s="2065" customFormat="1" ht="18" customHeight="1" thickBot="1">
      <c r="A15" s="1648" t="s">
        <v>1886</v>
      </c>
      <c r="B15" s="784" t="s">
        <v>647</v>
      </c>
      <c r="C15" s="53">
        <f ca="1">ROUND(C14*F15,0)</f>
        <v>38</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172</v>
      </c>
      <c r="K16" s="1822" t="s">
        <v>1751</v>
      </c>
      <c r="L16" s="2487"/>
      <c r="M16" s="2492"/>
    </row>
    <row r="17" spans="1:33" s="2065" customFormat="1" ht="18" customHeight="1">
      <c r="A17" s="1648" t="s">
        <v>1888</v>
      </c>
      <c r="B17" s="784" t="s">
        <v>653</v>
      </c>
      <c r="C17" s="53">
        <f ca="1">ROUND(F17*(F43+INDIRECT("'数据-取费表'!S"&amp;$G$1))/10000,0)</f>
        <v>102</v>
      </c>
      <c r="D17" s="784" t="s">
        <v>1752</v>
      </c>
      <c r="E17" s="784" t="s">
        <v>1753</v>
      </c>
      <c r="F17" s="56">
        <f>'数据-取费表'!B35</f>
        <v>200</v>
      </c>
      <c r="G17" s="1593"/>
      <c r="H17" s="1649" t="s">
        <v>1831</v>
      </c>
      <c r="I17" s="784" t="s">
        <v>656</v>
      </c>
      <c r="J17" s="53">
        <f ca="1">ROUND(IF(项目基本情况!B11="自然人",J5*M17,J18+J19+J20),0)</f>
        <v>146</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19</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1434</v>
      </c>
      <c r="D19" s="261" t="s">
        <v>1758</v>
      </c>
      <c r="E19" s="1983"/>
      <c r="F19" s="56"/>
      <c r="G19" s="1592"/>
      <c r="H19" s="1648" t="s">
        <v>1886</v>
      </c>
      <c r="I19" s="784" t="s">
        <v>1759</v>
      </c>
      <c r="J19" s="53">
        <f ca="1">IF(K19="按租金收入计税",ROUND(J5*M19,1),ROUND(C29*F33*0.7,1))</f>
        <v>145.69999999999999</v>
      </c>
      <c r="K19" s="811" t="s">
        <v>665</v>
      </c>
      <c r="L19" s="784" t="s">
        <v>1748</v>
      </c>
      <c r="M19" s="809">
        <f>IF(K19="按租金收入计税",'数据-取费表'!B51,'数据-取费表'!B50)</f>
        <v>1.2E-2</v>
      </c>
    </row>
    <row r="20" spans="1:33" s="2065" customFormat="1" ht="18" customHeight="1">
      <c r="A20" s="1649" t="s">
        <v>1890</v>
      </c>
      <c r="B20" s="784" t="s">
        <v>666</v>
      </c>
      <c r="C20" s="53">
        <f ca="1">ROUND(C19*F20,0)</f>
        <v>29</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1443.3200000000002</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26</v>
      </c>
      <c r="K22" s="2485" t="s">
        <v>1770</v>
      </c>
      <c r="L22" s="784" t="s">
        <v>1748</v>
      </c>
      <c r="M22" s="817">
        <f ca="1">INDIRECT("'数据-取费表'!Ak"&amp;$G$1)</f>
        <v>1.4999999999999999E-2</v>
      </c>
    </row>
    <row r="23" spans="1:33" s="2065" customFormat="1" ht="18" customHeight="1">
      <c r="A23" s="1648" t="s">
        <v>1832</v>
      </c>
      <c r="B23" s="784" t="s">
        <v>2537</v>
      </c>
      <c r="C23" s="53">
        <f ca="1">ROUND(IF('数据-取费表'!B22&lt;=1,(C19+C20)*F24*F23/2,(C19+C20)*(POWER((1+F24),F23/2)-1)),0)</f>
        <v>69</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0" t="s">
        <v>2824</v>
      </c>
      <c r="J25" s="792">
        <f ca="1">J5-J16</f>
        <v>-172</v>
      </c>
      <c r="K25" s="2549" t="s">
        <v>1778</v>
      </c>
      <c r="L25" s="2550"/>
      <c r="M25" s="2551"/>
    </row>
    <row r="26" spans="1:33" ht="18" customHeight="1">
      <c r="A26" s="1648" t="s">
        <v>1832</v>
      </c>
      <c r="B26" s="784" t="s">
        <v>2440</v>
      </c>
      <c r="C26" s="53">
        <f ca="1">ROUND((C19+C20)*F26,0)</f>
        <v>73</v>
      </c>
      <c r="D26" s="812" t="s">
        <v>1779</v>
      </c>
      <c r="E26" s="795" t="s">
        <v>1780</v>
      </c>
      <c r="F26" s="794">
        <f ca="1">INDIRECT("'数据-取费表'!q"&amp;$G$1)</f>
        <v>0.05</v>
      </c>
      <c r="G26" s="1592"/>
      <c r="H26" s="2503" t="s">
        <v>1781</v>
      </c>
      <c r="I26" s="2233" t="s">
        <v>2829</v>
      </c>
      <c r="J26" s="783">
        <f ca="1">IF(J5&lt;&gt;0,ROUND(J25*(1-((1+M28)/(1+M26))^M27)/(M26-M28),0),0)</f>
        <v>0</v>
      </c>
      <c r="K26" s="814" t="s">
        <v>1782</v>
      </c>
      <c r="L26" s="784" t="s">
        <v>2421</v>
      </c>
      <c r="M26" s="794">
        <f ca="1">INDIRECT("'数据-取费表'!I"&amp;$G$1)</f>
        <v>5.5E-2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1786</v>
      </c>
      <c r="F28" s="809">
        <f>'数据-取费表'!B41</f>
        <v>5.5000000000000007E-2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1734</v>
      </c>
      <c r="D29" s="2546"/>
      <c r="E29" s="2547"/>
      <c r="F29" s="2548"/>
      <c r="G29" s="1593"/>
      <c r="H29" s="823" t="s">
        <v>1788</v>
      </c>
      <c r="I29" s="824" t="s">
        <v>1789</v>
      </c>
      <c r="J29" s="825">
        <f ca="1">ROUND(J26/(1+F40)^F41,0)</f>
        <v>0</v>
      </c>
      <c r="K29" s="826" t="s">
        <v>1790</v>
      </c>
      <c r="L29" s="827"/>
      <c r="M29" s="828">
        <f ca="1">INDIRECT("'数据-取费表'!k"&amp;$G$1)</f>
        <v>4440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11.5</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26.3</v>
      </c>
      <c r="D33" s="811" t="s">
        <v>3295</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0.2</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1443.3200000000002</v>
      </c>
      <c r="G35" s="2063"/>
      <c r="H35" s="2066"/>
      <c r="I35" s="837" t="s">
        <v>1815</v>
      </c>
      <c r="J35" s="838">
        <f ca="1">ROUND(C13*J36,0)</f>
        <v>0</v>
      </c>
      <c r="K35" s="2079"/>
      <c r="L35" s="2078"/>
      <c r="M35" s="2078"/>
    </row>
    <row r="36" spans="1:18" ht="18" customHeight="1">
      <c r="A36" s="1649" t="s">
        <v>1890</v>
      </c>
      <c r="B36" s="784" t="s">
        <v>1803</v>
      </c>
      <c r="C36" s="53">
        <f ca="1">ROUND(C29*F36,1)</f>
        <v>26</v>
      </c>
      <c r="D36" s="1978" t="s">
        <v>1804</v>
      </c>
      <c r="E36" s="784" t="s">
        <v>1797</v>
      </c>
      <c r="F36" s="817">
        <f ca="1">INDIRECT("'数据-取费表'!Ak"&amp;$G$1)</f>
        <v>1.4999999999999999E-2</v>
      </c>
      <c r="G36" s="2063"/>
      <c r="H36" s="2078"/>
      <c r="I36" s="839" t="s">
        <v>1816</v>
      </c>
      <c r="J36" s="840">
        <f ca="1">INDIRECT("'数据-取费表'!j"&amp;$G$1)</f>
        <v>0</v>
      </c>
      <c r="K36" s="2083"/>
      <c r="L36" s="2078"/>
      <c r="M36" s="2078"/>
    </row>
    <row r="37" spans="1:18" ht="18" customHeight="1">
      <c r="A37" s="1649" t="s">
        <v>1891</v>
      </c>
      <c r="B37" s="784" t="s">
        <v>679</v>
      </c>
      <c r="C37" s="53">
        <f ca="1">ROUND(C13*F37,1)</f>
        <v>2.6</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2.2000000000000002</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0" t="s">
        <v>2824</v>
      </c>
      <c r="C39" s="792">
        <f ca="1">C5-C30</f>
        <v>150</v>
      </c>
      <c r="D39" s="2549" t="s">
        <v>1807</v>
      </c>
      <c r="E39" s="2550"/>
      <c r="F39" s="2551"/>
      <c r="G39" s="2063"/>
      <c r="H39" s="2078"/>
      <c r="I39" s="837" t="s">
        <v>1819</v>
      </c>
      <c r="J39" s="845">
        <f ca="1">ROUND(J35/C39,3)</f>
        <v>0</v>
      </c>
      <c r="K39" s="2084"/>
      <c r="L39" s="2078"/>
      <c r="M39" s="2078"/>
    </row>
    <row r="40" spans="1:18" ht="18" customHeight="1">
      <c r="A40" s="781" t="s">
        <v>1896</v>
      </c>
      <c r="B40" s="2233" t="s">
        <v>2303</v>
      </c>
      <c r="C40" s="783">
        <f ca="1">ROUND(C39*(1-((1+F42)/(1+F40))^F41)/(F40-F42),0)</f>
        <v>3045</v>
      </c>
      <c r="D40" s="814" t="s">
        <v>1808</v>
      </c>
      <c r="E40" s="784" t="s">
        <v>2421</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2965</v>
      </c>
      <c r="F41" s="822">
        <f ca="1">IF(INDIRECT("'数据-取费表'!af"&amp;$G$1)=0,INDIRECT("'数据-取费表'!ae"&amp;$G$1),INDIRECT("'数据-取费表'!af"&amp;$G$1))</f>
        <v>36.729999999999997</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0.56899999999999995</v>
      </c>
      <c r="K42" s="2083"/>
      <c r="L42" s="1989"/>
      <c r="M42" s="1989"/>
    </row>
    <row r="43" spans="1:18" ht="18" customHeight="1" thickBot="1">
      <c r="A43" s="823" t="s">
        <v>1788</v>
      </c>
      <c r="B43" s="824" t="s">
        <v>1811</v>
      </c>
      <c r="C43" s="825">
        <f ca="1">ROUND(C40*10000/F43,0)</f>
        <v>6858</v>
      </c>
      <c r="D43" s="826" t="s">
        <v>1812</v>
      </c>
      <c r="E43" s="827" t="s">
        <v>1813</v>
      </c>
      <c r="F43" s="828">
        <f ca="1">INDIRECT("'数据-取费表'!k"&amp;$G$1)</f>
        <v>4440</v>
      </c>
      <c r="G43" s="2063"/>
      <c r="H43" s="1989"/>
      <c r="I43" s="847" t="s">
        <v>1823</v>
      </c>
      <c r="J43" s="848">
        <f ca="1">1-J42</f>
        <v>0.43100000000000005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-3498</v>
      </c>
      <c r="D46" s="2086"/>
      <c r="E46" s="2086"/>
      <c r="F46" s="2086"/>
      <c r="I46" s="2379" t="s">
        <v>2345</v>
      </c>
      <c r="J46" s="2380"/>
      <c r="K46" s="2381"/>
      <c r="L46" s="3159">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49" t="s">
        <v>2346</v>
      </c>
      <c r="J47" s="2382" t="s">
        <v>3296</v>
      </c>
      <c r="K47" s="3156" t="s">
        <v>2351</v>
      </c>
      <c r="L47" s="3160">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636</v>
      </c>
      <c r="E48" s="2377" t="s">
        <v>2298</v>
      </c>
      <c r="F48" s="2378"/>
      <c r="G48" s="2091"/>
      <c r="I48" s="3125" t="s">
        <v>2347</v>
      </c>
      <c r="J48" s="2383" t="s">
        <v>2352</v>
      </c>
      <c r="K48" s="3157" t="s">
        <v>2353</v>
      </c>
      <c r="L48" s="1909">
        <f ca="1">INDIRECT("'数据-取费表'!f"&amp;$G$1)</f>
        <v>38.729999999999997</v>
      </c>
      <c r="O48" s="2399" t="s">
        <v>2381</v>
      </c>
      <c r="P48" s="2400" t="s">
        <v>2407</v>
      </c>
      <c r="Q48" s="2401">
        <f ca="1">C40+J29</f>
        <v>3045</v>
      </c>
      <c r="R48" s="2400" t="s">
        <v>2382</v>
      </c>
    </row>
    <row r="49" spans="1:18" s="2060" customFormat="1" ht="18" customHeight="1" thickBot="1">
      <c r="A49" s="786"/>
      <c r="B49" s="787"/>
      <c r="C49" s="788"/>
      <c r="D49" s="789"/>
      <c r="E49" s="784" t="s">
        <v>1740</v>
      </c>
      <c r="F49" s="785">
        <f ca="1">F7</f>
        <v>4440</v>
      </c>
      <c r="G49" s="2091"/>
      <c r="H49" s="2094"/>
      <c r="I49" s="3125" t="s">
        <v>2348</v>
      </c>
      <c r="J49" s="2384">
        <v>2020</v>
      </c>
      <c r="K49" s="3158" t="s">
        <v>2354</v>
      </c>
      <c r="L49" s="2385"/>
      <c r="O49" s="2399" t="s">
        <v>2383</v>
      </c>
      <c r="P49" s="2400" t="s">
        <v>2408</v>
      </c>
      <c r="Q49" s="2401" t="str">
        <f ca="1">J60</f>
        <v>0</v>
      </c>
      <c r="R49" s="2400" t="s">
        <v>2384</v>
      </c>
    </row>
    <row r="50" spans="1:18" s="2060" customFormat="1" ht="18" customHeight="1" thickBot="1">
      <c r="A50" s="786"/>
      <c r="B50" s="787"/>
      <c r="C50" s="788"/>
      <c r="D50" s="789"/>
      <c r="E50" s="784" t="s">
        <v>1741</v>
      </c>
      <c r="F50" s="785">
        <f ca="1">F8</f>
        <v>365</v>
      </c>
      <c r="G50" s="2096"/>
      <c r="H50" s="2094"/>
      <c r="I50" s="3125" t="s">
        <v>2349</v>
      </c>
      <c r="J50" s="3153">
        <f>SUMPRODUCT((I63:I65=J47)*(J62:L62=J48)*(J63:L65))</f>
        <v>60</v>
      </c>
      <c r="K50" s="3158" t="s">
        <v>2355</v>
      </c>
      <c r="L50" s="2385"/>
      <c r="O50" s="2402" t="s">
        <v>2385</v>
      </c>
      <c r="P50" s="2400" t="s">
        <v>2409</v>
      </c>
      <c r="Q50" s="2401">
        <f ca="1">C29</f>
        <v>1734</v>
      </c>
      <c r="R50" s="2400" t="s">
        <v>2382</v>
      </c>
    </row>
    <row r="51" spans="1:18" s="2060" customFormat="1" ht="18" customHeight="1" thickBot="1">
      <c r="A51" s="786"/>
      <c r="B51" s="787"/>
      <c r="C51" s="788"/>
      <c r="D51" s="789"/>
      <c r="E51" s="784" t="s">
        <v>640</v>
      </c>
      <c r="F51" s="2372"/>
      <c r="H51" s="2094"/>
      <c r="I51" s="3150" t="s">
        <v>2350</v>
      </c>
      <c r="J51" s="3154">
        <f>IF(J49="",J50,J49+J50-YEAR('数据-取费表'!B2))</f>
        <v>62</v>
      </c>
      <c r="K51" s="3125" t="s">
        <v>2356</v>
      </c>
      <c r="L51" s="3161">
        <f ca="1">ROUND(-PV(INDIRECT("'数据-取费表'!h"&amp;$G$1),L48,(C39-C13*J36),0),0)</f>
        <v>2547</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2976</v>
      </c>
      <c r="E52" s="2499" t="s">
        <v>2466</v>
      </c>
      <c r="F52" s="2622"/>
      <c r="I52" s="3151" t="s">
        <v>2423</v>
      </c>
      <c r="J52" s="2386">
        <v>0.09</v>
      </c>
      <c r="K52" s="3151"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2" t="s">
        <v>2980</v>
      </c>
      <c r="J53" s="3155">
        <f ca="1">IF(M47="住宅",IF(D1="——",MAX(J51,L48),MAX(J51,L48-'数据-取费表'!B20)),IF(D1="——",MIN(J51,L48),MIN(J51,L48-'数据-取费表'!B20)))</f>
        <v>36.729999999999997</v>
      </c>
      <c r="K53" s="3440" t="s">
        <v>2967</v>
      </c>
      <c r="L53" s="3441"/>
      <c r="O53" s="2402" t="s">
        <v>2390</v>
      </c>
      <c r="P53" s="2400" t="s">
        <v>2391</v>
      </c>
      <c r="Q53" s="2401">
        <f ca="1">J53</f>
        <v>36.729999999999997</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3045</v>
      </c>
      <c r="R54" s="2404" t="s">
        <v>2394</v>
      </c>
    </row>
    <row r="55" spans="1:18" s="2060" customFormat="1" ht="18" customHeight="1" thickTop="1" thickBot="1">
      <c r="A55" s="797">
        <v>2</v>
      </c>
      <c r="B55" s="798" t="s">
        <v>644</v>
      </c>
      <c r="C55" s="799">
        <f ca="1">C13</f>
        <v>1734</v>
      </c>
      <c r="D55" s="795"/>
      <c r="E55" s="795"/>
      <c r="F55" s="800"/>
      <c r="I55" s="3164" t="s">
        <v>2357</v>
      </c>
      <c r="J55" s="3100" t="e">
        <f ca="1">ROUND(IF(J47="钢混",J57/J50,1-(1-2%)*(J50-J57)/J50),3)</f>
        <v>#VALUE!</v>
      </c>
      <c r="K55" s="3165" t="s">
        <v>2358</v>
      </c>
      <c r="L55" s="2387"/>
      <c r="O55" s="2405" t="s">
        <v>2413</v>
      </c>
      <c r="P55" s="1592"/>
      <c r="Q55" s="1604"/>
      <c r="R55" s="1592"/>
    </row>
    <row r="56" spans="1:18" s="2060" customFormat="1" ht="42.75" customHeight="1" thickBot="1">
      <c r="A56" s="1650"/>
      <c r="B56" s="2232" t="s">
        <v>2304</v>
      </c>
      <c r="C56" s="53">
        <f ca="1">C29</f>
        <v>1734</v>
      </c>
      <c r="D56" s="2640"/>
      <c r="E56" s="784"/>
      <c r="F56" s="809"/>
      <c r="I56" s="3166" t="s">
        <v>2359</v>
      </c>
      <c r="J56" s="3176" t="s">
        <v>1679</v>
      </c>
      <c r="K56" s="3125"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29</v>
      </c>
      <c r="D57" s="26" t="s">
        <v>1751</v>
      </c>
      <c r="E57" s="2641"/>
      <c r="F57" s="56"/>
      <c r="I57" s="3167" t="s">
        <v>2360</v>
      </c>
      <c r="J57" s="3168" t="str">
        <f ca="1">IF(OR(M47="住宅",J51&lt;L48,J56="是"),"——",J51-L48)</f>
        <v>——</v>
      </c>
      <c r="K57" s="3125" t="s">
        <v>2365</v>
      </c>
      <c r="L57" s="1909" t="str">
        <f ca="1">IF(L48&lt;J51,"——",IF(L55="比较法",L49,IF(L55="基准地价",L50,L51)))</f>
        <v>——</v>
      </c>
      <c r="O57" s="2399" t="s">
        <v>2381</v>
      </c>
      <c r="P57" s="2400" t="s">
        <v>2411</v>
      </c>
      <c r="Q57" s="2401">
        <f ca="1">C40+J29</f>
        <v>3045</v>
      </c>
      <c r="R57" s="2400" t="s">
        <v>2382</v>
      </c>
    </row>
    <row r="58" spans="1:18" s="2060" customFormat="1" ht="28.5" customHeight="1" thickBot="1">
      <c r="A58" s="1649" t="s">
        <v>1825</v>
      </c>
      <c r="B58" s="784" t="s">
        <v>656</v>
      </c>
      <c r="C58" s="53">
        <f ca="1">ROUND(IF(项目基本情况!B11="自然人",C47*F58,C59+C60+C61),1)</f>
        <v>0.2</v>
      </c>
      <c r="D58" s="2639" t="s">
        <v>657</v>
      </c>
      <c r="E58" s="2640" t="s">
        <v>690</v>
      </c>
      <c r="F58" s="810" t="str">
        <f ca="1">IF(项目基本情况!B11="企业","",IF(INDIRECT("'数据-取费表'!c"&amp;$G$1)="住宅",5%,IF(F48*F49*F50/12/(1+'数据-取费表'!C42)&gt;20000,12%,7%)))</f>
        <v/>
      </c>
      <c r="I58" s="3167" t="s">
        <v>2361</v>
      </c>
      <c r="J58" s="3101" t="e">
        <f ca="1">IF(J55&lt;0.4,0.4,J55)</f>
        <v>#VALUE!</v>
      </c>
      <c r="K58" s="3125"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1832</v>
      </c>
      <c r="B59" s="784" t="s">
        <v>660</v>
      </c>
      <c r="C59" s="53">
        <f ca="1">ROUND(C47*F59/1.05,1)</f>
        <v>0</v>
      </c>
      <c r="D59" s="2640" t="s">
        <v>1757</v>
      </c>
      <c r="E59" s="784" t="s">
        <v>1748</v>
      </c>
      <c r="F59" s="809">
        <f t="shared" ref="F59:F65" si="0">F32</f>
        <v>5.5000000000000007E-2</v>
      </c>
      <c r="I59" s="3167" t="s">
        <v>2362</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69" t="s">
        <v>2363</v>
      </c>
      <c r="J60" s="3170" t="str">
        <f ca="1">IF(OR(M47="住宅",J51&lt;L48,J56="是"),"0",ROUND(J59/(1+J52)^J53,0))</f>
        <v>0</v>
      </c>
      <c r="K60" s="3171" t="s">
        <v>2368</v>
      </c>
      <c r="L60" s="3170">
        <f ca="1">IF(OR(M47="住宅",L48&lt;J51),0,ROUND(L57*(L58/L59-1),0))</f>
        <v>0</v>
      </c>
      <c r="O60" s="2402" t="s">
        <v>2386</v>
      </c>
      <c r="P60" s="2400" t="s">
        <v>2395</v>
      </c>
      <c r="Q60" s="2403">
        <f>L52</f>
        <v>0</v>
      </c>
      <c r="R60" s="2404"/>
    </row>
    <row r="61" spans="1:18" s="2060" customFormat="1" ht="18" customHeight="1" thickBot="1">
      <c r="A61" s="1651" t="s">
        <v>1834</v>
      </c>
      <c r="B61" s="341" t="s">
        <v>668</v>
      </c>
      <c r="C61" s="54">
        <f ca="1">ROUND(F61*F62/10000,1)</f>
        <v>0.2</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1443.3200000000002</v>
      </c>
      <c r="I62" s="3172" t="s">
        <v>2369</v>
      </c>
      <c r="J62" s="3173" t="s">
        <v>2370</v>
      </c>
      <c r="K62" s="3173" t="s">
        <v>2371</v>
      </c>
      <c r="L62" s="3173" t="s">
        <v>2352</v>
      </c>
      <c r="M62" s="3174" t="s">
        <v>2943</v>
      </c>
      <c r="O62" s="2402" t="s">
        <v>2390</v>
      </c>
      <c r="P62" s="2400" t="str">
        <f>K59</f>
        <v>建设期及建筑物耐用年限下的土地年期修正系数Kn</v>
      </c>
      <c r="Q62" s="2401" t="e">
        <f ca="1">L59</f>
        <v>#DIV/0!</v>
      </c>
      <c r="R62" s="2404" t="s">
        <v>2399</v>
      </c>
    </row>
    <row r="63" spans="1:18" s="2060" customFormat="1" ht="15.75" thickBot="1">
      <c r="A63" s="1649" t="s">
        <v>1890</v>
      </c>
      <c r="B63" s="784" t="s">
        <v>676</v>
      </c>
      <c r="C63" s="53">
        <f ca="1">ROUND(C56*F63,1)</f>
        <v>26</v>
      </c>
      <c r="D63" s="2640" t="s">
        <v>1804</v>
      </c>
      <c r="E63" s="784" t="s">
        <v>1748</v>
      </c>
      <c r="F63" s="817">
        <f t="shared" ca="1" si="0"/>
        <v>1.4999999999999999E-2</v>
      </c>
      <c r="I63" s="3172" t="s">
        <v>2372</v>
      </c>
      <c r="J63" s="3173">
        <v>70</v>
      </c>
      <c r="K63" s="3173">
        <v>50</v>
      </c>
      <c r="L63" s="3173">
        <v>80</v>
      </c>
      <c r="M63" s="3175">
        <v>0.02</v>
      </c>
      <c r="O63" s="2399" t="s">
        <v>2393</v>
      </c>
      <c r="P63" s="2400" t="s">
        <v>2410</v>
      </c>
      <c r="Q63" s="2401">
        <f ca="1">Q57+Q58</f>
        <v>3045</v>
      </c>
      <c r="R63" s="2404" t="s">
        <v>2394</v>
      </c>
    </row>
    <row r="64" spans="1:18" s="2060" customFormat="1" ht="16.5" thickBot="1">
      <c r="A64" s="1649" t="s">
        <v>1891</v>
      </c>
      <c r="B64" s="784" t="s">
        <v>679</v>
      </c>
      <c r="C64" s="53">
        <f ca="1">ROUND(C55*F64,1)</f>
        <v>2.6</v>
      </c>
      <c r="D64" s="2640" t="s">
        <v>680</v>
      </c>
      <c r="E64" s="784" t="s">
        <v>1748</v>
      </c>
      <c r="F64" s="818">
        <f t="shared" ca="1" si="0"/>
        <v>1.5E-3</v>
      </c>
      <c r="I64" s="3172" t="s">
        <v>2373</v>
      </c>
      <c r="J64" s="3173">
        <v>50</v>
      </c>
      <c r="K64" s="3173">
        <v>35</v>
      </c>
      <c r="L64" s="3173">
        <v>60</v>
      </c>
      <c r="M64" s="846">
        <v>0</v>
      </c>
      <c r="O64" s="2405" t="s">
        <v>2417</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2" t="s">
        <v>2374</v>
      </c>
      <c r="J65" s="3173">
        <v>40</v>
      </c>
      <c r="K65" s="3173">
        <v>30</v>
      </c>
      <c r="L65" s="3173">
        <v>50</v>
      </c>
      <c r="M65" s="3175">
        <v>0.02</v>
      </c>
      <c r="O65" s="2396" t="s">
        <v>2377</v>
      </c>
      <c r="P65" s="2397" t="s">
        <v>2378</v>
      </c>
      <c r="Q65" s="2398" t="s">
        <v>2379</v>
      </c>
      <c r="R65" s="2397" t="s">
        <v>2380</v>
      </c>
    </row>
    <row r="66" spans="1:18" s="2060" customFormat="1" ht="24.75" thickBot="1">
      <c r="A66" s="797" t="s">
        <v>1777</v>
      </c>
      <c r="B66" s="3011" t="s">
        <v>2824</v>
      </c>
      <c r="C66" s="799">
        <f ca="1">C47-C57</f>
        <v>-29</v>
      </c>
      <c r="D66" s="2639" t="s">
        <v>700</v>
      </c>
      <c r="E66" s="2638"/>
      <c r="F66" s="820"/>
      <c r="K66" s="2087"/>
      <c r="O66" s="2399" t="s">
        <v>2381</v>
      </c>
      <c r="P66" s="2400" t="s">
        <v>2411</v>
      </c>
      <c r="Q66" s="2401">
        <f ca="1">C40+J29</f>
        <v>3045</v>
      </c>
      <c r="R66" s="2400" t="s">
        <v>2382</v>
      </c>
    </row>
    <row r="67" spans="1:18" s="2060" customFormat="1" ht="20.25" thickBot="1">
      <c r="A67" s="781" t="s">
        <v>1781</v>
      </c>
      <c r="B67" s="2233" t="s">
        <v>2303</v>
      </c>
      <c r="C67" s="783">
        <f ca="1">ROUND(C66*(1-((1+F69)/(1+F67))^F68)/(F67-F69),0)</f>
        <v>-453</v>
      </c>
      <c r="D67" s="814" t="s">
        <v>704</v>
      </c>
      <c r="E67" s="784" t="s">
        <v>705</v>
      </c>
      <c r="F67" s="794">
        <f ca="1">F40</f>
        <v>5.5E-2</v>
      </c>
      <c r="K67" s="2087"/>
      <c r="O67" s="2399" t="s">
        <v>2383</v>
      </c>
      <c r="P67" s="2400" t="s">
        <v>2414</v>
      </c>
      <c r="Q67" s="2401">
        <f ca="1">L60</f>
        <v>0</v>
      </c>
      <c r="R67" s="2404" t="s">
        <v>2416</v>
      </c>
    </row>
    <row r="68" spans="1:18" ht="21.75" thickBot="1">
      <c r="A68" s="786"/>
      <c r="B68" s="787"/>
      <c r="C68" s="788"/>
      <c r="D68" s="821" t="s">
        <v>1809</v>
      </c>
      <c r="E68" s="784" t="s">
        <v>1785</v>
      </c>
      <c r="F68" s="822">
        <f ca="1">F41</f>
        <v>36.729999999999997</v>
      </c>
      <c r="O68" s="2402" t="s">
        <v>2385</v>
      </c>
      <c r="P68" s="2400" t="s">
        <v>2415</v>
      </c>
      <c r="Q68" s="2406">
        <f ca="1">L51</f>
        <v>2547</v>
      </c>
      <c r="R68" s="2407" t="s">
        <v>2418</v>
      </c>
    </row>
    <row r="69" spans="1:18" ht="20.25" thickBot="1">
      <c r="A69" s="790"/>
      <c r="B69" s="791"/>
      <c r="C69" s="792"/>
      <c r="D69" s="816"/>
      <c r="E69" s="784" t="s">
        <v>710</v>
      </c>
      <c r="F69" s="2372"/>
      <c r="O69" s="2402" t="s">
        <v>2386</v>
      </c>
      <c r="P69" s="2408" t="s">
        <v>2400</v>
      </c>
      <c r="Q69" s="2401">
        <f ca="1">ROUND(Q70-Q71*Q72,0)</f>
        <v>150</v>
      </c>
      <c r="R69" s="2404"/>
    </row>
    <row r="70" spans="1:18" ht="15.75" thickBot="1">
      <c r="A70" s="823" t="s">
        <v>1788</v>
      </c>
      <c r="B70" s="824" t="s">
        <v>1811</v>
      </c>
      <c r="C70" s="825">
        <f ca="1">ROUND(C67*10000/F70,0)</f>
        <v>-1020</v>
      </c>
      <c r="D70" s="826" t="s">
        <v>1812</v>
      </c>
      <c r="E70" s="827" t="s">
        <v>1813</v>
      </c>
      <c r="F70" s="828">
        <f ca="1">F43</f>
        <v>4440</v>
      </c>
      <c r="O70" s="2402" t="s">
        <v>2401</v>
      </c>
      <c r="P70" s="2408" t="s">
        <v>2402</v>
      </c>
      <c r="Q70" s="2401">
        <f ca="1">C39</f>
        <v>150</v>
      </c>
      <c r="R70" s="2400" t="s">
        <v>2382</v>
      </c>
    </row>
    <row r="71" spans="1:18" ht="15.75" thickBot="1">
      <c r="O71" s="2402" t="s">
        <v>2403</v>
      </c>
      <c r="P71" s="2408" t="s">
        <v>2404</v>
      </c>
      <c r="Q71" s="2401">
        <f ca="1">C13</f>
        <v>1734</v>
      </c>
      <c r="R71" s="2400" t="s">
        <v>2382</v>
      </c>
    </row>
    <row r="72" spans="1:18" ht="15.75" thickBot="1">
      <c r="O72" s="2402" t="s">
        <v>2405</v>
      </c>
      <c r="P72" s="2408" t="s">
        <v>2406</v>
      </c>
      <c r="Q72" s="2403">
        <f ca="1">J36</f>
        <v>0</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3045</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2" t="s">
        <v>2473</v>
      </c>
      <c r="B1" s="3443"/>
      <c r="C1" s="3444"/>
      <c r="D1" s="3445">
        <f>SUM(I10,I15,I20,I21,I23)</f>
        <v>0</v>
      </c>
      <c r="E1" s="3445"/>
      <c r="F1" s="3445"/>
      <c r="G1" s="3445"/>
      <c r="H1" s="3445"/>
      <c r="I1" s="3446"/>
    </row>
    <row r="2" spans="1:9">
      <c r="A2" s="3447" t="s">
        <v>2474</v>
      </c>
      <c r="B2" s="3448" t="s">
        <v>2475</v>
      </c>
      <c r="C2" s="3448"/>
      <c r="D2" s="2508" t="s">
        <v>2476</v>
      </c>
      <c r="E2" s="2508" t="s">
        <v>2477</v>
      </c>
      <c r="F2" s="2508" t="s">
        <v>2478</v>
      </c>
      <c r="G2" s="2508" t="s">
        <v>2479</v>
      </c>
      <c r="H2" s="2508" t="s">
        <v>2480</v>
      </c>
      <c r="I2" s="2509" t="s">
        <v>2481</v>
      </c>
    </row>
    <row r="3" spans="1:9">
      <c r="A3" s="3447"/>
      <c r="B3" s="3448" t="s">
        <v>2482</v>
      </c>
      <c r="C3" s="3448"/>
      <c r="D3" s="2510"/>
      <c r="E3" s="2508"/>
      <c r="F3" s="2511"/>
      <c r="G3" s="2511"/>
      <c r="H3" s="2512"/>
      <c r="I3" s="2513">
        <f>ROUND(D3*E3*F3*G3*H3/10000,0)</f>
        <v>0</v>
      </c>
    </row>
    <row r="4" spans="1:9">
      <c r="A4" s="3447"/>
      <c r="B4" s="3448" t="s">
        <v>2483</v>
      </c>
      <c r="C4" s="3448"/>
      <c r="D4" s="2510"/>
      <c r="E4" s="2508"/>
      <c r="F4" s="2511"/>
      <c r="G4" s="2511"/>
      <c r="H4" s="2512"/>
      <c r="I4" s="2513">
        <f t="shared" ref="I4:I9" si="0">ROUND(D4*E4*F4*G4*H4/10000,0)</f>
        <v>0</v>
      </c>
    </row>
    <row r="5" spans="1:9">
      <c r="A5" s="3447"/>
      <c r="B5" s="3448" t="s">
        <v>2484</v>
      </c>
      <c r="C5" s="3448"/>
      <c r="D5" s="2510"/>
      <c r="E5" s="2508"/>
      <c r="F5" s="2511"/>
      <c r="G5" s="2511"/>
      <c r="H5" s="2512"/>
      <c r="I5" s="2513">
        <f t="shared" si="0"/>
        <v>0</v>
      </c>
    </row>
    <row r="6" spans="1:9">
      <c r="A6" s="3447"/>
      <c r="B6" s="3448" t="s">
        <v>2485</v>
      </c>
      <c r="C6" s="3448"/>
      <c r="D6" s="2510"/>
      <c r="E6" s="2508"/>
      <c r="F6" s="2511"/>
      <c r="G6" s="2511"/>
      <c r="H6" s="2512"/>
      <c r="I6" s="2513">
        <f t="shared" si="0"/>
        <v>0</v>
      </c>
    </row>
    <row r="7" spans="1:9">
      <c r="A7" s="3447"/>
      <c r="B7" s="3448" t="s">
        <v>2486</v>
      </c>
      <c r="C7" s="3448"/>
      <c r="D7" s="2510"/>
      <c r="E7" s="2508"/>
      <c r="F7" s="2511"/>
      <c r="G7" s="2511"/>
      <c r="H7" s="2512"/>
      <c r="I7" s="2513">
        <f t="shared" si="0"/>
        <v>0</v>
      </c>
    </row>
    <row r="8" spans="1:9">
      <c r="A8" s="3447"/>
      <c r="B8" s="3448" t="s">
        <v>2487</v>
      </c>
      <c r="C8" s="3448"/>
      <c r="D8" s="2510"/>
      <c r="E8" s="2508"/>
      <c r="F8" s="2511"/>
      <c r="G8" s="2511"/>
      <c r="H8" s="2512"/>
      <c r="I8" s="2513">
        <f t="shared" si="0"/>
        <v>0</v>
      </c>
    </row>
    <row r="9" spans="1:9">
      <c r="A9" s="3447"/>
      <c r="B9" s="3448" t="s">
        <v>2488</v>
      </c>
      <c r="C9" s="3448"/>
      <c r="D9" s="2510"/>
      <c r="E9" s="2508"/>
      <c r="F9" s="2511"/>
      <c r="G9" s="2511"/>
      <c r="H9" s="2512"/>
      <c r="I9" s="2513">
        <f t="shared" si="0"/>
        <v>0</v>
      </c>
    </row>
    <row r="10" spans="1:9">
      <c r="A10" s="3447"/>
      <c r="B10" s="3449" t="s">
        <v>2489</v>
      </c>
      <c r="C10" s="3449"/>
      <c r="D10" s="2514">
        <v>527</v>
      </c>
      <c r="E10" s="2514" t="e">
        <f>ROUND(D1*10000/D10/H9,0)</f>
        <v>#DIV/0!</v>
      </c>
      <c r="F10" s="2515"/>
      <c r="G10" s="2515"/>
      <c r="H10" s="2516"/>
      <c r="I10" s="2517">
        <f>SUM(I3:I9)</f>
        <v>0</v>
      </c>
    </row>
    <row r="11" spans="1:9" ht="14.25">
      <c r="A11" s="3447" t="s">
        <v>2490</v>
      </c>
      <c r="B11" s="3448" t="s">
        <v>2491</v>
      </c>
      <c r="C11" s="3448"/>
      <c r="D11" s="2510" t="s">
        <v>2492</v>
      </c>
      <c r="E11" s="2510" t="s">
        <v>2493</v>
      </c>
      <c r="F11" s="2511" t="s">
        <v>2494</v>
      </c>
      <c r="G11" s="2511" t="s">
        <v>2495</v>
      </c>
      <c r="H11" s="2518" t="s">
        <v>2496</v>
      </c>
      <c r="I11" s="2509" t="s">
        <v>2497</v>
      </c>
    </row>
    <row r="12" spans="1:9">
      <c r="A12" s="3447"/>
      <c r="B12" s="3448" t="s">
        <v>2498</v>
      </c>
      <c r="C12" s="3448"/>
      <c r="D12" s="2510"/>
      <c r="E12" s="2510"/>
      <c r="F12" s="2511"/>
      <c r="G12" s="2512"/>
      <c r="H12" s="2519"/>
      <c r="I12" s="2509">
        <f>ROUND(D12*E12*F12*G12/10000,0)</f>
        <v>0</v>
      </c>
    </row>
    <row r="13" spans="1:9">
      <c r="A13" s="3447"/>
      <c r="B13" s="3448" t="s">
        <v>2499</v>
      </c>
      <c r="C13" s="3448"/>
      <c r="D13" s="2510"/>
      <c r="E13" s="2510"/>
      <c r="F13" s="2511"/>
      <c r="G13" s="2512"/>
      <c r="H13" s="2519"/>
      <c r="I13" s="2509">
        <f>ROUND(D13*E13*F13*G13/10000,0)</f>
        <v>0</v>
      </c>
    </row>
    <row r="14" spans="1:9">
      <c r="A14" s="3447"/>
      <c r="B14" s="3448" t="s">
        <v>2500</v>
      </c>
      <c r="C14" s="3448"/>
      <c r="D14" s="2510"/>
      <c r="E14" s="2510"/>
      <c r="F14" s="2511"/>
      <c r="G14" s="2512"/>
      <c r="H14" s="2519"/>
      <c r="I14" s="2509">
        <f>ROUND(D14*E14*F14*G14/10000,0)</f>
        <v>0</v>
      </c>
    </row>
    <row r="15" spans="1:9">
      <c r="A15" s="3447"/>
      <c r="B15" s="3449" t="s">
        <v>2489</v>
      </c>
      <c r="C15" s="3449"/>
      <c r="D15" s="2514"/>
      <c r="E15" s="2514">
        <f>SUM(E12:E14)</f>
        <v>0</v>
      </c>
      <c r="F15" s="2515"/>
      <c r="G15" s="2512"/>
      <c r="H15" s="2519"/>
      <c r="I15" s="2520">
        <f>SUM(I12:I14)</f>
        <v>0</v>
      </c>
    </row>
    <row r="16" spans="1:9" ht="24">
      <c r="A16" s="3447" t="s">
        <v>2501</v>
      </c>
      <c r="B16" s="3448" t="s">
        <v>2502</v>
      </c>
      <c r="C16" s="3448"/>
      <c r="D16" s="2510" t="s">
        <v>2503</v>
      </c>
      <c r="E16" s="2521" t="s">
        <v>2504</v>
      </c>
      <c r="F16" s="2511" t="s">
        <v>2505</v>
      </c>
      <c r="G16" s="2512" t="s">
        <v>2495</v>
      </c>
      <c r="H16" s="2518" t="s">
        <v>2496</v>
      </c>
      <c r="I16" s="2509" t="s">
        <v>2497</v>
      </c>
    </row>
    <row r="17" spans="1:9" ht="14.25">
      <c r="A17" s="3447"/>
      <c r="B17" s="3448" t="s">
        <v>2506</v>
      </c>
      <c r="C17" s="3448"/>
      <c r="D17" s="2510"/>
      <c r="E17" s="2510"/>
      <c r="F17" s="2511"/>
      <c r="G17" s="2512"/>
      <c r="H17" s="2522"/>
      <c r="I17" s="2523">
        <f>ROUND(D17*E17*F17*G17/10000,0)</f>
        <v>0</v>
      </c>
    </row>
    <row r="18" spans="1:9" ht="14.25">
      <c r="A18" s="3447"/>
      <c r="B18" s="3448" t="s">
        <v>2507</v>
      </c>
      <c r="C18" s="3448"/>
      <c r="D18" s="2510"/>
      <c r="E18" s="2510"/>
      <c r="F18" s="2511"/>
      <c r="G18" s="2512"/>
      <c r="H18" s="2522"/>
      <c r="I18" s="2523">
        <f>ROUND(D18*E18*F18*G18/10000,0)</f>
        <v>0</v>
      </c>
    </row>
    <row r="19" spans="1:9" ht="14.25">
      <c r="A19" s="3447"/>
      <c r="B19" s="3448" t="s">
        <v>2508</v>
      </c>
      <c r="C19" s="3448"/>
      <c r="D19" s="2510"/>
      <c r="E19" s="2510"/>
      <c r="F19" s="2511"/>
      <c r="G19" s="2512"/>
      <c r="H19" s="2522"/>
      <c r="I19" s="2523">
        <f>ROUND(D19*E19*F19*G19/10000,0)</f>
        <v>0</v>
      </c>
    </row>
    <row r="20" spans="1:9">
      <c r="A20" s="3447"/>
      <c r="B20" s="3449" t="s">
        <v>2489</v>
      </c>
      <c r="C20" s="3449"/>
      <c r="D20" s="2514">
        <f>SUM(D17:D19)</f>
        <v>0</v>
      </c>
      <c r="E20" s="2514"/>
      <c r="F20" s="2515"/>
      <c r="G20" s="2512"/>
      <c r="H20" s="2519"/>
      <c r="I20" s="2520">
        <f>SUM(I17:I19)</f>
        <v>0</v>
      </c>
    </row>
    <row r="21" spans="1:9">
      <c r="A21" s="3447" t="s">
        <v>2509</v>
      </c>
      <c r="B21" s="3451"/>
      <c r="C21" s="3451"/>
      <c r="D21" s="3451"/>
      <c r="E21" s="3451"/>
      <c r="F21" s="3451"/>
      <c r="G21" s="3451"/>
      <c r="H21" s="2524">
        <v>0.1</v>
      </c>
      <c r="I21" s="2517">
        <f>ROUND(I10*H21,0)</f>
        <v>0</v>
      </c>
    </row>
    <row r="22" spans="1:9" ht="14.25">
      <c r="A22" s="3452" t="s">
        <v>2510</v>
      </c>
      <c r="B22" s="3453"/>
      <c r="C22" s="3454"/>
      <c r="D22" s="2525" t="s">
        <v>2511</v>
      </c>
      <c r="E22" s="2525" t="s">
        <v>2512</v>
      </c>
      <c r="F22" s="2526" t="s">
        <v>2513</v>
      </c>
      <c r="G22" s="2526" t="s">
        <v>2514</v>
      </c>
      <c r="H22" s="2518" t="s">
        <v>2515</v>
      </c>
      <c r="I22" s="2509" t="s">
        <v>2516</v>
      </c>
    </row>
    <row r="23" spans="1:9" ht="14.25" thickBot="1">
      <c r="A23" s="3455"/>
      <c r="B23" s="3456"/>
      <c r="C23" s="3457"/>
      <c r="D23" s="2527"/>
      <c r="E23" s="2527"/>
      <c r="F23" s="2527"/>
      <c r="G23" s="2528"/>
      <c r="H23" s="2529"/>
      <c r="I23" s="2530">
        <f>ROUND(E23*D23*F23*(1-G23)/10000,0)</f>
        <v>0</v>
      </c>
    </row>
    <row r="26" spans="1:9">
      <c r="A26" s="2531" t="s">
        <v>2517</v>
      </c>
      <c r="B26" s="2531"/>
      <c r="C26" s="2531"/>
      <c r="D26" s="2531"/>
      <c r="E26" s="3458">
        <f>C27-C30-C31-C32</f>
        <v>0</v>
      </c>
      <c r="F26" s="3458"/>
      <c r="G26" s="3458"/>
      <c r="H26" s="3043" t="s">
        <v>2845</v>
      </c>
    </row>
    <row r="27" spans="1:9">
      <c r="A27" s="2532">
        <v>1</v>
      </c>
      <c r="B27" s="2533" t="s">
        <v>2518</v>
      </c>
      <c r="C27" s="2533"/>
      <c r="D27" s="2533"/>
      <c r="E27" s="3459"/>
      <c r="F27" s="3459"/>
      <c r="G27" s="3459"/>
    </row>
    <row r="28" spans="1:9">
      <c r="A28" s="2534" t="s">
        <v>2519</v>
      </c>
      <c r="B28" s="2533" t="s">
        <v>2520</v>
      </c>
      <c r="C28" s="2533"/>
      <c r="D28" s="2533"/>
      <c r="E28" s="3459"/>
      <c r="F28" s="3459"/>
      <c r="G28" s="3459"/>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0"/>
      <c r="F32" s="3450"/>
      <c r="G32" s="3450"/>
    </row>
    <row r="33" spans="1:7" hidden="1">
      <c r="A33" s="3460" t="s">
        <v>2528</v>
      </c>
      <c r="B33" s="3461"/>
      <c r="C33" s="3461"/>
      <c r="D33" s="3462"/>
      <c r="E33" s="3458"/>
      <c r="F33" s="3458"/>
      <c r="G33" s="3458"/>
    </row>
    <row r="34" spans="1:7" hidden="1">
      <c r="A34" s="2536">
        <v>1</v>
      </c>
      <c r="B34" s="2533" t="s">
        <v>2529</v>
      </c>
      <c r="C34" s="2533"/>
      <c r="D34" s="2533"/>
      <c r="E34" s="3459"/>
      <c r="F34" s="3459"/>
      <c r="G34" s="3459"/>
    </row>
    <row r="35" spans="1:7" hidden="1">
      <c r="A35" s="2536">
        <v>2</v>
      </c>
      <c r="B35" s="2533" t="s">
        <v>2530</v>
      </c>
      <c r="C35" s="2533"/>
      <c r="D35" s="2533"/>
      <c r="E35" s="3459"/>
      <c r="F35" s="3459"/>
      <c r="G35" s="3459"/>
    </row>
    <row r="36" spans="1:7" hidden="1">
      <c r="A36" s="2536">
        <v>3</v>
      </c>
      <c r="B36" s="2533" t="s">
        <v>2531</v>
      </c>
      <c r="C36" s="2533"/>
      <c r="D36" s="2533"/>
      <c r="E36" s="3459"/>
      <c r="F36" s="3459"/>
      <c r="G36" s="3459"/>
    </row>
    <row r="37" spans="1:7" hidden="1">
      <c r="A37" s="2536">
        <v>4</v>
      </c>
      <c r="B37" s="2533" t="s">
        <v>2532</v>
      </c>
      <c r="C37" s="2533"/>
      <c r="D37" s="2533"/>
      <c r="E37" s="3459"/>
      <c r="F37" s="3459"/>
      <c r="G37" s="3459"/>
    </row>
    <row r="38" spans="1:7" hidden="1">
      <c r="A38" s="3460" t="s">
        <v>2533</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265820.24</v>
      </c>
      <c r="E10" s="749">
        <f>'数据-取费表'!B31</f>
        <v>50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2826</v>
      </c>
      <c r="D12" s="758">
        <f>'数据-汇总表'!E5</f>
        <v>176613.7</v>
      </c>
      <c r="E12" s="757">
        <f>'数据-取费表'!B27</f>
        <v>160</v>
      </c>
      <c r="F12" s="755"/>
      <c r="G12" s="759"/>
    </row>
    <row r="13" spans="1:25" s="2184" customFormat="1" ht="13.5" customHeight="1">
      <c r="A13" s="2477" t="s">
        <v>2449</v>
      </c>
      <c r="B13" s="756" t="s">
        <v>612</v>
      </c>
      <c r="C13" s="757">
        <f>ROUND(D13*E13/10000,0)</f>
        <v>1784</v>
      </c>
      <c r="D13" s="758">
        <f>'数据-汇总表'!E6</f>
        <v>89206.539999999979</v>
      </c>
      <c r="E13" s="757">
        <f>'数据-取费表'!B28</f>
        <v>200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0.05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0.92100000000000004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57" t="s">
        <v>522</v>
      </c>
      <c r="D4" s="3358"/>
      <c r="E4" s="3391" t="s">
        <v>523</v>
      </c>
      <c r="F4" s="3392"/>
      <c r="G4" s="3357" t="s">
        <v>524</v>
      </c>
      <c r="H4" s="3358"/>
      <c r="I4" s="3357" t="s">
        <v>525</v>
      </c>
      <c r="J4" s="3358"/>
      <c r="K4" s="853" t="s">
        <v>526</v>
      </c>
      <c r="L4" s="2134"/>
      <c r="M4" s="2135"/>
      <c r="N4" s="2135"/>
      <c r="O4" s="2135"/>
      <c r="P4" s="3359" t="s">
        <v>527</v>
      </c>
      <c r="Q4" s="3360"/>
      <c r="R4" s="3365" t="s">
        <v>523</v>
      </c>
      <c r="S4" s="3366"/>
      <c r="T4" s="3365" t="s">
        <v>524</v>
      </c>
      <c r="U4" s="3366"/>
      <c r="V4" s="3352" t="s">
        <v>525</v>
      </c>
      <c r="W4" s="3352"/>
      <c r="X4" s="1567"/>
      <c r="Y4" s="3365" t="s">
        <v>527</v>
      </c>
      <c r="Z4" s="3366"/>
      <c r="AA4" s="3354" t="s">
        <v>523</v>
      </c>
      <c r="AB4" s="3354" t="s">
        <v>524</v>
      </c>
      <c r="AC4" s="3354" t="s">
        <v>525</v>
      </c>
    </row>
    <row r="5" spans="1:29" ht="15">
      <c r="A5" s="515"/>
      <c r="B5" s="516"/>
      <c r="C5" s="3373" t="s">
        <v>2928</v>
      </c>
      <c r="D5" s="3374"/>
      <c r="E5" s="3393" t="s">
        <v>2929</v>
      </c>
      <c r="F5" s="3394"/>
      <c r="G5" s="3373" t="s">
        <v>2930</v>
      </c>
      <c r="H5" s="3374"/>
      <c r="I5" s="3373" t="s">
        <v>2931</v>
      </c>
      <c r="J5" s="3374"/>
      <c r="K5" s="854"/>
      <c r="L5" s="2134"/>
      <c r="M5" s="2135"/>
      <c r="N5" s="2135"/>
      <c r="O5" s="2135"/>
      <c r="P5" s="3361"/>
      <c r="Q5" s="3362"/>
      <c r="R5" s="3367"/>
      <c r="S5" s="3368"/>
      <c r="T5" s="3367"/>
      <c r="U5" s="3368"/>
      <c r="V5" s="3352"/>
      <c r="W5" s="3352"/>
      <c r="X5" s="1567"/>
      <c r="Y5" s="3367"/>
      <c r="Z5" s="3368"/>
      <c r="AA5" s="3355"/>
      <c r="AB5" s="3355"/>
      <c r="AC5" s="3355"/>
    </row>
    <row r="6" spans="1:29" ht="15.75" thickBot="1">
      <c r="A6" s="517"/>
      <c r="B6" s="518"/>
      <c r="C6" s="3371" t="s">
        <v>2932</v>
      </c>
      <c r="D6" s="3372"/>
      <c r="E6" s="3389" t="s">
        <v>2932</v>
      </c>
      <c r="F6" s="3390"/>
      <c r="G6" s="3371" t="s">
        <v>2932</v>
      </c>
      <c r="H6" s="3372"/>
      <c r="I6" s="3371" t="s">
        <v>2932</v>
      </c>
      <c r="J6" s="3372"/>
      <c r="K6" s="854" t="s">
        <v>528</v>
      </c>
      <c r="L6" s="2134"/>
      <c r="M6" s="2135"/>
      <c r="N6" s="2135"/>
      <c r="O6" s="2135"/>
      <c r="P6" s="3363"/>
      <c r="Q6" s="3364"/>
      <c r="R6" s="3367"/>
      <c r="S6" s="3368"/>
      <c r="T6" s="3369"/>
      <c r="U6" s="3370"/>
      <c r="V6" s="3352"/>
      <c r="W6" s="3352"/>
      <c r="X6" s="1567"/>
      <c r="Y6" s="3369"/>
      <c r="Z6" s="3370"/>
      <c r="AA6" s="3356"/>
      <c r="AB6" s="3356"/>
      <c r="AC6" s="3356"/>
    </row>
    <row r="7" spans="1:29" s="1220" customFormat="1" ht="15.75" thickBot="1">
      <c r="A7" s="2912"/>
      <c r="B7" s="2919" t="s">
        <v>529</v>
      </c>
      <c r="C7" s="519">
        <f>'数据-取费表'!B2</f>
        <v>43347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530</v>
      </c>
      <c r="Q7" s="3384"/>
      <c r="R7" s="1568" t="s">
        <v>13</v>
      </c>
      <c r="S7" s="1569">
        <f t="shared" ref="S7:S15" si="0">F7</f>
        <v>0</v>
      </c>
      <c r="T7" s="1568" t="s">
        <v>13</v>
      </c>
      <c r="U7" s="1569">
        <f t="shared" ref="U7:U15" si="1">H7</f>
        <v>0</v>
      </c>
      <c r="V7" s="1568" t="s">
        <v>13</v>
      </c>
      <c r="W7" s="1569">
        <f t="shared" ref="W7:W15"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533</v>
      </c>
      <c r="Q8" s="3383"/>
      <c r="R8" s="1568" t="s">
        <v>13</v>
      </c>
      <c r="S8" s="1569">
        <f t="shared" si="0"/>
        <v>0</v>
      </c>
      <c r="T8" s="1568" t="s">
        <v>13</v>
      </c>
      <c r="U8" s="1569">
        <f t="shared" si="1"/>
        <v>0</v>
      </c>
      <c r="V8" s="1568" t="s">
        <v>13</v>
      </c>
      <c r="W8" s="1569">
        <f t="shared" si="2"/>
        <v>0</v>
      </c>
      <c r="X8" s="1570"/>
      <c r="Y8" s="3382" t="s">
        <v>533</v>
      </c>
      <c r="Z8" s="3383"/>
      <c r="AA8" s="1571" t="e">
        <f t="shared" ref="AA8:AA46" si="3">D8/F8</f>
        <v>#DIV/0!</v>
      </c>
      <c r="AB8" s="1571" t="e">
        <f t="shared" ref="AB8:AB46" si="4">D8/H8</f>
        <v>#DIV/0!</v>
      </c>
      <c r="AC8" s="1571" t="e">
        <f t="shared" ref="AC8:AC46" si="5">D8/J8</f>
        <v>#DIV/0!</v>
      </c>
    </row>
    <row r="9" spans="1:29" s="1220" customFormat="1" ht="15">
      <c r="A9" s="2914"/>
      <c r="B9" s="2921" t="s">
        <v>2758</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1" t="s">
        <v>535</v>
      </c>
      <c r="Q9" s="1151" t="str">
        <f t="shared" ref="Q9:Q15" si="6">B9</f>
        <v>用途</v>
      </c>
      <c r="R9" s="1568" t="s">
        <v>8</v>
      </c>
      <c r="S9" s="1569">
        <f t="shared" si="0"/>
        <v>100</v>
      </c>
      <c r="T9" s="1568" t="s">
        <v>8</v>
      </c>
      <c r="U9" s="1569">
        <f t="shared" si="1"/>
        <v>100</v>
      </c>
      <c r="V9" s="1568" t="s">
        <v>8</v>
      </c>
      <c r="W9" s="1569">
        <f t="shared" si="2"/>
        <v>100</v>
      </c>
      <c r="X9" s="1570"/>
      <c r="Y9" s="329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6"/>
      <c r="B11" s="2920"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1"/>
      <c r="Q11" s="1151" t="str">
        <f t="shared" si="6"/>
        <v>容积率</v>
      </c>
      <c r="R11" s="1568" t="s">
        <v>11</v>
      </c>
      <c r="S11" s="1569" t="e">
        <f t="shared" si="0"/>
        <v>#N/A</v>
      </c>
      <c r="T11" s="1568" t="s">
        <v>11</v>
      </c>
      <c r="U11" s="1569" t="e">
        <f t="shared" si="1"/>
        <v>#N/A</v>
      </c>
      <c r="V11" s="1568" t="s">
        <v>11</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1"/>
      <c r="Q12" s="1151">
        <f t="shared" si="6"/>
        <v>111</v>
      </c>
      <c r="R12" s="1568" t="s">
        <v>11</v>
      </c>
      <c r="S12" s="1569">
        <f t="shared" si="0"/>
        <v>100</v>
      </c>
      <c r="T12" s="1568" t="s">
        <v>11</v>
      </c>
      <c r="U12" s="1569">
        <f t="shared" si="1"/>
        <v>100</v>
      </c>
      <c r="V12" s="1568" t="s">
        <v>11</v>
      </c>
      <c r="W12" s="1569">
        <f t="shared" si="2"/>
        <v>100</v>
      </c>
      <c r="X12" s="1570"/>
      <c r="Y12" s="3297"/>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1"/>
      <c r="Q13" s="1151">
        <f t="shared" si="6"/>
        <v>111</v>
      </c>
      <c r="R13" s="1568" t="s">
        <v>11</v>
      </c>
      <c r="S13" s="1569">
        <f t="shared" si="0"/>
        <v>100</v>
      </c>
      <c r="T13" s="1568" t="s">
        <v>11</v>
      </c>
      <c r="U13" s="1569">
        <f t="shared" si="1"/>
        <v>100</v>
      </c>
      <c r="V13" s="1568" t="s">
        <v>11</v>
      </c>
      <c r="W13" s="1569">
        <f t="shared" si="2"/>
        <v>100</v>
      </c>
      <c r="X13" s="1570"/>
      <c r="Y13" s="3297"/>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1"/>
      <c r="Q14" s="1151">
        <f t="shared" si="6"/>
        <v>111</v>
      </c>
      <c r="R14" s="1568" t="s">
        <v>11</v>
      </c>
      <c r="S14" s="1569">
        <f t="shared" si="0"/>
        <v>100</v>
      </c>
      <c r="T14" s="1568" t="s">
        <v>11</v>
      </c>
      <c r="U14" s="1569">
        <f t="shared" si="1"/>
        <v>100</v>
      </c>
      <c r="V14" s="1568" t="s">
        <v>11</v>
      </c>
      <c r="W14" s="1569">
        <f t="shared" si="2"/>
        <v>100</v>
      </c>
      <c r="X14" s="1570"/>
      <c r="Y14" s="3297"/>
      <c r="Z14" s="1150">
        <f t="shared" si="7"/>
        <v>111</v>
      </c>
      <c r="AA14" s="1571">
        <f t="shared" si="3"/>
        <v>1</v>
      </c>
      <c r="AB14" s="1571">
        <f t="shared" si="4"/>
        <v>1</v>
      </c>
      <c r="AC14" s="1571">
        <f t="shared" si="5"/>
        <v>1</v>
      </c>
    </row>
    <row r="15" spans="1:29" ht="99.75">
      <c r="A15" s="2910" t="s">
        <v>2756</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5" t="s">
        <v>540</v>
      </c>
      <c r="Q15" s="1572" t="str">
        <f t="shared" si="6"/>
        <v>居住社区成熟度</v>
      </c>
      <c r="R15" s="1573" t="s">
        <v>11</v>
      </c>
      <c r="S15" s="1574">
        <f t="shared" si="0"/>
        <v>100</v>
      </c>
      <c r="T15" s="1573" t="s">
        <v>11</v>
      </c>
      <c r="U15" s="1574">
        <f t="shared" si="1"/>
        <v>100</v>
      </c>
      <c r="V15" s="1573" t="s">
        <v>11</v>
      </c>
      <c r="W15" s="1574">
        <f t="shared" si="2"/>
        <v>100</v>
      </c>
      <c r="X15" s="1567"/>
      <c r="Y15" s="3385"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6"/>
      <c r="Q17" s="1572" t="str">
        <f>B17</f>
        <v>交通便捷度</v>
      </c>
      <c r="R17" s="1573" t="s">
        <v>11</v>
      </c>
      <c r="S17" s="1574">
        <f>F17</f>
        <v>100</v>
      </c>
      <c r="T17" s="1573" t="s">
        <v>11</v>
      </c>
      <c r="U17" s="1574">
        <f>H17</f>
        <v>100</v>
      </c>
      <c r="V17" s="1573" t="s">
        <v>11</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01" t="s">
        <v>2548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6"/>
      <c r="Q19" s="1572" t="str">
        <f>B19</f>
        <v>公共配套设施</v>
      </c>
      <c r="R19" s="1573" t="s">
        <v>11</v>
      </c>
      <c r="S19" s="1574">
        <f>F19</f>
        <v>100</v>
      </c>
      <c r="T19" s="1573" t="s">
        <v>11</v>
      </c>
      <c r="U19" s="1574">
        <f>H19</f>
        <v>100</v>
      </c>
      <c r="V19" s="1573" t="s">
        <v>11</v>
      </c>
      <c r="W19" s="1574">
        <f>J19</f>
        <v>100</v>
      </c>
      <c r="X19" s="1567"/>
      <c r="Y19" s="338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8.5">
      <c r="A21" s="532"/>
      <c r="B21" s="2594" t="s">
        <v>2560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6"/>
      <c r="Q21" s="2580" t="str">
        <f>B21</f>
        <v>基础设施水平</v>
      </c>
      <c r="R21" s="1573" t="s">
        <v>11</v>
      </c>
      <c r="S21" s="1574">
        <f>F21</f>
        <v>100</v>
      </c>
      <c r="T21" s="1573" t="s">
        <v>11</v>
      </c>
      <c r="U21" s="1574">
        <f>H21</f>
        <v>100</v>
      </c>
      <c r="V21" s="1573" t="s">
        <v>11</v>
      </c>
      <c r="W21" s="1574">
        <f>J21</f>
        <v>100</v>
      </c>
      <c r="X21" s="2582"/>
      <c r="Y21" s="338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86"/>
      <c r="Q22" s="2580"/>
      <c r="R22" s="1573"/>
      <c r="S22" s="1574"/>
      <c r="T22" s="1573"/>
      <c r="U22" s="1574"/>
      <c r="V22" s="1573"/>
      <c r="W22" s="1574"/>
      <c r="X22" s="2582"/>
      <c r="Y22" s="3386"/>
      <c r="Z22" s="2581"/>
      <c r="AA22" s="1576">
        <v>1</v>
      </c>
      <c r="AB22" s="1576">
        <v>1</v>
      </c>
      <c r="AC22" s="1576">
        <v>1</v>
      </c>
    </row>
    <row r="23" spans="1:29" ht="57">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6"/>
      <c r="Q23" s="1572" t="str">
        <f>B23</f>
        <v>自然及人文环境</v>
      </c>
      <c r="R23" s="1573" t="s">
        <v>11</v>
      </c>
      <c r="S23" s="1574">
        <f>F23</f>
        <v>100</v>
      </c>
      <c r="T23" s="1573" t="s">
        <v>11</v>
      </c>
      <c r="U23" s="1574">
        <f>H23</f>
        <v>100</v>
      </c>
      <c r="V23" s="1573" t="s">
        <v>11</v>
      </c>
      <c r="W23" s="1574">
        <f>J23</f>
        <v>100</v>
      </c>
      <c r="X23" s="1567"/>
      <c r="Y23" s="338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6"/>
      <c r="Q25" s="1572" t="str">
        <f t="shared" ref="Q25:Q46" si="11">B25</f>
        <v>楼层-1</v>
      </c>
      <c r="R25" s="1573" t="s">
        <v>11</v>
      </c>
      <c r="S25" s="1574">
        <f>F25</f>
        <v>100</v>
      </c>
      <c r="T25" s="1573" t="s">
        <v>11</v>
      </c>
      <c r="U25" s="1574">
        <f>H25</f>
        <v>100</v>
      </c>
      <c r="V25" s="1573" t="s">
        <v>11</v>
      </c>
      <c r="W25" s="1574">
        <f>J25</f>
        <v>100</v>
      </c>
      <c r="X25" s="1567"/>
      <c r="Y25" s="338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2" t="str">
        <f t="shared" si="11"/>
        <v>朝向</v>
      </c>
      <c r="R26" s="1573" t="s">
        <v>11</v>
      </c>
      <c r="S26" s="1574">
        <f>F26</f>
        <v>100</v>
      </c>
      <c r="T26" s="1573" t="s">
        <v>11</v>
      </c>
      <c r="U26" s="1574">
        <f>H26</f>
        <v>100</v>
      </c>
      <c r="V26" s="1573" t="s">
        <v>11</v>
      </c>
      <c r="W26" s="1574">
        <f>J26</f>
        <v>100</v>
      </c>
      <c r="X26" s="1567"/>
      <c r="Y26" s="3386"/>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8" t="s">
        <v>11</v>
      </c>
      <c r="S27" s="1569">
        <f>F27</f>
        <v>100</v>
      </c>
      <c r="T27" s="1568" t="s">
        <v>11</v>
      </c>
      <c r="U27" s="1569">
        <f>H27</f>
        <v>100</v>
      </c>
      <c r="V27" s="1568" t="s">
        <v>11</v>
      </c>
      <c r="W27" s="1569">
        <f>J27</f>
        <v>100</v>
      </c>
      <c r="X27" s="1570"/>
      <c r="Y27" s="338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2">
        <f t="shared" si="11"/>
        <v>111</v>
      </c>
      <c r="R29" s="1573" t="s">
        <v>11</v>
      </c>
      <c r="S29" s="1574">
        <f t="shared" si="12"/>
        <v>100</v>
      </c>
      <c r="T29" s="1573" t="s">
        <v>11</v>
      </c>
      <c r="U29" s="1574">
        <f t="shared" si="13"/>
        <v>100</v>
      </c>
      <c r="V29" s="1573" t="s">
        <v>11</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2">
        <f t="shared" si="11"/>
        <v>111</v>
      </c>
      <c r="R30" s="1573" t="s">
        <v>11</v>
      </c>
      <c r="S30" s="1574">
        <f t="shared" si="12"/>
        <v>100</v>
      </c>
      <c r="T30" s="1573" t="s">
        <v>11</v>
      </c>
      <c r="U30" s="1574">
        <f t="shared" si="13"/>
        <v>100</v>
      </c>
      <c r="V30" s="1573" t="s">
        <v>11</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2">
        <f t="shared" si="11"/>
        <v>111</v>
      </c>
      <c r="R31" s="1573" t="s">
        <v>11</v>
      </c>
      <c r="S31" s="1574">
        <f t="shared" si="12"/>
        <v>100</v>
      </c>
      <c r="T31" s="1573" t="s">
        <v>11</v>
      </c>
      <c r="U31" s="1574">
        <f t="shared" si="13"/>
        <v>100</v>
      </c>
      <c r="V31" s="1573" t="s">
        <v>11</v>
      </c>
      <c r="W31" s="1574">
        <f t="shared" si="14"/>
        <v>100</v>
      </c>
      <c r="X31" s="1567"/>
      <c r="Y31" s="3386"/>
      <c r="Z31" s="1575">
        <f t="shared" si="15"/>
        <v>111</v>
      </c>
      <c r="AA31" s="1576">
        <f t="shared" si="3"/>
        <v>1</v>
      </c>
      <c r="AB31" s="1576">
        <f t="shared" si="4"/>
        <v>1</v>
      </c>
      <c r="AC31" s="1576">
        <f t="shared" si="5"/>
        <v>1</v>
      </c>
    </row>
    <row r="32" spans="1:29" ht="15">
      <c r="A32" s="2908"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7" t="s">
        <v>550</v>
      </c>
      <c r="Q32" s="1572" t="str">
        <f t="shared" si="11"/>
        <v>建筑类型</v>
      </c>
      <c r="R32" s="1573" t="s">
        <v>11</v>
      </c>
      <c r="S32" s="1574">
        <f t="shared" si="12"/>
        <v>100</v>
      </c>
      <c r="T32" s="1573" t="s">
        <v>11</v>
      </c>
      <c r="U32" s="1574">
        <f t="shared" si="13"/>
        <v>100</v>
      </c>
      <c r="V32" s="1573" t="s">
        <v>11</v>
      </c>
      <c r="W32" s="1574">
        <f t="shared" si="14"/>
        <v>100</v>
      </c>
      <c r="X32" s="1567"/>
      <c r="Y32" s="3388"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8"/>
      <c r="Q33" s="1605" t="str">
        <f t="shared" si="11"/>
        <v>项目建筑规模</v>
      </c>
      <c r="R33" s="1577" t="s">
        <v>11</v>
      </c>
      <c r="S33" s="1578" t="e">
        <f t="shared" si="12"/>
        <v>#N/A</v>
      </c>
      <c r="T33" s="1577" t="s">
        <v>11</v>
      </c>
      <c r="U33" s="1578" t="e">
        <f t="shared" si="13"/>
        <v>#N/A</v>
      </c>
      <c r="V33" s="1577" t="s">
        <v>11</v>
      </c>
      <c r="W33" s="1578" t="e">
        <f t="shared" si="14"/>
        <v>#N/A</v>
      </c>
      <c r="X33" s="1579"/>
      <c r="Y33" s="338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8"/>
      <c r="Q34" s="1572" t="str">
        <f t="shared" si="11"/>
        <v>建筑结构</v>
      </c>
      <c r="R34" s="1573" t="s">
        <v>11</v>
      </c>
      <c r="S34" s="1574">
        <f t="shared" si="12"/>
        <v>100</v>
      </c>
      <c r="T34" s="1573" t="s">
        <v>11</v>
      </c>
      <c r="U34" s="1574">
        <f t="shared" si="13"/>
        <v>100</v>
      </c>
      <c r="V34" s="1573" t="s">
        <v>11</v>
      </c>
      <c r="W34" s="1574">
        <f t="shared" si="14"/>
        <v>100</v>
      </c>
      <c r="X34" s="1567"/>
      <c r="Y34" s="3388"/>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8"/>
      <c r="Q35" s="1572" t="str">
        <f t="shared" si="11"/>
        <v>建筑品质</v>
      </c>
      <c r="R35" s="1573" t="s">
        <v>11</v>
      </c>
      <c r="S35" s="1574">
        <f t="shared" si="12"/>
        <v>100</v>
      </c>
      <c r="T35" s="1573" t="s">
        <v>11</v>
      </c>
      <c r="U35" s="1574">
        <f t="shared" si="13"/>
        <v>100</v>
      </c>
      <c r="V35" s="1573" t="s">
        <v>11</v>
      </c>
      <c r="W35" s="1574">
        <f t="shared" si="14"/>
        <v>100</v>
      </c>
      <c r="X35" s="1567"/>
      <c r="Y35" s="3388"/>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8"/>
      <c r="Q36" s="1572" t="str">
        <f t="shared" si="11"/>
        <v>公共部分装修</v>
      </c>
      <c r="R36" s="1573" t="s">
        <v>11</v>
      </c>
      <c r="S36" s="1574">
        <f t="shared" si="12"/>
        <v>100</v>
      </c>
      <c r="T36" s="1573" t="s">
        <v>11</v>
      </c>
      <c r="U36" s="1574">
        <f t="shared" si="13"/>
        <v>100</v>
      </c>
      <c r="V36" s="1573" t="s">
        <v>11</v>
      </c>
      <c r="W36" s="1574">
        <f t="shared" si="14"/>
        <v>100</v>
      </c>
      <c r="X36" s="1567"/>
      <c r="Y36" s="3388"/>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8"/>
      <c r="Q37" s="1151" t="str">
        <f t="shared" si="11"/>
        <v>成新度</v>
      </c>
      <c r="R37" s="1568" t="s">
        <v>11</v>
      </c>
      <c r="S37" s="1569" t="e">
        <f t="shared" si="12"/>
        <v>#N/A</v>
      </c>
      <c r="T37" s="1568" t="s">
        <v>11</v>
      </c>
      <c r="U37" s="1569" t="e">
        <f t="shared" si="13"/>
        <v>#N/A</v>
      </c>
      <c r="V37" s="1568" t="s">
        <v>11</v>
      </c>
      <c r="W37" s="1569" t="e">
        <f t="shared" si="14"/>
        <v>#N/A</v>
      </c>
      <c r="X37" s="1570"/>
      <c r="Y37" s="3388"/>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8" t="s">
        <v>550</v>
      </c>
      <c r="Q38" s="1572" t="str">
        <f t="shared" si="11"/>
        <v>物业管理</v>
      </c>
      <c r="R38" s="1573" t="s">
        <v>11</v>
      </c>
      <c r="S38" s="1574">
        <f t="shared" si="12"/>
        <v>100</v>
      </c>
      <c r="T38" s="1573" t="s">
        <v>11</v>
      </c>
      <c r="U38" s="1574">
        <f t="shared" si="13"/>
        <v>100</v>
      </c>
      <c r="V38" s="1573" t="s">
        <v>11</v>
      </c>
      <c r="W38" s="1574">
        <f t="shared" si="14"/>
        <v>100</v>
      </c>
      <c r="X38" s="1567"/>
      <c r="Y38" s="3388" t="s">
        <v>550</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8"/>
      <c r="Q39" s="1572" t="str">
        <f t="shared" si="11"/>
        <v>市政基础设施</v>
      </c>
      <c r="R39" s="1573" t="s">
        <v>11</v>
      </c>
      <c r="S39" s="1574">
        <f t="shared" si="12"/>
        <v>100</v>
      </c>
      <c r="T39" s="1573" t="s">
        <v>11</v>
      </c>
      <c r="U39" s="1574">
        <f t="shared" si="13"/>
        <v>100</v>
      </c>
      <c r="V39" s="1573" t="s">
        <v>11</v>
      </c>
      <c r="W39" s="1574">
        <f t="shared" si="14"/>
        <v>100</v>
      </c>
      <c r="X39" s="1567"/>
      <c r="Y39" s="338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8"/>
      <c r="Q40" s="1572" t="str">
        <f t="shared" si="11"/>
        <v>房型</v>
      </c>
      <c r="R40" s="1573" t="s">
        <v>11</v>
      </c>
      <c r="S40" s="1574">
        <f t="shared" si="12"/>
        <v>100</v>
      </c>
      <c r="T40" s="1573" t="s">
        <v>11</v>
      </c>
      <c r="U40" s="1574">
        <f t="shared" si="13"/>
        <v>100</v>
      </c>
      <c r="V40" s="1573" t="s">
        <v>11</v>
      </c>
      <c r="W40" s="1574">
        <f t="shared" si="14"/>
        <v>100</v>
      </c>
      <c r="X40" s="1567"/>
      <c r="Y40" s="338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8"/>
      <c r="Q41" s="1605" t="str">
        <f t="shared" si="11"/>
        <v>单套/主力户型建筑面积</v>
      </c>
      <c r="R41" s="1577" t="s">
        <v>11</v>
      </c>
      <c r="S41" s="1578">
        <f t="shared" si="12"/>
        <v>100</v>
      </c>
      <c r="T41" s="1577" t="s">
        <v>11</v>
      </c>
      <c r="U41" s="1578">
        <f t="shared" si="13"/>
        <v>100</v>
      </c>
      <c r="V41" s="1577" t="s">
        <v>11</v>
      </c>
      <c r="W41" s="1578">
        <f t="shared" si="14"/>
        <v>100</v>
      </c>
      <c r="X41" s="1579"/>
      <c r="Y41" s="3388"/>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8"/>
      <c r="Q42" s="1572" t="str">
        <f t="shared" si="11"/>
        <v>内部装修</v>
      </c>
      <c r="R42" s="1573" t="s">
        <v>11</v>
      </c>
      <c r="S42" s="1574">
        <f t="shared" si="12"/>
        <v>100</v>
      </c>
      <c r="T42" s="1573" t="s">
        <v>11</v>
      </c>
      <c r="U42" s="1574">
        <f t="shared" si="13"/>
        <v>100</v>
      </c>
      <c r="V42" s="1573" t="s">
        <v>11</v>
      </c>
      <c r="W42" s="1574">
        <f t="shared" si="14"/>
        <v>100</v>
      </c>
      <c r="X42" s="1567"/>
      <c r="Y42" s="3388"/>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8"/>
      <c r="Q43" s="1572" t="str">
        <f t="shared" si="11"/>
        <v>内部装修维护情况</v>
      </c>
      <c r="R43" s="1573" t="s">
        <v>11</v>
      </c>
      <c r="S43" s="1574">
        <f t="shared" si="12"/>
        <v>100</v>
      </c>
      <c r="T43" s="1573" t="s">
        <v>11</v>
      </c>
      <c r="U43" s="1574">
        <f t="shared" si="13"/>
        <v>100</v>
      </c>
      <c r="V43" s="1573" t="s">
        <v>11</v>
      </c>
      <c r="W43" s="1574">
        <f t="shared" si="14"/>
        <v>100</v>
      </c>
      <c r="X43" s="1567"/>
      <c r="Y43" s="338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8" t="s">
        <v>11</v>
      </c>
      <c r="S44" s="1569">
        <f t="shared" si="12"/>
        <v>100</v>
      </c>
      <c r="T44" s="1568" t="s">
        <v>11</v>
      </c>
      <c r="U44" s="1569">
        <f t="shared" si="13"/>
        <v>100</v>
      </c>
      <c r="V44" s="1568" t="s">
        <v>11</v>
      </c>
      <c r="W44" s="1569">
        <f t="shared" si="14"/>
        <v>100</v>
      </c>
      <c r="X44" s="1570"/>
      <c r="Y44" s="338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2">
        <f t="shared" si="11"/>
        <v>111</v>
      </c>
      <c r="R45" s="1573" t="s">
        <v>11</v>
      </c>
      <c r="S45" s="1574">
        <f t="shared" si="12"/>
        <v>100</v>
      </c>
      <c r="T45" s="1573" t="s">
        <v>11</v>
      </c>
      <c r="U45" s="1574">
        <f t="shared" si="13"/>
        <v>100</v>
      </c>
      <c r="V45" s="1573" t="s">
        <v>11</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2">
        <f t="shared" si="11"/>
        <v>111</v>
      </c>
      <c r="R46" s="1573" t="s">
        <v>10</v>
      </c>
      <c r="S46" s="1574">
        <f t="shared" si="12"/>
        <v>100</v>
      </c>
      <c r="T46" s="1573" t="s">
        <v>10</v>
      </c>
      <c r="U46" s="1574">
        <f t="shared" si="13"/>
        <v>100</v>
      </c>
      <c r="V46" s="1573" t="s">
        <v>10</v>
      </c>
      <c r="W46" s="1574">
        <f t="shared" si="14"/>
        <v>100</v>
      </c>
      <c r="X46" s="1567"/>
      <c r="Y46" s="3465"/>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51" t="str">
        <f>A47</f>
        <v>成交单价（元/平方米）</v>
      </c>
      <c r="Q47" s="3351"/>
      <c r="R47" s="3464">
        <f>E47</f>
        <v>0</v>
      </c>
      <c r="S47" s="3464"/>
      <c r="T47" s="3464">
        <f>G47</f>
        <v>0</v>
      </c>
      <c r="U47" s="3464"/>
      <c r="V47" s="3464">
        <f>I47</f>
        <v>0</v>
      </c>
      <c r="W47" s="3464"/>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07"/>
      <c r="L48" s="2145"/>
      <c r="M48" s="2146"/>
      <c r="N48" s="2146"/>
      <c r="O48" s="2146"/>
      <c r="P48" s="3351" t="str">
        <f>A48</f>
        <v>比较价格（元/平方米）</v>
      </c>
      <c r="Q48" s="3351"/>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9"/>
      <c r="Y48" s="1559"/>
      <c r="Z48" s="1559"/>
      <c r="AA48" s="1559"/>
      <c r="AB48" s="1559"/>
      <c r="AC48" s="1559"/>
    </row>
    <row r="49" spans="1:29" ht="15.75" thickBot="1">
      <c r="A49" s="621" t="s">
        <v>2934</v>
      </c>
      <c r="B49" s="622"/>
      <c r="C49" s="2637" t="e">
        <f>R49</f>
        <v>#DIV/0!</v>
      </c>
      <c r="D49" s="2637"/>
      <c r="E49" s="2637"/>
      <c r="F49" s="2637"/>
      <c r="G49" s="2637"/>
      <c r="H49" s="2637"/>
      <c r="I49" s="2637"/>
      <c r="J49" s="2637"/>
      <c r="K49" s="1608"/>
      <c r="L49" s="2145"/>
      <c r="M49" s="2146"/>
      <c r="N49" s="2146"/>
      <c r="O49" s="2146"/>
      <c r="P49" s="3348" t="str">
        <f>A49</f>
        <v>估价对象XX用房的比较价格（楼面单价，元/平方米）</v>
      </c>
      <c r="Q49" s="3349"/>
      <c r="R49" s="3463" t="e">
        <f>IF(F1="售价",ROUND(AVERAGE(R48:V48),0),ROUND(AVERAGE(R48:V48),1))</f>
        <v>#DIV/0!</v>
      </c>
      <c r="S49" s="3463"/>
      <c r="T49" s="3463"/>
      <c r="U49" s="3463"/>
      <c r="V49" s="3463"/>
      <c r="W49" s="346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7"/>
      <c r="Y4" s="3365" t="s">
        <v>527</v>
      </c>
      <c r="Z4" s="3366"/>
      <c r="AA4" s="3354" t="s">
        <v>523</v>
      </c>
      <c r="AB4" s="3352" t="s">
        <v>524</v>
      </c>
      <c r="AC4" s="3354" t="s">
        <v>525</v>
      </c>
    </row>
    <row r="5" spans="1:29" ht="15">
      <c r="A5" s="515"/>
      <c r="B5" s="516"/>
      <c r="C5" s="3373" t="s">
        <v>2928</v>
      </c>
      <c r="D5" s="3374"/>
      <c r="E5" s="3393" t="s">
        <v>2929</v>
      </c>
      <c r="F5" s="3394"/>
      <c r="G5" s="3373" t="s">
        <v>2930</v>
      </c>
      <c r="H5" s="3374"/>
      <c r="I5" s="3373" t="s">
        <v>2931</v>
      </c>
      <c r="J5" s="3374"/>
      <c r="K5" s="514"/>
      <c r="L5" s="2134"/>
      <c r="M5" s="2135"/>
      <c r="N5" s="2135"/>
      <c r="O5" s="2135"/>
      <c r="P5" s="3361"/>
      <c r="Q5" s="3362"/>
      <c r="R5" s="3367"/>
      <c r="S5" s="3368"/>
      <c r="T5" s="3367"/>
      <c r="U5" s="3368"/>
      <c r="V5" s="3352"/>
      <c r="W5" s="3352"/>
      <c r="X5" s="1567"/>
      <c r="Y5" s="3367"/>
      <c r="Z5" s="3368"/>
      <c r="AA5" s="3355"/>
      <c r="AB5" s="3352"/>
      <c r="AC5" s="3355"/>
    </row>
    <row r="6" spans="1:29" ht="15.75" thickBot="1">
      <c r="A6" s="517"/>
      <c r="B6" s="518"/>
      <c r="C6" s="3371" t="s">
        <v>2932</v>
      </c>
      <c r="D6" s="3372"/>
      <c r="E6" s="3389" t="s">
        <v>2932</v>
      </c>
      <c r="F6" s="3390"/>
      <c r="G6" s="3371" t="s">
        <v>2932</v>
      </c>
      <c r="H6" s="3372"/>
      <c r="I6" s="3371" t="s">
        <v>2932</v>
      </c>
      <c r="J6" s="3372"/>
      <c r="K6" s="514" t="s">
        <v>528</v>
      </c>
      <c r="L6" s="2134"/>
      <c r="M6" s="2135"/>
      <c r="N6" s="2135"/>
      <c r="O6" s="2135"/>
      <c r="P6" s="3363"/>
      <c r="Q6" s="3364"/>
      <c r="R6" s="3367"/>
      <c r="S6" s="3368"/>
      <c r="T6" s="3369"/>
      <c r="U6" s="3370"/>
      <c r="V6" s="3352"/>
      <c r="W6" s="3352"/>
      <c r="X6" s="1567"/>
      <c r="Y6" s="3369"/>
      <c r="Z6" s="3370"/>
      <c r="AA6" s="3356"/>
      <c r="AB6" s="3352"/>
      <c r="AC6" s="3356"/>
    </row>
    <row r="7" spans="1:29" s="1220" customFormat="1" ht="15.75" thickBot="1">
      <c r="A7" s="2912"/>
      <c r="B7" s="2919" t="s">
        <v>529</v>
      </c>
      <c r="C7" s="519">
        <f>'数据-取费表'!B2</f>
        <v>43347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530</v>
      </c>
      <c r="Q7" s="3384"/>
      <c r="R7" s="1568" t="s">
        <v>8</v>
      </c>
      <c r="S7" s="1569">
        <f t="shared" ref="S7:S15" si="0">F7</f>
        <v>0</v>
      </c>
      <c r="T7" s="1568" t="s">
        <v>8</v>
      </c>
      <c r="U7" s="1569">
        <f t="shared" ref="U7:U15" si="1">H7</f>
        <v>0</v>
      </c>
      <c r="V7" s="1568" t="s">
        <v>8</v>
      </c>
      <c r="W7" s="1569">
        <f t="shared" ref="W7:W15"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533</v>
      </c>
      <c r="Q8" s="3383"/>
      <c r="R8" s="1568" t="s">
        <v>8</v>
      </c>
      <c r="S8" s="1569">
        <f t="shared" si="0"/>
        <v>0</v>
      </c>
      <c r="T8" s="1568" t="s">
        <v>8</v>
      </c>
      <c r="U8" s="1569">
        <f t="shared" si="1"/>
        <v>0</v>
      </c>
      <c r="V8" s="1568" t="s">
        <v>8</v>
      </c>
      <c r="W8" s="1569">
        <f t="shared" si="2"/>
        <v>0</v>
      </c>
      <c r="X8" s="1570"/>
      <c r="Y8" s="3382" t="s">
        <v>533</v>
      </c>
      <c r="Z8" s="3383"/>
      <c r="AA8" s="1571" t="e">
        <f t="shared" ref="AA8:AA46" si="3">D8/F8</f>
        <v>#DIV/0!</v>
      </c>
      <c r="AB8" s="1571" t="e">
        <f t="shared" ref="AB8:AB46" si="4">D8/H8</f>
        <v>#DIV/0!</v>
      </c>
      <c r="AC8" s="1571" t="e">
        <f t="shared" ref="AC8:AC46" si="5">D8/J8</f>
        <v>#DIV/0!</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1" t="s">
        <v>535</v>
      </c>
      <c r="Q9" s="1151" t="str">
        <f t="shared" ref="Q9:Q15" si="6">B9</f>
        <v>用途</v>
      </c>
      <c r="R9" s="1568" t="s">
        <v>8</v>
      </c>
      <c r="S9" s="1569">
        <f t="shared" si="0"/>
        <v>100</v>
      </c>
      <c r="T9" s="1568" t="s">
        <v>8</v>
      </c>
      <c r="U9" s="1569">
        <f t="shared" si="1"/>
        <v>100</v>
      </c>
      <c r="V9" s="1568" t="s">
        <v>8</v>
      </c>
      <c r="W9" s="1569">
        <f t="shared" si="2"/>
        <v>100</v>
      </c>
      <c r="X9" s="1570"/>
      <c r="Y9" s="329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71.25">
      <c r="A15" s="2910" t="s">
        <v>2756</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5" t="s">
        <v>540</v>
      </c>
      <c r="Q15" s="1572" t="str">
        <f t="shared" si="6"/>
        <v>商业繁华度</v>
      </c>
      <c r="R15" s="1573" t="s">
        <v>8</v>
      </c>
      <c r="S15" s="1574">
        <f t="shared" si="0"/>
        <v>100</v>
      </c>
      <c r="T15" s="1573" t="s">
        <v>8</v>
      </c>
      <c r="U15" s="1574">
        <f t="shared" si="1"/>
        <v>100</v>
      </c>
      <c r="V15" s="1573" t="s">
        <v>8</v>
      </c>
      <c r="W15" s="1574">
        <f t="shared" si="2"/>
        <v>100</v>
      </c>
      <c r="X15" s="1567"/>
      <c r="Y15" s="338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01" t="s">
        <v>2548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8.5">
      <c r="A21" s="532"/>
      <c r="B21" s="2594" t="s">
        <v>2560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6"/>
      <c r="Q21" s="2580" t="str">
        <f>B21</f>
        <v>基础设施水平</v>
      </c>
      <c r="R21" s="1573" t="s">
        <v>8</v>
      </c>
      <c r="S21" s="1574">
        <f>F21</f>
        <v>100</v>
      </c>
      <c r="T21" s="1573" t="s">
        <v>8</v>
      </c>
      <c r="U21" s="1574">
        <f>H21</f>
        <v>100</v>
      </c>
      <c r="V21" s="1573" t="s">
        <v>8</v>
      </c>
      <c r="W21" s="1574">
        <f>J21</f>
        <v>100</v>
      </c>
      <c r="X21" s="2582"/>
      <c r="Y21" s="338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86"/>
      <c r="Q22" s="2580"/>
      <c r="R22" s="1573"/>
      <c r="S22" s="1574"/>
      <c r="T22" s="1573"/>
      <c r="U22" s="1574"/>
      <c r="V22" s="1573"/>
      <c r="W22" s="1574"/>
      <c r="X22" s="2582"/>
      <c r="Y22" s="3386"/>
      <c r="Z22" s="2581"/>
      <c r="AA22" s="1576">
        <v>1</v>
      </c>
      <c r="AB22" s="1576">
        <v>1</v>
      </c>
      <c r="AC22" s="1576">
        <v>1</v>
      </c>
    </row>
    <row r="23" spans="1:29" ht="57">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6"/>
      <c r="Q23" s="1572" t="str">
        <f>B23</f>
        <v>自然及人文环境</v>
      </c>
      <c r="R23" s="1573" t="s">
        <v>8</v>
      </c>
      <c r="S23" s="1574">
        <f>F23</f>
        <v>100</v>
      </c>
      <c r="T23" s="1573" t="s">
        <v>8</v>
      </c>
      <c r="U23" s="1574">
        <f>H23</f>
        <v>100</v>
      </c>
      <c r="V23" s="1573" t="s">
        <v>8</v>
      </c>
      <c r="W23" s="1574">
        <f>J23</f>
        <v>100</v>
      </c>
      <c r="X23" s="1567"/>
      <c r="Y23" s="338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6"/>
      <c r="Q25" s="1572" t="str">
        <f t="shared" ref="Q25:Q46" si="11">B25</f>
        <v>临街状况</v>
      </c>
      <c r="R25" s="1573" t="s">
        <v>8</v>
      </c>
      <c r="S25" s="1574">
        <f>F25</f>
        <v>100</v>
      </c>
      <c r="T25" s="1573" t="s">
        <v>8</v>
      </c>
      <c r="U25" s="1574">
        <f>H25</f>
        <v>100</v>
      </c>
      <c r="V25" s="1573" t="s">
        <v>8</v>
      </c>
      <c r="W25" s="1574">
        <f>J25</f>
        <v>100</v>
      </c>
      <c r="X25" s="1567"/>
      <c r="Y25" s="338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2" t="str">
        <f t="shared" si="11"/>
        <v>平面位置/可视性</v>
      </c>
      <c r="R26" s="1573" t="s">
        <v>8</v>
      </c>
      <c r="S26" s="1574">
        <f>F26</f>
        <v>100</v>
      </c>
      <c r="T26" s="1573" t="s">
        <v>8</v>
      </c>
      <c r="U26" s="1574">
        <f>H26</f>
        <v>100</v>
      </c>
      <c r="V26" s="1573" t="s">
        <v>8</v>
      </c>
      <c r="W26" s="1574">
        <f>J26</f>
        <v>100</v>
      </c>
      <c r="X26" s="1567"/>
      <c r="Y26" s="3386"/>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6"/>
      <c r="Q27" s="1151" t="str">
        <f t="shared" si="11"/>
        <v>人流量</v>
      </c>
      <c r="R27" s="1568" t="s">
        <v>8</v>
      </c>
      <c r="S27" s="1569">
        <f>F27</f>
        <v>100</v>
      </c>
      <c r="T27" s="1568" t="s">
        <v>8</v>
      </c>
      <c r="U27" s="1569">
        <f>H27</f>
        <v>100</v>
      </c>
      <c r="V27" s="1568" t="s">
        <v>8</v>
      </c>
      <c r="W27" s="1569">
        <f>J27</f>
        <v>100</v>
      </c>
      <c r="X27" s="1570"/>
      <c r="Y27" s="3386"/>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2">
        <f t="shared" si="11"/>
        <v>111</v>
      </c>
      <c r="R29" s="1573" t="s">
        <v>8</v>
      </c>
      <c r="S29" s="1574">
        <f t="shared" si="12"/>
        <v>100</v>
      </c>
      <c r="T29" s="1573" t="s">
        <v>8</v>
      </c>
      <c r="U29" s="1574">
        <f t="shared" si="13"/>
        <v>100</v>
      </c>
      <c r="V29" s="1573" t="s">
        <v>8</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7" t="s">
        <v>550</v>
      </c>
      <c r="Q32" s="1572" t="str">
        <f t="shared" si="11"/>
        <v>商业类型</v>
      </c>
      <c r="R32" s="1573" t="s">
        <v>8</v>
      </c>
      <c r="S32" s="1574">
        <f t="shared" si="12"/>
        <v>100</v>
      </c>
      <c r="T32" s="1573" t="s">
        <v>8</v>
      </c>
      <c r="U32" s="1574">
        <f t="shared" si="13"/>
        <v>100</v>
      </c>
      <c r="V32" s="1573" t="s">
        <v>8</v>
      </c>
      <c r="W32" s="1574">
        <f t="shared" si="14"/>
        <v>100</v>
      </c>
      <c r="X32" s="1567"/>
      <c r="Y32" s="338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8"/>
      <c r="Q33" s="1605" t="str">
        <f t="shared" si="11"/>
        <v>项目建筑规模</v>
      </c>
      <c r="R33" s="1577" t="s">
        <v>8</v>
      </c>
      <c r="S33" s="1578" t="e">
        <f t="shared" si="12"/>
        <v>#N/A</v>
      </c>
      <c r="T33" s="1577" t="s">
        <v>8</v>
      </c>
      <c r="U33" s="1578" t="e">
        <f t="shared" si="13"/>
        <v>#N/A</v>
      </c>
      <c r="V33" s="1577" t="s">
        <v>8</v>
      </c>
      <c r="W33" s="1578" t="e">
        <f t="shared" si="14"/>
        <v>#N/A</v>
      </c>
      <c r="X33" s="1579"/>
      <c r="Y33" s="338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8"/>
      <c r="Q34" s="1572" t="str">
        <f t="shared" si="11"/>
        <v>建筑结构</v>
      </c>
      <c r="R34" s="1573" t="s">
        <v>8</v>
      </c>
      <c r="S34" s="1574">
        <f t="shared" si="12"/>
        <v>100</v>
      </c>
      <c r="T34" s="1573" t="s">
        <v>8</v>
      </c>
      <c r="U34" s="1574">
        <f t="shared" si="13"/>
        <v>100</v>
      </c>
      <c r="V34" s="1573" t="s">
        <v>8</v>
      </c>
      <c r="W34" s="1574">
        <f t="shared" si="14"/>
        <v>100</v>
      </c>
      <c r="X34" s="1567"/>
      <c r="Y34" s="338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8"/>
      <c r="Q35" s="1572" t="str">
        <f t="shared" si="11"/>
        <v>公共部分装修</v>
      </c>
      <c r="R35" s="1573" t="s">
        <v>8</v>
      </c>
      <c r="S35" s="1574">
        <f t="shared" si="12"/>
        <v>100</v>
      </c>
      <c r="T35" s="1573" t="s">
        <v>8</v>
      </c>
      <c r="U35" s="1574">
        <f t="shared" si="13"/>
        <v>100</v>
      </c>
      <c r="V35" s="1573" t="s">
        <v>8</v>
      </c>
      <c r="W35" s="1574">
        <f t="shared" si="14"/>
        <v>100</v>
      </c>
      <c r="X35" s="1567"/>
      <c r="Y35" s="3388"/>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8"/>
      <c r="Q36" s="1572" t="str">
        <f t="shared" si="11"/>
        <v>成新度</v>
      </c>
      <c r="R36" s="1573" t="s">
        <v>8</v>
      </c>
      <c r="S36" s="1574" t="e">
        <f t="shared" si="12"/>
        <v>#N/A</v>
      </c>
      <c r="T36" s="1573" t="s">
        <v>8</v>
      </c>
      <c r="U36" s="1574" t="e">
        <f t="shared" si="13"/>
        <v>#N/A</v>
      </c>
      <c r="V36" s="1573" t="s">
        <v>8</v>
      </c>
      <c r="W36" s="1574" t="e">
        <f t="shared" si="14"/>
        <v>#N/A</v>
      </c>
      <c r="X36" s="1567"/>
      <c r="Y36" s="3388"/>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8"/>
      <c r="Q37" s="1151" t="str">
        <f t="shared" si="11"/>
        <v>市政基础设施</v>
      </c>
      <c r="R37" s="1568" t="s">
        <v>8</v>
      </c>
      <c r="S37" s="1569">
        <f t="shared" si="12"/>
        <v>100</v>
      </c>
      <c r="T37" s="1568" t="s">
        <v>8</v>
      </c>
      <c r="U37" s="1569">
        <f t="shared" si="13"/>
        <v>100</v>
      </c>
      <c r="V37" s="1568" t="s">
        <v>8</v>
      </c>
      <c r="W37" s="1569">
        <f t="shared" si="14"/>
        <v>100</v>
      </c>
      <c r="X37" s="1570"/>
      <c r="Y37" s="3388"/>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766</v>
      </c>
      <c r="Q38" s="1572" t="str">
        <f t="shared" si="11"/>
        <v>业态</v>
      </c>
      <c r="R38" s="1573" t="s">
        <v>8</v>
      </c>
      <c r="S38" s="1574">
        <f t="shared" si="12"/>
        <v>100</v>
      </c>
      <c r="T38" s="1573" t="s">
        <v>8</v>
      </c>
      <c r="U38" s="1574">
        <f t="shared" si="13"/>
        <v>100</v>
      </c>
      <c r="V38" s="1573" t="s">
        <v>8</v>
      </c>
      <c r="W38" s="1574">
        <f t="shared" si="14"/>
        <v>100</v>
      </c>
      <c r="X38" s="1567"/>
      <c r="Y38" s="338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2" t="str">
        <f t="shared" si="11"/>
        <v>层高</v>
      </c>
      <c r="R39" s="1573" t="s">
        <v>8</v>
      </c>
      <c r="S39" s="1574">
        <f t="shared" si="12"/>
        <v>100</v>
      </c>
      <c r="T39" s="1573" t="s">
        <v>8</v>
      </c>
      <c r="U39" s="1574">
        <f t="shared" si="13"/>
        <v>100</v>
      </c>
      <c r="V39" s="1573" t="s">
        <v>8</v>
      </c>
      <c r="W39" s="1574">
        <f t="shared" si="14"/>
        <v>100</v>
      </c>
      <c r="X39" s="1567"/>
      <c r="Y39" s="338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2" t="str">
        <f t="shared" si="11"/>
        <v>单套建筑面积</v>
      </c>
      <c r="R40" s="1573" t="s">
        <v>8</v>
      </c>
      <c r="S40" s="1574">
        <f t="shared" si="12"/>
        <v>100</v>
      </c>
      <c r="T40" s="1573" t="s">
        <v>8</v>
      </c>
      <c r="U40" s="1574">
        <f t="shared" si="13"/>
        <v>100</v>
      </c>
      <c r="V40" s="1573" t="s">
        <v>8</v>
      </c>
      <c r="W40" s="1574">
        <f t="shared" si="14"/>
        <v>100</v>
      </c>
      <c r="X40" s="1567"/>
      <c r="Y40" s="3388"/>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5" t="str">
        <f t="shared" si="11"/>
        <v>进深比</v>
      </c>
      <c r="R41" s="1577" t="s">
        <v>8</v>
      </c>
      <c r="S41" s="1578">
        <f t="shared" si="12"/>
        <v>100</v>
      </c>
      <c r="T41" s="1577" t="s">
        <v>8</v>
      </c>
      <c r="U41" s="1578">
        <f t="shared" si="13"/>
        <v>100</v>
      </c>
      <c r="V41" s="1577" t="s">
        <v>8</v>
      </c>
      <c r="W41" s="1578">
        <f t="shared" si="14"/>
        <v>100</v>
      </c>
      <c r="X41" s="1579"/>
      <c r="Y41" s="338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8"/>
      <c r="Q42" s="1572" t="str">
        <f t="shared" si="11"/>
        <v>内部装修</v>
      </c>
      <c r="R42" s="1573" t="s">
        <v>8</v>
      </c>
      <c r="S42" s="1574">
        <f t="shared" si="12"/>
        <v>100</v>
      </c>
      <c r="T42" s="1573" t="s">
        <v>8</v>
      </c>
      <c r="U42" s="1574">
        <f t="shared" si="13"/>
        <v>100</v>
      </c>
      <c r="V42" s="1573" t="s">
        <v>8</v>
      </c>
      <c r="W42" s="1574">
        <f t="shared" si="14"/>
        <v>100</v>
      </c>
      <c r="X42" s="1567"/>
      <c r="Y42" s="338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8"/>
      <c r="Q43" s="1572" t="str">
        <f t="shared" si="11"/>
        <v>内部装修维护情况</v>
      </c>
      <c r="R43" s="1573" t="s">
        <v>8</v>
      </c>
      <c r="S43" s="1574">
        <f t="shared" si="12"/>
        <v>100</v>
      </c>
      <c r="T43" s="1573" t="s">
        <v>8</v>
      </c>
      <c r="U43" s="1574">
        <f t="shared" si="13"/>
        <v>100</v>
      </c>
      <c r="V43" s="1573" t="s">
        <v>8</v>
      </c>
      <c r="W43" s="1574">
        <f t="shared" si="14"/>
        <v>100</v>
      </c>
      <c r="X43" s="1567"/>
      <c r="Y43" s="338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8" t="s">
        <v>8</v>
      </c>
      <c r="S44" s="1569">
        <f t="shared" si="12"/>
        <v>100</v>
      </c>
      <c r="T44" s="1568" t="s">
        <v>8</v>
      </c>
      <c r="U44" s="1569">
        <f t="shared" si="13"/>
        <v>100</v>
      </c>
      <c r="V44" s="1568" t="s">
        <v>8</v>
      </c>
      <c r="W44" s="1569">
        <f t="shared" si="14"/>
        <v>100</v>
      </c>
      <c r="X44" s="1570"/>
      <c r="Y44" s="338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2">
        <f t="shared" si="11"/>
        <v>111</v>
      </c>
      <c r="R45" s="1573" t="s">
        <v>8</v>
      </c>
      <c r="S45" s="1574">
        <f t="shared" si="12"/>
        <v>100</v>
      </c>
      <c r="T45" s="1573" t="s">
        <v>8</v>
      </c>
      <c r="U45" s="1574">
        <f t="shared" si="13"/>
        <v>100</v>
      </c>
      <c r="V45" s="1573" t="s">
        <v>8</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2">
        <f t="shared" si="11"/>
        <v>111</v>
      </c>
      <c r="R46" s="1573" t="s">
        <v>8</v>
      </c>
      <c r="S46" s="1574">
        <f t="shared" si="12"/>
        <v>100</v>
      </c>
      <c r="T46" s="1573" t="s">
        <v>8</v>
      </c>
      <c r="U46" s="1574">
        <f t="shared" si="13"/>
        <v>100</v>
      </c>
      <c r="V46" s="1573" t="s">
        <v>8</v>
      </c>
      <c r="W46" s="1574">
        <f t="shared" si="14"/>
        <v>100</v>
      </c>
      <c r="X46" s="1567"/>
      <c r="Y46" s="3465"/>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51" t="str">
        <f>A47</f>
        <v>成交单价（元/平方米）</v>
      </c>
      <c r="Q47" s="3351"/>
      <c r="R47" s="3464">
        <f>E47</f>
        <v>0</v>
      </c>
      <c r="S47" s="3464"/>
      <c r="T47" s="3464">
        <f>G47</f>
        <v>0</v>
      </c>
      <c r="U47" s="3464"/>
      <c r="V47" s="3464">
        <f>I47</f>
        <v>0</v>
      </c>
      <c r="W47" s="3464"/>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51" t="str">
        <f>A48</f>
        <v>比较价格（元/平方米）</v>
      </c>
      <c r="Q48" s="3351"/>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9"/>
      <c r="Y48" s="1559"/>
      <c r="Z48" s="1559"/>
      <c r="AA48" s="1559"/>
      <c r="AB48" s="1559"/>
      <c r="AC48" s="1559"/>
    </row>
    <row r="49" spans="1:29" ht="15.75" thickBot="1">
      <c r="A49" s="621" t="s">
        <v>2934</v>
      </c>
      <c r="B49" s="622"/>
      <c r="C49" s="2637" t="e">
        <f>R49</f>
        <v>#DIV/0!</v>
      </c>
      <c r="D49" s="2637"/>
      <c r="E49" s="2637"/>
      <c r="F49" s="2637"/>
      <c r="G49" s="2637"/>
      <c r="H49" s="2637"/>
      <c r="I49" s="2637"/>
      <c r="J49" s="2637"/>
      <c r="K49" s="1613"/>
      <c r="L49" s="2145"/>
      <c r="M49" s="2146"/>
      <c r="N49" s="2135"/>
      <c r="O49" s="2146"/>
      <c r="P49" s="3348" t="str">
        <f>A49</f>
        <v>估价对象XX用房的比较价格（楼面单价，元/平方米）</v>
      </c>
      <c r="Q49" s="3349"/>
      <c r="R49" s="3463" t="e">
        <f>IF(F1="售价",ROUND(AVERAGE(R48:V48),0),ROUND(AVERAGE(R48:V48),1))</f>
        <v>#DIV/0!</v>
      </c>
      <c r="S49" s="3463"/>
      <c r="T49" s="3463"/>
      <c r="U49" s="3463"/>
      <c r="V49" s="3463"/>
      <c r="W49" s="346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57" t="s">
        <v>522</v>
      </c>
      <c r="D4" s="3358"/>
      <c r="E4" s="3391" t="s">
        <v>523</v>
      </c>
      <c r="F4" s="3392"/>
      <c r="G4" s="3357" t="s">
        <v>524</v>
      </c>
      <c r="H4" s="3358"/>
      <c r="I4" s="3357" t="s">
        <v>525</v>
      </c>
      <c r="J4" s="3358"/>
      <c r="K4" s="514" t="s">
        <v>526</v>
      </c>
      <c r="L4" s="2134"/>
      <c r="M4" s="2135"/>
      <c r="N4" s="2135"/>
      <c r="O4" s="2135"/>
      <c r="P4" s="3467" t="s">
        <v>527</v>
      </c>
      <c r="Q4" s="3360"/>
      <c r="R4" s="3365" t="s">
        <v>523</v>
      </c>
      <c r="S4" s="3366"/>
      <c r="T4" s="3365" t="s">
        <v>524</v>
      </c>
      <c r="U4" s="3366"/>
      <c r="V4" s="3352" t="s">
        <v>525</v>
      </c>
      <c r="W4" s="3352"/>
      <c r="X4" s="1567"/>
      <c r="Y4" s="3365" t="s">
        <v>527</v>
      </c>
      <c r="Z4" s="3366"/>
      <c r="AA4" s="3354" t="s">
        <v>523</v>
      </c>
      <c r="AB4" s="3354" t="s">
        <v>524</v>
      </c>
      <c r="AC4" s="3354" t="s">
        <v>525</v>
      </c>
    </row>
    <row r="5" spans="1:29" ht="15">
      <c r="A5" s="515"/>
      <c r="B5" s="516"/>
      <c r="C5" s="3373" t="s">
        <v>2928</v>
      </c>
      <c r="D5" s="3374"/>
      <c r="E5" s="3393" t="s">
        <v>2929</v>
      </c>
      <c r="F5" s="3394"/>
      <c r="G5" s="3373" t="s">
        <v>2930</v>
      </c>
      <c r="H5" s="3374"/>
      <c r="I5" s="3373" t="s">
        <v>2931</v>
      </c>
      <c r="J5" s="3374"/>
      <c r="K5" s="514"/>
      <c r="L5" s="2134"/>
      <c r="M5" s="2135"/>
      <c r="N5" s="2135"/>
      <c r="O5" s="2135"/>
      <c r="P5" s="3468"/>
      <c r="Q5" s="3362"/>
      <c r="R5" s="3367"/>
      <c r="S5" s="3368"/>
      <c r="T5" s="3367"/>
      <c r="U5" s="3368"/>
      <c r="V5" s="3352"/>
      <c r="W5" s="3352"/>
      <c r="X5" s="1567"/>
      <c r="Y5" s="3367"/>
      <c r="Z5" s="3368"/>
      <c r="AA5" s="3355"/>
      <c r="AB5" s="3355"/>
      <c r="AC5" s="3355"/>
    </row>
    <row r="6" spans="1:29" ht="15.75" thickBot="1">
      <c r="A6" s="517"/>
      <c r="B6" s="518"/>
      <c r="C6" s="3371" t="s">
        <v>2932</v>
      </c>
      <c r="D6" s="3372"/>
      <c r="E6" s="3389" t="s">
        <v>2932</v>
      </c>
      <c r="F6" s="3390"/>
      <c r="G6" s="3371" t="s">
        <v>2932</v>
      </c>
      <c r="H6" s="3372"/>
      <c r="I6" s="3371" t="s">
        <v>2932</v>
      </c>
      <c r="J6" s="3372"/>
      <c r="K6" s="514" t="s">
        <v>528</v>
      </c>
      <c r="L6" s="2134"/>
      <c r="M6" s="2135"/>
      <c r="N6" s="2135"/>
      <c r="O6" s="2135"/>
      <c r="P6" s="3469"/>
      <c r="Q6" s="3364"/>
      <c r="R6" s="3367"/>
      <c r="S6" s="3368"/>
      <c r="T6" s="3369"/>
      <c r="U6" s="3370"/>
      <c r="V6" s="3352"/>
      <c r="W6" s="3352"/>
      <c r="X6" s="1567"/>
      <c r="Y6" s="3369"/>
      <c r="Z6" s="3370"/>
      <c r="AA6" s="3356"/>
      <c r="AB6" s="3356"/>
      <c r="AC6" s="3356"/>
    </row>
    <row r="7" spans="1:29" s="1220" customFormat="1" ht="15.75" thickBot="1">
      <c r="A7" s="2912"/>
      <c r="B7" s="2919" t="s">
        <v>529</v>
      </c>
      <c r="C7" s="519">
        <f>'数据-取费表'!B2</f>
        <v>43347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8" t="s">
        <v>8</v>
      </c>
      <c r="S7" s="1569">
        <f t="shared" ref="S7:S15" si="0">F7</f>
        <v>0</v>
      </c>
      <c r="T7" s="1568" t="s">
        <v>8</v>
      </c>
      <c r="U7" s="1569">
        <f t="shared" ref="U7:U15" si="1">H7</f>
        <v>0</v>
      </c>
      <c r="V7" s="1568" t="s">
        <v>8</v>
      </c>
      <c r="W7" s="1569">
        <f t="shared" ref="W7:W15"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83"/>
      <c r="R8" s="1568" t="s">
        <v>8</v>
      </c>
      <c r="S8" s="1569">
        <f t="shared" si="0"/>
        <v>0</v>
      </c>
      <c r="T8" s="1568" t="s">
        <v>8</v>
      </c>
      <c r="U8" s="1569">
        <f t="shared" si="1"/>
        <v>0</v>
      </c>
      <c r="V8" s="1568" t="s">
        <v>8</v>
      </c>
      <c r="W8" s="1569">
        <f t="shared" si="2"/>
        <v>0</v>
      </c>
      <c r="X8" s="1570"/>
      <c r="Y8" s="3382" t="s">
        <v>533</v>
      </c>
      <c r="Z8" s="3383"/>
      <c r="AA8" s="1571" t="e">
        <f t="shared" ref="AA8:AA47" si="3">D8/F8</f>
        <v>#DIV/0!</v>
      </c>
      <c r="AB8" s="1571" t="e">
        <f t="shared" ref="AB8:AB47" si="4">D8/H8</f>
        <v>#DIV/0!</v>
      </c>
      <c r="AC8" s="1571"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1" t="s">
        <v>535</v>
      </c>
      <c r="Q9" s="1151" t="str">
        <f t="shared" ref="Q9:Q15" si="6">B9</f>
        <v>用途</v>
      </c>
      <c r="R9" s="1568" t="s">
        <v>8</v>
      </c>
      <c r="S9" s="1569">
        <f t="shared" si="0"/>
        <v>100</v>
      </c>
      <c r="T9" s="1568" t="s">
        <v>8</v>
      </c>
      <c r="U9" s="1569">
        <f t="shared" si="1"/>
        <v>100</v>
      </c>
      <c r="V9" s="1568" t="s">
        <v>8</v>
      </c>
      <c r="W9" s="1569">
        <f t="shared" si="2"/>
        <v>100</v>
      </c>
      <c r="X9" s="1570"/>
      <c r="Y9" s="329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71.25">
      <c r="A15" s="2910" t="s">
        <v>2756</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2" t="str">
        <f t="shared" si="6"/>
        <v>办公集聚程度</v>
      </c>
      <c r="R15" s="1573" t="s">
        <v>8</v>
      </c>
      <c r="S15" s="1574">
        <f t="shared" si="0"/>
        <v>100</v>
      </c>
      <c r="T15" s="1573" t="s">
        <v>8</v>
      </c>
      <c r="U15" s="1574">
        <f t="shared" si="1"/>
        <v>100</v>
      </c>
      <c r="V15" s="1573" t="s">
        <v>8</v>
      </c>
      <c r="W15" s="1574">
        <f t="shared" si="2"/>
        <v>100</v>
      </c>
      <c r="X15" s="1567"/>
      <c r="Y15" s="338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86"/>
      <c r="Q16" s="1572"/>
      <c r="R16" s="1573"/>
      <c r="S16" s="1574"/>
      <c r="T16" s="1573"/>
      <c r="U16" s="1574"/>
      <c r="V16" s="1573"/>
      <c r="W16" s="1574"/>
      <c r="X16" s="1567"/>
      <c r="Y16" s="3386"/>
      <c r="Z16" s="1575"/>
      <c r="AA16" s="1576">
        <v>1</v>
      </c>
      <c r="AB16" s="1576">
        <v>1</v>
      </c>
      <c r="AC16" s="1576">
        <v>1</v>
      </c>
    </row>
    <row r="17" spans="1:29" ht="85.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86"/>
      <c r="Q18" s="1572"/>
      <c r="R18" s="1573"/>
      <c r="S18" s="1574"/>
      <c r="T18" s="1573"/>
      <c r="U18" s="1574"/>
      <c r="V18" s="1573"/>
      <c r="W18" s="1574"/>
      <c r="X18" s="1567"/>
      <c r="Y18" s="3386"/>
      <c r="Z18" s="1575"/>
      <c r="AA18" s="1576">
        <v>1</v>
      </c>
      <c r="AB18" s="1576">
        <v>1</v>
      </c>
      <c r="AC18" s="1576">
        <v>1</v>
      </c>
    </row>
    <row r="19" spans="1:29" ht="42.75">
      <c r="A19" s="532"/>
      <c r="B19" s="2604" t="s">
        <v>2548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86"/>
      <c r="Q20" s="1572"/>
      <c r="R20" s="1573"/>
      <c r="S20" s="1574"/>
      <c r="T20" s="1573"/>
      <c r="U20" s="1574"/>
      <c r="V20" s="1573"/>
      <c r="W20" s="1574"/>
      <c r="X20" s="1567"/>
      <c r="Y20" s="3386"/>
      <c r="Z20" s="1575"/>
      <c r="AA20" s="1576">
        <v>1</v>
      </c>
      <c r="AB20" s="1576">
        <v>1</v>
      </c>
      <c r="AC20" s="1576">
        <v>1</v>
      </c>
    </row>
    <row r="21" spans="1:29" ht="28.5">
      <c r="A21" s="532"/>
      <c r="B21" s="2592" t="s">
        <v>2560</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80" t="str">
        <f>B21</f>
        <v>基础设施水平</v>
      </c>
      <c r="R21" s="1573" t="s">
        <v>8</v>
      </c>
      <c r="S21" s="1574">
        <f>F21</f>
        <v>100</v>
      </c>
      <c r="T21" s="1573" t="s">
        <v>8</v>
      </c>
      <c r="U21" s="1574">
        <f>H21</f>
        <v>100</v>
      </c>
      <c r="V21" s="1573" t="s">
        <v>8</v>
      </c>
      <c r="W21" s="1574">
        <f>J21</f>
        <v>100</v>
      </c>
      <c r="X21" s="2582"/>
      <c r="Y21" s="338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86"/>
      <c r="Q22" s="2580"/>
      <c r="R22" s="1573"/>
      <c r="S22" s="1574"/>
      <c r="T22" s="1573"/>
      <c r="U22" s="1574"/>
      <c r="V22" s="1573"/>
      <c r="W22" s="1574"/>
      <c r="X22" s="2582"/>
      <c r="Y22" s="3386"/>
      <c r="Z22" s="2581"/>
      <c r="AA22" s="1576">
        <v>1</v>
      </c>
      <c r="AB22" s="1576">
        <v>1</v>
      </c>
      <c r="AC22" s="1576">
        <v>1</v>
      </c>
    </row>
    <row r="23" spans="1:29" ht="57">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86"/>
      <c r="Q24" s="1572"/>
      <c r="R24" s="1573"/>
      <c r="S24" s="1574"/>
      <c r="T24" s="1573"/>
      <c r="U24" s="1574"/>
      <c r="V24" s="1573"/>
      <c r="W24" s="1574"/>
      <c r="X24" s="1567"/>
      <c r="Y24" s="338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2" t="str">
        <f>B25</f>
        <v>毗邻道路的类型与等级</v>
      </c>
      <c r="R25" s="1573" t="s">
        <v>8</v>
      </c>
      <c r="S25" s="1574">
        <f>F25</f>
        <v>100</v>
      </c>
      <c r="T25" s="1573" t="s">
        <v>8</v>
      </c>
      <c r="U25" s="1574">
        <f>H25</f>
        <v>100</v>
      </c>
      <c r="V25" s="1573" t="s">
        <v>8</v>
      </c>
      <c r="W25" s="1574">
        <f>J25</f>
        <v>100</v>
      </c>
      <c r="X25" s="1567"/>
      <c r="Y25" s="338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86"/>
      <c r="Q26" s="1572"/>
      <c r="R26" s="1573"/>
      <c r="S26" s="1574"/>
      <c r="T26" s="1573"/>
      <c r="U26" s="1574"/>
      <c r="V26" s="1573"/>
      <c r="W26" s="1574"/>
      <c r="X26" s="1567"/>
      <c r="Y26" s="338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2" t="str">
        <f t="shared" ref="Q27:Q47" si="11">B27</f>
        <v>楼层</v>
      </c>
      <c r="R27" s="1573" t="s">
        <v>8</v>
      </c>
      <c r="S27" s="1574">
        <f>F27</f>
        <v>100</v>
      </c>
      <c r="T27" s="1573" t="s">
        <v>8</v>
      </c>
      <c r="U27" s="1574">
        <f>H27</f>
        <v>100</v>
      </c>
      <c r="V27" s="1573" t="s">
        <v>8</v>
      </c>
      <c r="W27" s="1574">
        <f>J27</f>
        <v>100</v>
      </c>
      <c r="X27" s="1567"/>
      <c r="Y27" s="338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8" t="s">
        <v>8</v>
      </c>
      <c r="S28" s="1569">
        <f>F28</f>
        <v>100</v>
      </c>
      <c r="T28" s="1568" t="s">
        <v>8</v>
      </c>
      <c r="U28" s="1569">
        <f>H28</f>
        <v>100</v>
      </c>
      <c r="V28" s="1568" t="s">
        <v>8</v>
      </c>
      <c r="W28" s="1569">
        <f>J28</f>
        <v>100</v>
      </c>
      <c r="X28" s="1570"/>
      <c r="Y28" s="338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2">
        <f t="shared" si="11"/>
        <v>111</v>
      </c>
      <c r="R29" s="1573" t="s">
        <v>8</v>
      </c>
      <c r="S29" s="1574">
        <f t="shared" ref="S29:S47" si="12">F29</f>
        <v>100</v>
      </c>
      <c r="T29" s="1573" t="s">
        <v>8</v>
      </c>
      <c r="U29" s="1574">
        <f t="shared" ref="U29:U47" si="13">H29</f>
        <v>100</v>
      </c>
      <c r="V29" s="1573" t="s">
        <v>8</v>
      </c>
      <c r="W29" s="1574">
        <f t="shared" ref="W29:W47" si="14">J29</f>
        <v>100</v>
      </c>
      <c r="X29" s="1567"/>
      <c r="Y29" s="338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2">
        <f t="shared" si="11"/>
        <v>111</v>
      </c>
      <c r="R32" s="1573" t="s">
        <v>8</v>
      </c>
      <c r="S32" s="1574">
        <f t="shared" si="12"/>
        <v>100</v>
      </c>
      <c r="T32" s="1573" t="s">
        <v>8</v>
      </c>
      <c r="U32" s="1574">
        <f t="shared" si="13"/>
        <v>100</v>
      </c>
      <c r="V32" s="1573" t="s">
        <v>8</v>
      </c>
      <c r="W32" s="1574">
        <f t="shared" si="14"/>
        <v>100</v>
      </c>
      <c r="X32" s="1567"/>
      <c r="Y32" s="3386"/>
      <c r="Z32" s="1575">
        <f t="shared" si="15"/>
        <v>111</v>
      </c>
      <c r="AA32" s="1576">
        <f t="shared" si="3"/>
        <v>1</v>
      </c>
      <c r="AB32" s="1576">
        <f t="shared" si="4"/>
        <v>1</v>
      </c>
      <c r="AC32" s="1576">
        <f t="shared" si="5"/>
        <v>1</v>
      </c>
    </row>
    <row r="33" spans="1:29" ht="15">
      <c r="A33" s="2908"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550</v>
      </c>
      <c r="Q33" s="1572" t="str">
        <f t="shared" si="11"/>
        <v>建筑类型</v>
      </c>
      <c r="R33" s="1573" t="s">
        <v>8</v>
      </c>
      <c r="S33" s="1574">
        <f t="shared" si="12"/>
        <v>100</v>
      </c>
      <c r="T33" s="1573" t="s">
        <v>8</v>
      </c>
      <c r="U33" s="1574">
        <f t="shared" si="13"/>
        <v>100</v>
      </c>
      <c r="V33" s="1573" t="s">
        <v>8</v>
      </c>
      <c r="W33" s="1574">
        <f t="shared" si="14"/>
        <v>100</v>
      </c>
      <c r="X33" s="1567"/>
      <c r="Y33" s="338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5" t="str">
        <f t="shared" si="11"/>
        <v>项目建筑规模</v>
      </c>
      <c r="R34" s="1577" t="s">
        <v>8</v>
      </c>
      <c r="S34" s="1578" t="e">
        <f t="shared" si="12"/>
        <v>#N/A</v>
      </c>
      <c r="T34" s="1577" t="s">
        <v>8</v>
      </c>
      <c r="U34" s="1578" t="e">
        <f t="shared" si="13"/>
        <v>#N/A</v>
      </c>
      <c r="V34" s="1577" t="s">
        <v>8</v>
      </c>
      <c r="W34" s="1578" t="e">
        <f t="shared" si="14"/>
        <v>#N/A</v>
      </c>
      <c r="X34" s="1579"/>
      <c r="Y34" s="338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2" t="str">
        <f t="shared" si="11"/>
        <v>建筑结构</v>
      </c>
      <c r="R35" s="1573" t="s">
        <v>8</v>
      </c>
      <c r="S35" s="1574">
        <f t="shared" si="12"/>
        <v>100</v>
      </c>
      <c r="T35" s="1573" t="s">
        <v>8</v>
      </c>
      <c r="U35" s="1574">
        <f t="shared" si="13"/>
        <v>100</v>
      </c>
      <c r="V35" s="1573" t="s">
        <v>8</v>
      </c>
      <c r="W35" s="1574">
        <f t="shared" si="14"/>
        <v>100</v>
      </c>
      <c r="X35" s="1567"/>
      <c r="Y35" s="338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2" t="str">
        <f t="shared" si="11"/>
        <v>公共部分装修</v>
      </c>
      <c r="R36" s="1573" t="s">
        <v>8</v>
      </c>
      <c r="S36" s="1574">
        <f t="shared" si="12"/>
        <v>100</v>
      </c>
      <c r="T36" s="1573" t="s">
        <v>8</v>
      </c>
      <c r="U36" s="1574">
        <f t="shared" si="13"/>
        <v>100</v>
      </c>
      <c r="V36" s="1573" t="s">
        <v>8</v>
      </c>
      <c r="W36" s="1574">
        <f t="shared" si="14"/>
        <v>100</v>
      </c>
      <c r="X36" s="1567"/>
      <c r="Y36" s="338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2" t="str">
        <f t="shared" si="11"/>
        <v>成新度</v>
      </c>
      <c r="R37" s="1573" t="s">
        <v>8</v>
      </c>
      <c r="S37" s="1574" t="e">
        <f t="shared" si="12"/>
        <v>#N/A</v>
      </c>
      <c r="T37" s="1573" t="s">
        <v>8</v>
      </c>
      <c r="U37" s="1574" t="e">
        <f t="shared" si="13"/>
        <v>#N/A</v>
      </c>
      <c r="V37" s="1573" t="s">
        <v>8</v>
      </c>
      <c r="W37" s="1574" t="e">
        <f t="shared" si="14"/>
        <v>#N/A</v>
      </c>
      <c r="X37" s="1567"/>
      <c r="Y37" s="338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8" t="s">
        <v>8</v>
      </c>
      <c r="S38" s="1569">
        <f t="shared" si="12"/>
        <v>100</v>
      </c>
      <c r="T38" s="1568" t="s">
        <v>8</v>
      </c>
      <c r="U38" s="1569">
        <f t="shared" si="13"/>
        <v>100</v>
      </c>
      <c r="V38" s="1568" t="s">
        <v>8</v>
      </c>
      <c r="W38" s="1569">
        <f t="shared" si="14"/>
        <v>100</v>
      </c>
      <c r="X38" s="1570"/>
      <c r="Y38" s="338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2" t="str">
        <f t="shared" si="11"/>
        <v>物业管理</v>
      </c>
      <c r="R39" s="1573" t="s">
        <v>8</v>
      </c>
      <c r="S39" s="1574">
        <f t="shared" si="12"/>
        <v>100</v>
      </c>
      <c r="T39" s="1573" t="s">
        <v>8</v>
      </c>
      <c r="U39" s="1574">
        <f t="shared" si="13"/>
        <v>100</v>
      </c>
      <c r="V39" s="1573" t="s">
        <v>8</v>
      </c>
      <c r="W39" s="1574">
        <f t="shared" si="14"/>
        <v>100</v>
      </c>
      <c r="X39" s="1567"/>
      <c r="Y39" s="3388" t="s">
        <v>550</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2" t="str">
        <f t="shared" si="11"/>
        <v>市政基础设施</v>
      </c>
      <c r="R40" s="1573" t="s">
        <v>8</v>
      </c>
      <c r="S40" s="1574">
        <f t="shared" si="12"/>
        <v>100</v>
      </c>
      <c r="T40" s="1573" t="s">
        <v>8</v>
      </c>
      <c r="U40" s="1574">
        <f t="shared" si="13"/>
        <v>100</v>
      </c>
      <c r="V40" s="1573" t="s">
        <v>8</v>
      </c>
      <c r="W40" s="1574">
        <f t="shared" si="14"/>
        <v>100</v>
      </c>
      <c r="X40" s="1567"/>
      <c r="Y40" s="338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2" t="str">
        <f t="shared" si="11"/>
        <v>层高</v>
      </c>
      <c r="R41" s="1573" t="s">
        <v>8</v>
      </c>
      <c r="S41" s="1574">
        <f t="shared" si="12"/>
        <v>100</v>
      </c>
      <c r="T41" s="1573" t="s">
        <v>8</v>
      </c>
      <c r="U41" s="1574">
        <f t="shared" si="13"/>
        <v>100</v>
      </c>
      <c r="V41" s="1573" t="s">
        <v>8</v>
      </c>
      <c r="W41" s="1574">
        <f t="shared" si="14"/>
        <v>100</v>
      </c>
      <c r="X41" s="1567"/>
      <c r="Y41" s="338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5" t="str">
        <f t="shared" si="11"/>
        <v>单套建筑面积</v>
      </c>
      <c r="R42" s="1577" t="s">
        <v>8</v>
      </c>
      <c r="S42" s="1578">
        <f t="shared" si="12"/>
        <v>100</v>
      </c>
      <c r="T42" s="1577" t="s">
        <v>8</v>
      </c>
      <c r="U42" s="1578">
        <f t="shared" si="13"/>
        <v>100</v>
      </c>
      <c r="V42" s="1577" t="s">
        <v>8</v>
      </c>
      <c r="W42" s="1578">
        <f t="shared" si="14"/>
        <v>100</v>
      </c>
      <c r="X42" s="1579"/>
      <c r="Y42" s="338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2" t="str">
        <f t="shared" si="11"/>
        <v>内部装修</v>
      </c>
      <c r="R43" s="1573" t="s">
        <v>8</v>
      </c>
      <c r="S43" s="1574">
        <f t="shared" si="12"/>
        <v>100</v>
      </c>
      <c r="T43" s="1573" t="s">
        <v>8</v>
      </c>
      <c r="U43" s="1574">
        <f t="shared" si="13"/>
        <v>100</v>
      </c>
      <c r="V43" s="1573" t="s">
        <v>8</v>
      </c>
      <c r="W43" s="1574">
        <f t="shared" si="14"/>
        <v>100</v>
      </c>
      <c r="X43" s="1567"/>
      <c r="Y43" s="338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2" t="str">
        <f t="shared" si="11"/>
        <v>内部装修维护情况</v>
      </c>
      <c r="R44" s="1573" t="s">
        <v>8</v>
      </c>
      <c r="S44" s="1574">
        <f t="shared" si="12"/>
        <v>100</v>
      </c>
      <c r="T44" s="1573" t="s">
        <v>8</v>
      </c>
      <c r="U44" s="1574">
        <f t="shared" si="13"/>
        <v>100</v>
      </c>
      <c r="V44" s="1573" t="s">
        <v>8</v>
      </c>
      <c r="W44" s="1574">
        <f t="shared" si="14"/>
        <v>100</v>
      </c>
      <c r="X44" s="1567"/>
      <c r="Y44" s="338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8" t="s">
        <v>8</v>
      </c>
      <c r="S45" s="1569">
        <f t="shared" si="12"/>
        <v>100</v>
      </c>
      <c r="T45" s="1568" t="s">
        <v>8</v>
      </c>
      <c r="U45" s="1569">
        <f t="shared" si="13"/>
        <v>100</v>
      </c>
      <c r="V45" s="1568" t="s">
        <v>8</v>
      </c>
      <c r="W45" s="1569">
        <f t="shared" si="14"/>
        <v>100</v>
      </c>
      <c r="X45" s="1570"/>
      <c r="Y45" s="338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2">
        <f t="shared" si="11"/>
        <v>111</v>
      </c>
      <c r="R46" s="1573" t="s">
        <v>8</v>
      </c>
      <c r="S46" s="1574">
        <f t="shared" si="12"/>
        <v>100</v>
      </c>
      <c r="T46" s="1573" t="s">
        <v>8</v>
      </c>
      <c r="U46" s="1574">
        <f t="shared" si="13"/>
        <v>100</v>
      </c>
      <c r="V46" s="1573" t="s">
        <v>8</v>
      </c>
      <c r="W46" s="1574">
        <f t="shared" si="14"/>
        <v>100</v>
      </c>
      <c r="X46" s="1567"/>
      <c r="Y46" s="338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2">
        <f t="shared" si="11"/>
        <v>111</v>
      </c>
      <c r="R47" s="1573" t="s">
        <v>8</v>
      </c>
      <c r="S47" s="1574">
        <f t="shared" si="12"/>
        <v>100</v>
      </c>
      <c r="T47" s="1573" t="s">
        <v>8</v>
      </c>
      <c r="U47" s="1574">
        <f t="shared" si="13"/>
        <v>100</v>
      </c>
      <c r="V47" s="1573" t="s">
        <v>8</v>
      </c>
      <c r="W47" s="1574">
        <f t="shared" si="14"/>
        <v>100</v>
      </c>
      <c r="X47" s="1567"/>
      <c r="Y47" s="3465"/>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49" t="str">
        <f>A48</f>
        <v>成交单价（元/平方米）</v>
      </c>
      <c r="Q48" s="3351"/>
      <c r="R48" s="3464">
        <f>E48</f>
        <v>0</v>
      </c>
      <c r="S48" s="3464"/>
      <c r="T48" s="3464">
        <f>G48</f>
        <v>0</v>
      </c>
      <c r="U48" s="3464"/>
      <c r="V48" s="3464">
        <f>I48</f>
        <v>0</v>
      </c>
      <c r="W48" s="3464"/>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49" t="str">
        <f>A49</f>
        <v>比较价格（元/平方米）</v>
      </c>
      <c r="Q49" s="3351"/>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9"/>
      <c r="Y49" s="1559"/>
      <c r="Z49" s="1559"/>
      <c r="AA49" s="1559"/>
      <c r="AB49" s="1559"/>
      <c r="AC49" s="1559"/>
    </row>
    <row r="50" spans="1:29" ht="15.75" thickBot="1">
      <c r="A50" s="621" t="s">
        <v>2934</v>
      </c>
      <c r="B50" s="622"/>
      <c r="C50" s="2637" t="e">
        <f>R50</f>
        <v>#DIV/0!</v>
      </c>
      <c r="D50" s="2637"/>
      <c r="E50" s="2637"/>
      <c r="F50" s="2637"/>
      <c r="G50" s="2637"/>
      <c r="H50" s="2637"/>
      <c r="I50" s="2637"/>
      <c r="J50" s="2637"/>
      <c r="K50" s="1613"/>
      <c r="L50" s="2145"/>
      <c r="M50" s="2135"/>
      <c r="N50" s="2135"/>
      <c r="O50" s="2135"/>
      <c r="P50" s="3466" t="str">
        <f>A50</f>
        <v>估价对象XX用房的比较价格（楼面单价，元/平方米）</v>
      </c>
      <c r="Q50" s="3349"/>
      <c r="R50" s="3463" t="e">
        <f>IF(F1="售价",ROUND(AVERAGE(R49:V49),0),ROUND(AVERAGE(R49:V49),1))</f>
        <v>#DIV/0!</v>
      </c>
      <c r="S50" s="3463"/>
      <c r="T50" s="3463"/>
      <c r="U50" s="3463"/>
      <c r="V50" s="3463"/>
      <c r="W50" s="346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7"/>
      <c r="Y4" s="3365" t="s">
        <v>527</v>
      </c>
      <c r="Z4" s="3366"/>
      <c r="AA4" s="3354" t="s">
        <v>523</v>
      </c>
      <c r="AB4" s="3355" t="s">
        <v>524</v>
      </c>
      <c r="AC4" s="3354" t="s">
        <v>525</v>
      </c>
    </row>
    <row r="5" spans="1:29" ht="15">
      <c r="A5" s="515"/>
      <c r="B5" s="516"/>
      <c r="C5" s="3373" t="s">
        <v>2928</v>
      </c>
      <c r="D5" s="3374"/>
      <c r="E5" s="3393" t="s">
        <v>2929</v>
      </c>
      <c r="F5" s="3394"/>
      <c r="G5" s="3373" t="s">
        <v>2930</v>
      </c>
      <c r="H5" s="3374"/>
      <c r="I5" s="3373" t="s">
        <v>2931</v>
      </c>
      <c r="J5" s="3374"/>
      <c r="K5" s="514"/>
      <c r="L5" s="2134"/>
      <c r="M5" s="2135"/>
      <c r="N5" s="2135"/>
      <c r="O5" s="2135"/>
      <c r="P5" s="3361"/>
      <c r="Q5" s="3362"/>
      <c r="R5" s="3367"/>
      <c r="S5" s="3368"/>
      <c r="T5" s="3367"/>
      <c r="U5" s="3368"/>
      <c r="V5" s="3352"/>
      <c r="W5" s="3352"/>
      <c r="X5" s="1567"/>
      <c r="Y5" s="3367"/>
      <c r="Z5" s="3368"/>
      <c r="AA5" s="3355"/>
      <c r="AB5" s="3355"/>
      <c r="AC5" s="3355"/>
    </row>
    <row r="6" spans="1:29" ht="15.75" thickBot="1">
      <c r="A6" s="517"/>
      <c r="B6" s="518"/>
      <c r="C6" s="3371" t="s">
        <v>2932</v>
      </c>
      <c r="D6" s="3372"/>
      <c r="E6" s="3389" t="s">
        <v>2932</v>
      </c>
      <c r="F6" s="3390"/>
      <c r="G6" s="3371" t="s">
        <v>2932</v>
      </c>
      <c r="H6" s="3372"/>
      <c r="I6" s="3371" t="s">
        <v>2932</v>
      </c>
      <c r="J6" s="3372"/>
      <c r="K6" s="514" t="s">
        <v>528</v>
      </c>
      <c r="L6" s="2134"/>
      <c r="M6" s="2135"/>
      <c r="N6" s="2135"/>
      <c r="O6" s="2135"/>
      <c r="P6" s="3363"/>
      <c r="Q6" s="3364"/>
      <c r="R6" s="3367"/>
      <c r="S6" s="3368"/>
      <c r="T6" s="3369"/>
      <c r="U6" s="3370"/>
      <c r="V6" s="3352"/>
      <c r="W6" s="3352"/>
      <c r="X6" s="1567"/>
      <c r="Y6" s="3369"/>
      <c r="Z6" s="3370"/>
      <c r="AA6" s="3356"/>
      <c r="AB6" s="3356"/>
      <c r="AC6" s="3356"/>
    </row>
    <row r="7" spans="1:29" s="1220" customFormat="1" ht="15.75" thickBot="1">
      <c r="A7" s="2912"/>
      <c r="B7" s="2919" t="s">
        <v>529</v>
      </c>
      <c r="C7" s="519">
        <f>'数据-取费表'!B2</f>
        <v>43347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530</v>
      </c>
      <c r="Q7" s="3384"/>
      <c r="R7" s="1568" t="s">
        <v>8</v>
      </c>
      <c r="S7" s="1569">
        <f t="shared" ref="S7:S15" si="0">F7</f>
        <v>0</v>
      </c>
      <c r="T7" s="1568" t="s">
        <v>8</v>
      </c>
      <c r="U7" s="1569">
        <f t="shared" ref="U7:U15" si="1">H7</f>
        <v>0</v>
      </c>
      <c r="V7" s="1568" t="s">
        <v>8</v>
      </c>
      <c r="W7" s="1569">
        <f t="shared" ref="W7:W15"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533</v>
      </c>
      <c r="Q8" s="3383"/>
      <c r="R8" s="1568" t="s">
        <v>8</v>
      </c>
      <c r="S8" s="1569">
        <f t="shared" si="0"/>
        <v>0</v>
      </c>
      <c r="T8" s="1568" t="s">
        <v>8</v>
      </c>
      <c r="U8" s="1569">
        <f t="shared" si="1"/>
        <v>0</v>
      </c>
      <c r="V8" s="1568" t="s">
        <v>8</v>
      </c>
      <c r="W8" s="1569">
        <f t="shared" si="2"/>
        <v>0</v>
      </c>
      <c r="X8" s="1570"/>
      <c r="Y8" s="3382" t="s">
        <v>533</v>
      </c>
      <c r="Z8" s="3383"/>
      <c r="AA8" s="1571" t="e">
        <f t="shared" ref="AA8:AA40" si="3">D8/F8</f>
        <v>#DIV/0!</v>
      </c>
      <c r="AB8" s="1571" t="e">
        <f t="shared" ref="AB8:AB40" si="4">D8/H8</f>
        <v>#DIV/0!</v>
      </c>
      <c r="AC8" s="1571"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1" t="s">
        <v>535</v>
      </c>
      <c r="Q9" s="1151" t="str">
        <f t="shared" ref="Q9:Q15" si="6">B9</f>
        <v>用途</v>
      </c>
      <c r="R9" s="1568" t="s">
        <v>8</v>
      </c>
      <c r="S9" s="1569">
        <f t="shared" si="0"/>
        <v>100</v>
      </c>
      <c r="T9" s="1568" t="s">
        <v>8</v>
      </c>
      <c r="U9" s="1569">
        <f t="shared" si="1"/>
        <v>100</v>
      </c>
      <c r="V9" s="1568" t="s">
        <v>8</v>
      </c>
      <c r="W9" s="1569">
        <f t="shared" si="2"/>
        <v>100</v>
      </c>
      <c r="X9" s="1570"/>
      <c r="Y9" s="3297"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2" t="str">
        <f t="shared" si="6"/>
        <v>产业集聚程度</v>
      </c>
      <c r="R15" s="1573" t="s">
        <v>8</v>
      </c>
      <c r="S15" s="1574">
        <f t="shared" si="0"/>
        <v>100</v>
      </c>
      <c r="T15" s="1573" t="s">
        <v>8</v>
      </c>
      <c r="U15" s="1574">
        <f t="shared" si="1"/>
        <v>100</v>
      </c>
      <c r="V15" s="1573" t="s">
        <v>8</v>
      </c>
      <c r="W15" s="1574">
        <f t="shared" si="2"/>
        <v>100</v>
      </c>
      <c r="X15" s="1567"/>
      <c r="Y15" s="338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80" t="str">
        <f>B21</f>
        <v>基础设施水平</v>
      </c>
      <c r="R21" s="1573" t="s">
        <v>8</v>
      </c>
      <c r="S21" s="1574">
        <f>F21</f>
        <v>100</v>
      </c>
      <c r="T21" s="1573" t="s">
        <v>8</v>
      </c>
      <c r="U21" s="1574">
        <f>H21</f>
        <v>100</v>
      </c>
      <c r="V21" s="1573" t="s">
        <v>8</v>
      </c>
      <c r="W21" s="1574">
        <f>J21</f>
        <v>100</v>
      </c>
      <c r="X21" s="2582"/>
      <c r="Y21" s="338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86"/>
      <c r="Q22" s="2580"/>
      <c r="R22" s="1573"/>
      <c r="S22" s="1574"/>
      <c r="T22" s="1573"/>
      <c r="U22" s="1574"/>
      <c r="V22" s="1573"/>
      <c r="W22" s="1574"/>
      <c r="X22" s="2582"/>
      <c r="Y22" s="3386"/>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2">
        <f>B25</f>
        <v>111</v>
      </c>
      <c r="R25" s="1573" t="s">
        <v>8</v>
      </c>
      <c r="S25" s="1574">
        <f>F25</f>
        <v>100</v>
      </c>
      <c r="T25" s="1573" t="s">
        <v>8</v>
      </c>
      <c r="U25" s="1574">
        <f>H25</f>
        <v>100</v>
      </c>
      <c r="V25" s="1573" t="s">
        <v>8</v>
      </c>
      <c r="W25" s="1574">
        <f>J25</f>
        <v>100</v>
      </c>
      <c r="X25" s="1567"/>
      <c r="Y25" s="338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2">
        <f t="shared" ref="Q26:Q40" si="11">B26</f>
        <v>111</v>
      </c>
      <c r="R26" s="1573" t="s">
        <v>8</v>
      </c>
      <c r="S26" s="1574">
        <f>F26</f>
        <v>100</v>
      </c>
      <c r="T26" s="1573" t="s">
        <v>8</v>
      </c>
      <c r="U26" s="1574">
        <f>H26</f>
        <v>100</v>
      </c>
      <c r="V26" s="1573" t="s">
        <v>8</v>
      </c>
      <c r="W26" s="1574">
        <f>J26</f>
        <v>100</v>
      </c>
      <c r="X26" s="1567"/>
      <c r="Y26" s="338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8" t="s">
        <v>8</v>
      </c>
      <c r="S27" s="1569">
        <f>F27</f>
        <v>100</v>
      </c>
      <c r="T27" s="1568" t="s">
        <v>8</v>
      </c>
      <c r="U27" s="1569">
        <f>H27</f>
        <v>100</v>
      </c>
      <c r="V27" s="1568" t="s">
        <v>8</v>
      </c>
      <c r="W27" s="1569">
        <f>J27</f>
        <v>100</v>
      </c>
      <c r="X27" s="1570"/>
      <c r="Y27" s="338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2">
        <f t="shared" si="11"/>
        <v>111</v>
      </c>
      <c r="R28" s="1573" t="s">
        <v>8</v>
      </c>
      <c r="S28" s="1574">
        <f t="shared" ref="S28:S40" si="12">F28</f>
        <v>100</v>
      </c>
      <c r="T28" s="1573" t="s">
        <v>8</v>
      </c>
      <c r="U28" s="1574">
        <f t="shared" ref="U28:U40" si="13">H28</f>
        <v>100</v>
      </c>
      <c r="V28" s="1573" t="s">
        <v>8</v>
      </c>
      <c r="W28" s="1574">
        <f t="shared" ref="W28:W40" si="14">J28</f>
        <v>100</v>
      </c>
      <c r="X28" s="1567"/>
      <c r="Y28" s="3386"/>
      <c r="Z28" s="1575">
        <f t="shared" ref="Z28:Z40" si="15">Q28</f>
        <v>111</v>
      </c>
      <c r="AA28" s="1576">
        <f t="shared" si="3"/>
        <v>1</v>
      </c>
      <c r="AB28" s="1576">
        <f t="shared" si="4"/>
        <v>1</v>
      </c>
      <c r="AC28" s="1576">
        <f t="shared" si="5"/>
        <v>1</v>
      </c>
    </row>
    <row r="29" spans="1:29" ht="15">
      <c r="A29" s="2908"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550</v>
      </c>
      <c r="Q29" s="1572" t="str">
        <f t="shared" si="11"/>
        <v>建筑类型</v>
      </c>
      <c r="R29" s="1573" t="s">
        <v>8</v>
      </c>
      <c r="S29" s="1574">
        <f t="shared" si="12"/>
        <v>100</v>
      </c>
      <c r="T29" s="1573" t="s">
        <v>8</v>
      </c>
      <c r="U29" s="1574">
        <f t="shared" si="13"/>
        <v>100</v>
      </c>
      <c r="V29" s="1573" t="s">
        <v>8</v>
      </c>
      <c r="W29" s="1574">
        <f t="shared" si="14"/>
        <v>100</v>
      </c>
      <c r="X29" s="1567"/>
      <c r="Y29" s="338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5" t="str">
        <f t="shared" si="11"/>
        <v>项目建筑规模</v>
      </c>
      <c r="R30" s="1577" t="s">
        <v>8</v>
      </c>
      <c r="S30" s="1578" t="e">
        <f t="shared" si="12"/>
        <v>#N/A</v>
      </c>
      <c r="T30" s="1577" t="s">
        <v>8</v>
      </c>
      <c r="U30" s="1578" t="e">
        <f t="shared" si="13"/>
        <v>#N/A</v>
      </c>
      <c r="V30" s="1577" t="s">
        <v>8</v>
      </c>
      <c r="W30" s="1578" t="e">
        <f t="shared" si="14"/>
        <v>#N/A</v>
      </c>
      <c r="X30" s="1579"/>
      <c r="Y30" s="338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2" t="str">
        <f t="shared" si="11"/>
        <v>建筑结构</v>
      </c>
      <c r="R31" s="1573" t="s">
        <v>8</v>
      </c>
      <c r="S31" s="1574">
        <f t="shared" si="12"/>
        <v>100</v>
      </c>
      <c r="T31" s="1573" t="s">
        <v>8</v>
      </c>
      <c r="U31" s="1574">
        <f t="shared" si="13"/>
        <v>100</v>
      </c>
      <c r="V31" s="1573" t="s">
        <v>8</v>
      </c>
      <c r="W31" s="1574">
        <f t="shared" si="14"/>
        <v>100</v>
      </c>
      <c r="X31" s="1567"/>
      <c r="Y31" s="338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2" t="str">
        <f t="shared" si="11"/>
        <v>公共部分装修</v>
      </c>
      <c r="R32" s="1573" t="s">
        <v>8</v>
      </c>
      <c r="S32" s="1574">
        <f t="shared" si="12"/>
        <v>100</v>
      </c>
      <c r="T32" s="1573" t="s">
        <v>8</v>
      </c>
      <c r="U32" s="1574">
        <f t="shared" si="13"/>
        <v>100</v>
      </c>
      <c r="V32" s="1573" t="s">
        <v>8</v>
      </c>
      <c r="W32" s="1574">
        <f t="shared" si="14"/>
        <v>100</v>
      </c>
      <c r="X32" s="1567"/>
      <c r="Y32" s="338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2" t="str">
        <f t="shared" si="11"/>
        <v>成新度</v>
      </c>
      <c r="R33" s="1573" t="s">
        <v>8</v>
      </c>
      <c r="S33" s="1574" t="e">
        <f t="shared" si="12"/>
        <v>#N/A</v>
      </c>
      <c r="T33" s="1573" t="s">
        <v>8</v>
      </c>
      <c r="U33" s="1574" t="e">
        <f t="shared" si="13"/>
        <v>#N/A</v>
      </c>
      <c r="V33" s="1573" t="s">
        <v>8</v>
      </c>
      <c r="W33" s="1574" t="e">
        <f t="shared" si="14"/>
        <v>#N/A</v>
      </c>
      <c r="X33" s="1567"/>
      <c r="Y33" s="338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8" t="s">
        <v>8</v>
      </c>
      <c r="S34" s="1569">
        <f t="shared" si="12"/>
        <v>100</v>
      </c>
      <c r="T34" s="1568" t="s">
        <v>8</v>
      </c>
      <c r="U34" s="1569">
        <f t="shared" si="13"/>
        <v>100</v>
      </c>
      <c r="V34" s="1568" t="s">
        <v>8</v>
      </c>
      <c r="W34" s="1569">
        <f t="shared" si="14"/>
        <v>100</v>
      </c>
      <c r="X34" s="1570"/>
      <c r="Y34" s="3388"/>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2" t="str">
        <f t="shared" si="11"/>
        <v>市政基础设施</v>
      </c>
      <c r="R35" s="1573" t="s">
        <v>8</v>
      </c>
      <c r="S35" s="1574">
        <f t="shared" si="12"/>
        <v>100</v>
      </c>
      <c r="T35" s="1573" t="s">
        <v>8</v>
      </c>
      <c r="U35" s="1574">
        <f t="shared" si="13"/>
        <v>100</v>
      </c>
      <c r="V35" s="1573" t="s">
        <v>8</v>
      </c>
      <c r="W35" s="1574">
        <f t="shared" si="14"/>
        <v>100</v>
      </c>
      <c r="X35" s="1567"/>
      <c r="Y35" s="338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2" t="str">
        <f t="shared" si="11"/>
        <v>内部装修</v>
      </c>
      <c r="R36" s="1573" t="s">
        <v>8</v>
      </c>
      <c r="S36" s="1574">
        <f t="shared" si="12"/>
        <v>100</v>
      </c>
      <c r="T36" s="1573" t="s">
        <v>8</v>
      </c>
      <c r="U36" s="1574">
        <f t="shared" si="13"/>
        <v>100</v>
      </c>
      <c r="V36" s="1573" t="s">
        <v>8</v>
      </c>
      <c r="W36" s="1574">
        <f t="shared" si="14"/>
        <v>100</v>
      </c>
      <c r="X36" s="1567"/>
      <c r="Y36" s="338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2" t="str">
        <f t="shared" si="11"/>
        <v>内部装修状况</v>
      </c>
      <c r="R37" s="1573" t="s">
        <v>8</v>
      </c>
      <c r="S37" s="1574">
        <f t="shared" si="12"/>
        <v>100</v>
      </c>
      <c r="T37" s="1573" t="s">
        <v>8</v>
      </c>
      <c r="U37" s="1574">
        <f t="shared" si="13"/>
        <v>100</v>
      </c>
      <c r="V37" s="1573" t="s">
        <v>8</v>
      </c>
      <c r="W37" s="1574">
        <f t="shared" si="14"/>
        <v>100</v>
      </c>
      <c r="X37" s="1567"/>
      <c r="Y37" s="338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5">
        <f t="shared" si="11"/>
        <v>111</v>
      </c>
      <c r="R38" s="1577" t="s">
        <v>8</v>
      </c>
      <c r="S38" s="1578">
        <f t="shared" si="12"/>
        <v>100</v>
      </c>
      <c r="T38" s="1577" t="s">
        <v>8</v>
      </c>
      <c r="U38" s="1578">
        <f t="shared" si="13"/>
        <v>100</v>
      </c>
      <c r="V38" s="1577" t="s">
        <v>8</v>
      </c>
      <c r="W38" s="1578">
        <f t="shared" si="14"/>
        <v>100</v>
      </c>
      <c r="X38" s="1579"/>
      <c r="Y38" s="338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2">
        <f t="shared" si="11"/>
        <v>111</v>
      </c>
      <c r="R39" s="1573" t="s">
        <v>8</v>
      </c>
      <c r="S39" s="1574">
        <f t="shared" si="12"/>
        <v>100</v>
      </c>
      <c r="T39" s="1573" t="s">
        <v>8</v>
      </c>
      <c r="U39" s="1574">
        <f t="shared" si="13"/>
        <v>100</v>
      </c>
      <c r="V39" s="1573" t="s">
        <v>8</v>
      </c>
      <c r="W39" s="1574">
        <f t="shared" si="14"/>
        <v>100</v>
      </c>
      <c r="X39" s="1567"/>
      <c r="Y39" s="338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2">
        <f t="shared" si="11"/>
        <v>111</v>
      </c>
      <c r="R40" s="1573" t="s">
        <v>8</v>
      </c>
      <c r="S40" s="1574">
        <f t="shared" si="12"/>
        <v>100</v>
      </c>
      <c r="T40" s="1573" t="s">
        <v>8</v>
      </c>
      <c r="U40" s="1574">
        <f t="shared" si="13"/>
        <v>100</v>
      </c>
      <c r="V40" s="1573" t="s">
        <v>8</v>
      </c>
      <c r="W40" s="1574">
        <f t="shared" si="14"/>
        <v>100</v>
      </c>
      <c r="X40" s="1567"/>
      <c r="Y40" s="3465"/>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51" t="str">
        <f>A41</f>
        <v>成交单价（元/平方米）</v>
      </c>
      <c r="Q41" s="3351"/>
      <c r="R41" s="3464">
        <f>E41</f>
        <v>0</v>
      </c>
      <c r="S41" s="3464"/>
      <c r="T41" s="3464">
        <f>G41</f>
        <v>0</v>
      </c>
      <c r="U41" s="3464"/>
      <c r="V41" s="3464">
        <f>I41</f>
        <v>0</v>
      </c>
      <c r="W41" s="3464"/>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51" t="str">
        <f>A42</f>
        <v>比较价格（元/平方米）</v>
      </c>
      <c r="Q42" s="3351"/>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9"/>
      <c r="Y42" s="1559"/>
      <c r="Z42" s="1559"/>
      <c r="AA42" s="1559"/>
      <c r="AB42" s="1559"/>
      <c r="AC42" s="1559"/>
    </row>
    <row r="43" spans="1:29" ht="15.75" thickBot="1">
      <c r="A43" s="621" t="s">
        <v>2934</v>
      </c>
      <c r="B43" s="622"/>
      <c r="C43" s="2637" t="e">
        <f>R43</f>
        <v>#DIV/0!</v>
      </c>
      <c r="D43" s="2637"/>
      <c r="E43" s="2637"/>
      <c r="F43" s="2637"/>
      <c r="G43" s="2637"/>
      <c r="H43" s="2637"/>
      <c r="I43" s="2637"/>
      <c r="J43" s="2637"/>
      <c r="K43" s="1613"/>
      <c r="L43" s="2145"/>
      <c r="M43" s="2146"/>
      <c r="N43" s="2146"/>
      <c r="O43" s="2146"/>
      <c r="P43" s="3348" t="str">
        <f>A43</f>
        <v>估价对象XX用房的比较价格（楼面单价，元/平方米）</v>
      </c>
      <c r="Q43" s="3349"/>
      <c r="R43" s="3463" t="e">
        <f>IF(F1="售价",ROUND(AVERAGE(R42:V42),0),ROUND(AVERAGE(R42:V42),1))</f>
        <v>#DIV/0!</v>
      </c>
      <c r="S43" s="3463"/>
      <c r="T43" s="3463"/>
      <c r="U43" s="3463"/>
      <c r="V43" s="3463"/>
      <c r="W43" s="346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7" t="s">
        <v>798</v>
      </c>
      <c r="D4" s="3358"/>
      <c r="E4" s="3357" t="s">
        <v>799</v>
      </c>
      <c r="F4" s="3358"/>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7"/>
      <c r="Y4" s="3365" t="s">
        <v>803</v>
      </c>
      <c r="Z4" s="3366"/>
      <c r="AA4" s="3354" t="s">
        <v>799</v>
      </c>
      <c r="AB4" s="3355" t="s">
        <v>800</v>
      </c>
      <c r="AC4" s="3354" t="s">
        <v>801</v>
      </c>
    </row>
    <row r="5" spans="1:29" ht="15">
      <c r="A5" s="515"/>
      <c r="B5" s="516"/>
      <c r="C5" s="3373" t="s">
        <v>2928</v>
      </c>
      <c r="D5" s="3374"/>
      <c r="E5" s="3373" t="s">
        <v>2929</v>
      </c>
      <c r="F5" s="3374"/>
      <c r="G5" s="3373" t="s">
        <v>2930</v>
      </c>
      <c r="H5" s="3374"/>
      <c r="I5" s="3373" t="s">
        <v>2931</v>
      </c>
      <c r="J5" s="3374"/>
      <c r="K5" s="514"/>
      <c r="L5" s="2134"/>
      <c r="M5" s="2135"/>
      <c r="N5" s="2135"/>
      <c r="O5" s="2135"/>
      <c r="P5" s="3361"/>
      <c r="Q5" s="3362"/>
      <c r="R5" s="3367"/>
      <c r="S5" s="3368"/>
      <c r="T5" s="3367"/>
      <c r="U5" s="3368"/>
      <c r="V5" s="3352"/>
      <c r="W5" s="3352"/>
      <c r="X5" s="1567"/>
      <c r="Y5" s="3367"/>
      <c r="Z5" s="3368"/>
      <c r="AA5" s="3355"/>
      <c r="AB5" s="3355"/>
      <c r="AC5" s="3355"/>
    </row>
    <row r="6" spans="1:29" ht="15.75" thickBot="1">
      <c r="A6" s="517"/>
      <c r="B6" s="518"/>
      <c r="C6" s="3371" t="s">
        <v>2932</v>
      </c>
      <c r="D6" s="3372"/>
      <c r="E6" s="3375" t="s">
        <v>2932</v>
      </c>
      <c r="F6" s="3376"/>
      <c r="G6" s="3371" t="s">
        <v>2932</v>
      </c>
      <c r="H6" s="3372"/>
      <c r="I6" s="3371" t="s">
        <v>2932</v>
      </c>
      <c r="J6" s="3372"/>
      <c r="K6" s="514" t="s">
        <v>528</v>
      </c>
      <c r="L6" s="2134"/>
      <c r="M6" s="2135"/>
      <c r="N6" s="2135"/>
      <c r="O6" s="2135"/>
      <c r="P6" s="3363"/>
      <c r="Q6" s="3364"/>
      <c r="R6" s="3367"/>
      <c r="S6" s="3368"/>
      <c r="T6" s="3369"/>
      <c r="U6" s="3370"/>
      <c r="V6" s="3352"/>
      <c r="W6" s="3352"/>
      <c r="X6" s="1567"/>
      <c r="Y6" s="3369"/>
      <c r="Z6" s="3370"/>
      <c r="AA6" s="3356"/>
      <c r="AB6" s="3356"/>
      <c r="AC6" s="3356"/>
    </row>
    <row r="7" spans="1:29" s="1220" customFormat="1" ht="15.75" thickBot="1">
      <c r="A7" s="2912"/>
      <c r="B7" s="2919" t="s">
        <v>529</v>
      </c>
      <c r="C7" s="519">
        <f>'数据-取费表'!B2</f>
        <v>43347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530</v>
      </c>
      <c r="Q7" s="3384"/>
      <c r="R7" s="1568" t="s">
        <v>8</v>
      </c>
      <c r="S7" s="1569">
        <f t="shared" ref="S7:S14" si="0">F7</f>
        <v>0</v>
      </c>
      <c r="T7" s="1568" t="s">
        <v>8</v>
      </c>
      <c r="U7" s="1569">
        <f t="shared" ref="U7:U14" si="1">H7</f>
        <v>0</v>
      </c>
      <c r="V7" s="1568" t="s">
        <v>8</v>
      </c>
      <c r="W7" s="1569">
        <f t="shared" ref="W7:W14"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533</v>
      </c>
      <c r="Q8" s="3383"/>
      <c r="R8" s="1568" t="s">
        <v>8</v>
      </c>
      <c r="S8" s="1569">
        <f t="shared" si="0"/>
        <v>0</v>
      </c>
      <c r="T8" s="1568" t="s">
        <v>8</v>
      </c>
      <c r="U8" s="1569">
        <f t="shared" si="1"/>
        <v>0</v>
      </c>
      <c r="V8" s="1568" t="s">
        <v>8</v>
      </c>
      <c r="W8" s="1569">
        <f t="shared" si="2"/>
        <v>0</v>
      </c>
      <c r="X8" s="1570"/>
      <c r="Y8" s="3382" t="s">
        <v>533</v>
      </c>
      <c r="Z8" s="3383"/>
      <c r="AA8" s="1571" t="e">
        <f t="shared" ref="AA8:AA36" si="3">D8/F8</f>
        <v>#DIV/0!</v>
      </c>
      <c r="AB8" s="1571" t="e">
        <f t="shared" ref="AB8:AB36" si="4">D8/H8</f>
        <v>#DIV/0!</v>
      </c>
      <c r="AC8" s="1571"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1" t="s">
        <v>535</v>
      </c>
      <c r="Q9" s="1151" t="str">
        <f t="shared" ref="Q9:Q14" si="6">B9</f>
        <v>用途</v>
      </c>
      <c r="R9" s="1568" t="s">
        <v>8</v>
      </c>
      <c r="S9" s="1569">
        <f t="shared" si="0"/>
        <v>100</v>
      </c>
      <c r="T9" s="1568" t="s">
        <v>8</v>
      </c>
      <c r="U9" s="1569">
        <f t="shared" si="1"/>
        <v>100</v>
      </c>
      <c r="V9" s="1568" t="s">
        <v>8</v>
      </c>
      <c r="W9" s="1569">
        <f t="shared" si="2"/>
        <v>100</v>
      </c>
      <c r="X9" s="1570"/>
      <c r="Y9" s="3297"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1"/>
      <c r="Q11" s="1151">
        <f t="shared" si="6"/>
        <v>111</v>
      </c>
      <c r="R11" s="1568" t="s">
        <v>8</v>
      </c>
      <c r="S11" s="1569">
        <f t="shared" si="0"/>
        <v>100</v>
      </c>
      <c r="T11" s="1568" t="s">
        <v>8</v>
      </c>
      <c r="U11" s="1569">
        <f t="shared" si="1"/>
        <v>100</v>
      </c>
      <c r="V11" s="1568" t="s">
        <v>8</v>
      </c>
      <c r="W11" s="1569">
        <f t="shared" si="2"/>
        <v>100</v>
      </c>
      <c r="X11" s="1570"/>
      <c r="Y11" s="3297"/>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85.5">
      <c r="A14" s="2910" t="s">
        <v>2756</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2" t="str">
        <f t="shared" si="6"/>
        <v>交通便捷度</v>
      </c>
      <c r="R14" s="1573" t="s">
        <v>8</v>
      </c>
      <c r="S14" s="1574">
        <f t="shared" si="0"/>
        <v>100</v>
      </c>
      <c r="T14" s="1573" t="s">
        <v>8</v>
      </c>
      <c r="U14" s="1574">
        <f t="shared" si="1"/>
        <v>100</v>
      </c>
      <c r="V14" s="1573" t="s">
        <v>8</v>
      </c>
      <c r="W14" s="1574">
        <f t="shared" si="2"/>
        <v>100</v>
      </c>
      <c r="X14" s="1567"/>
      <c r="Y14" s="338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86"/>
      <c r="Q15" s="1572"/>
      <c r="R15" s="1573"/>
      <c r="S15" s="1574"/>
      <c r="T15" s="1573"/>
      <c r="U15" s="1574"/>
      <c r="V15" s="1573"/>
      <c r="W15" s="1574"/>
      <c r="X15" s="1567"/>
      <c r="Y15" s="3386"/>
      <c r="Z15" s="1575"/>
      <c r="AA15" s="1576">
        <v>1</v>
      </c>
      <c r="AB15" s="1576">
        <v>1</v>
      </c>
      <c r="AC15" s="1576">
        <v>1</v>
      </c>
    </row>
    <row r="16" spans="1:29" ht="42.75">
      <c r="A16" s="515"/>
      <c r="B16" s="2604" t="s">
        <v>2548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86"/>
      <c r="Q17" s="1572"/>
      <c r="R17" s="1573"/>
      <c r="S17" s="1574"/>
      <c r="T17" s="1573"/>
      <c r="U17" s="1574"/>
      <c r="V17" s="1573"/>
      <c r="W17" s="1574"/>
      <c r="X17" s="1567"/>
      <c r="Y17" s="3386"/>
      <c r="Z17" s="1575"/>
      <c r="AA17" s="1576">
        <v>1</v>
      </c>
      <c r="AB17" s="1576">
        <v>1</v>
      </c>
      <c r="AC17" s="1576">
        <v>1</v>
      </c>
    </row>
    <row r="18" spans="1:29" ht="28.5">
      <c r="A18" s="515"/>
      <c r="B18" s="2592" t="s">
        <v>2560</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80" t="str">
        <f>B18</f>
        <v>基础设施水平</v>
      </c>
      <c r="R18" s="1573" t="s">
        <v>8</v>
      </c>
      <c r="S18" s="1574">
        <f>F18</f>
        <v>100</v>
      </c>
      <c r="T18" s="1573" t="s">
        <v>8</v>
      </c>
      <c r="U18" s="1574">
        <f>H18</f>
        <v>100</v>
      </c>
      <c r="V18" s="1573" t="s">
        <v>8</v>
      </c>
      <c r="W18" s="1574">
        <f>J18</f>
        <v>100</v>
      </c>
      <c r="X18" s="2582"/>
      <c r="Y18" s="338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86"/>
      <c r="Q19" s="2580"/>
      <c r="R19" s="1573"/>
      <c r="S19" s="1574"/>
      <c r="T19" s="1573"/>
      <c r="U19" s="1574"/>
      <c r="V19" s="1573"/>
      <c r="W19" s="1574"/>
      <c r="X19" s="2582"/>
      <c r="Y19" s="3386"/>
      <c r="Z19" s="2581"/>
      <c r="AA19" s="1576">
        <v>1</v>
      </c>
      <c r="AB19" s="1576">
        <v>1</v>
      </c>
      <c r="AC19" s="1576">
        <v>1</v>
      </c>
    </row>
    <row r="20" spans="1:29" ht="57">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86"/>
      <c r="Q21" s="1572"/>
      <c r="R21" s="1573"/>
      <c r="S21" s="1574"/>
      <c r="T21" s="1573"/>
      <c r="U21" s="1574"/>
      <c r="V21" s="1573"/>
      <c r="W21" s="1574"/>
      <c r="X21" s="1567"/>
      <c r="Y21" s="338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2">
        <f t="shared" ref="Q24:Q36"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8" t="s">
        <v>8</v>
      </c>
      <c r="S25" s="1569">
        <f>F25</f>
        <v>100</v>
      </c>
      <c r="T25" s="1568" t="s">
        <v>8</v>
      </c>
      <c r="U25" s="1569">
        <f>H25</f>
        <v>100</v>
      </c>
      <c r="V25" s="1568" t="s">
        <v>8</v>
      </c>
      <c r="W25" s="1569">
        <f>J25</f>
        <v>100</v>
      </c>
      <c r="X25" s="1570"/>
      <c r="Y25" s="3386"/>
      <c r="Z25" s="1150">
        <f>Q25</f>
        <v>111</v>
      </c>
      <c r="AA25" s="1576">
        <f>D25/F25</f>
        <v>1</v>
      </c>
      <c r="AB25" s="1576">
        <f>D25/H25</f>
        <v>1</v>
      </c>
      <c r="AC25" s="1576">
        <f>D25/J25</f>
        <v>1</v>
      </c>
    </row>
    <row r="26" spans="1:29" ht="15">
      <c r="A26" s="2908"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5" t="str">
        <f t="shared" si="11"/>
        <v>项目停车位配比</v>
      </c>
      <c r="R27" s="1577" t="s">
        <v>8</v>
      </c>
      <c r="S27" s="1578">
        <f t="shared" si="12"/>
        <v>100</v>
      </c>
      <c r="T27" s="1577" t="s">
        <v>8</v>
      </c>
      <c r="U27" s="1578">
        <f t="shared" si="13"/>
        <v>100</v>
      </c>
      <c r="V27" s="1577" t="s">
        <v>8</v>
      </c>
      <c r="W27" s="1578">
        <f t="shared" si="14"/>
        <v>100</v>
      </c>
      <c r="X27" s="1579"/>
      <c r="Y27" s="338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2" t="str">
        <f t="shared" si="11"/>
        <v>公共部分装修</v>
      </c>
      <c r="R28" s="1573" t="s">
        <v>8</v>
      </c>
      <c r="S28" s="1574">
        <f t="shared" si="12"/>
        <v>100</v>
      </c>
      <c r="T28" s="1573" t="s">
        <v>8</v>
      </c>
      <c r="U28" s="1574">
        <f t="shared" si="13"/>
        <v>100</v>
      </c>
      <c r="V28" s="1573" t="s">
        <v>8</v>
      </c>
      <c r="W28" s="1574">
        <f t="shared" si="14"/>
        <v>100</v>
      </c>
      <c r="X28" s="1567"/>
      <c r="Y28" s="338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2" t="str">
        <f t="shared" si="11"/>
        <v>成新率</v>
      </c>
      <c r="R29" s="1573" t="s">
        <v>8</v>
      </c>
      <c r="S29" s="1574" t="e">
        <f t="shared" si="12"/>
        <v>#N/A</v>
      </c>
      <c r="T29" s="1573" t="s">
        <v>8</v>
      </c>
      <c r="U29" s="1574" t="e">
        <f t="shared" si="13"/>
        <v>#N/A</v>
      </c>
      <c r="V29" s="1573" t="s">
        <v>8</v>
      </c>
      <c r="W29" s="1574" t="e">
        <f t="shared" si="14"/>
        <v>#N/A</v>
      </c>
      <c r="X29" s="1567"/>
      <c r="Y29" s="338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2" t="str">
        <f t="shared" si="11"/>
        <v>物业等级</v>
      </c>
      <c r="R30" s="1573" t="s">
        <v>8</v>
      </c>
      <c r="S30" s="1574">
        <f t="shared" si="12"/>
        <v>100</v>
      </c>
      <c r="T30" s="1573" t="s">
        <v>8</v>
      </c>
      <c r="U30" s="1574">
        <f t="shared" si="13"/>
        <v>100</v>
      </c>
      <c r="V30" s="1573" t="s">
        <v>8</v>
      </c>
      <c r="W30" s="1574">
        <f t="shared" si="14"/>
        <v>100</v>
      </c>
      <c r="X30" s="1567"/>
      <c r="Y30" s="338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8" t="s">
        <v>8</v>
      </c>
      <c r="S31" s="1569" t="e">
        <f t="shared" si="12"/>
        <v>#N/A</v>
      </c>
      <c r="T31" s="1568" t="s">
        <v>8</v>
      </c>
      <c r="U31" s="1569" t="e">
        <f t="shared" si="13"/>
        <v>#N/A</v>
      </c>
      <c r="V31" s="1568" t="s">
        <v>8</v>
      </c>
      <c r="W31" s="1569" t="e">
        <f t="shared" si="14"/>
        <v>#N/A</v>
      </c>
      <c r="X31" s="1570"/>
      <c r="Y31" s="338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2" t="str">
        <f t="shared" si="11"/>
        <v>车位类型</v>
      </c>
      <c r="R32" s="1573" t="s">
        <v>8</v>
      </c>
      <c r="S32" s="1574">
        <f t="shared" si="12"/>
        <v>100</v>
      </c>
      <c r="T32" s="1573" t="s">
        <v>8</v>
      </c>
      <c r="U32" s="1574">
        <f t="shared" si="13"/>
        <v>100</v>
      </c>
      <c r="V32" s="1573" t="s">
        <v>8</v>
      </c>
      <c r="W32" s="1574">
        <f t="shared" si="14"/>
        <v>100</v>
      </c>
      <c r="X32" s="1567"/>
      <c r="Y32" s="338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2" t="str">
        <f t="shared" si="11"/>
        <v>是否直接入户</v>
      </c>
      <c r="R33" s="1573" t="s">
        <v>8</v>
      </c>
      <c r="S33" s="1574">
        <f t="shared" si="12"/>
        <v>100</v>
      </c>
      <c r="T33" s="1573" t="s">
        <v>8</v>
      </c>
      <c r="U33" s="1574">
        <f t="shared" si="13"/>
        <v>100</v>
      </c>
      <c r="V33" s="1573" t="s">
        <v>8</v>
      </c>
      <c r="W33" s="1574">
        <f t="shared" si="14"/>
        <v>100</v>
      </c>
      <c r="X33" s="1567"/>
      <c r="Y33" s="338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5">
        <f t="shared" si="11"/>
        <v>111</v>
      </c>
      <c r="R35" s="1577" t="s">
        <v>8</v>
      </c>
      <c r="S35" s="1578">
        <f t="shared" si="12"/>
        <v>100</v>
      </c>
      <c r="T35" s="1577" t="s">
        <v>8</v>
      </c>
      <c r="U35" s="1578">
        <f t="shared" si="13"/>
        <v>100</v>
      </c>
      <c r="V35" s="1577" t="s">
        <v>8</v>
      </c>
      <c r="W35" s="1578">
        <f t="shared" si="14"/>
        <v>100</v>
      </c>
      <c r="X35" s="1579"/>
      <c r="Y35" s="338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2">
        <f t="shared" si="11"/>
        <v>111</v>
      </c>
      <c r="R36" s="1573" t="s">
        <v>8</v>
      </c>
      <c r="S36" s="1574">
        <f t="shared" si="12"/>
        <v>100</v>
      </c>
      <c r="T36" s="1573" t="s">
        <v>8</v>
      </c>
      <c r="U36" s="1574">
        <f t="shared" si="13"/>
        <v>100</v>
      </c>
      <c r="V36" s="1573" t="s">
        <v>8</v>
      </c>
      <c r="W36" s="1574">
        <f t="shared" si="14"/>
        <v>100</v>
      </c>
      <c r="X36" s="1567"/>
      <c r="Y36" s="3388"/>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51" t="str">
        <f>A37</f>
        <v>成交单价</v>
      </c>
      <c r="Q37" s="3351"/>
      <c r="R37" s="3464">
        <f>E37</f>
        <v>0</v>
      </c>
      <c r="S37" s="3464"/>
      <c r="T37" s="3464">
        <f>G37</f>
        <v>0</v>
      </c>
      <c r="U37" s="3464"/>
      <c r="V37" s="3464">
        <f>I37</f>
        <v>0</v>
      </c>
      <c r="W37" s="3464"/>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351" t="str">
        <f>A38</f>
        <v>比较价格（元/平方米）</v>
      </c>
      <c r="Q38" s="3351"/>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59"/>
      <c r="Y38" s="1559"/>
      <c r="Z38" s="1559"/>
      <c r="AA38" s="1559"/>
      <c r="AB38" s="1559"/>
      <c r="AC38" s="1559"/>
    </row>
    <row r="39" spans="1:29" ht="15.75" thickBot="1">
      <c r="A39" s="621" t="s">
        <v>2934</v>
      </c>
      <c r="B39" s="622"/>
      <c r="C39" s="2637" t="e">
        <f>R39</f>
        <v>#DIV/0!</v>
      </c>
      <c r="D39" s="2637"/>
      <c r="E39" s="2637"/>
      <c r="F39" s="2637"/>
      <c r="G39" s="2637"/>
      <c r="H39" s="2637"/>
      <c r="I39" s="2637"/>
      <c r="J39" s="2637"/>
      <c r="K39" s="1613"/>
      <c r="L39" s="2145"/>
      <c r="M39" s="2146"/>
      <c r="N39" s="2146"/>
      <c r="O39" s="2146"/>
      <c r="P39" s="3348" t="str">
        <f>A39</f>
        <v>估价对象XX用房的比较价格（楼面单价，元/平方米）</v>
      </c>
      <c r="Q39" s="3349"/>
      <c r="R39" s="3463" t="e">
        <f>IF(F1="售价",ROUND(AVERAGE(R38:V38),0),ROUND(AVERAGE(R38:V38),1))</f>
        <v>#DIV/0!</v>
      </c>
      <c r="S39" s="3463"/>
      <c r="T39" s="3463"/>
      <c r="U39" s="3463"/>
      <c r="V39" s="3463"/>
      <c r="W39" s="346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7" t="s">
        <v>798</v>
      </c>
      <c r="D4" s="3358"/>
      <c r="E4" s="3391" t="s">
        <v>799</v>
      </c>
      <c r="F4" s="3392"/>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7"/>
      <c r="Y4" s="3365" t="s">
        <v>803</v>
      </c>
      <c r="Z4" s="3366"/>
      <c r="AA4" s="3354" t="s">
        <v>799</v>
      </c>
      <c r="AB4" s="3355" t="s">
        <v>800</v>
      </c>
      <c r="AC4" s="3354" t="s">
        <v>801</v>
      </c>
    </row>
    <row r="5" spans="1:29" ht="15">
      <c r="A5" s="515"/>
      <c r="B5" s="516"/>
      <c r="C5" s="3373" t="s">
        <v>2928</v>
      </c>
      <c r="D5" s="3374"/>
      <c r="E5" s="3393" t="s">
        <v>2929</v>
      </c>
      <c r="F5" s="3394"/>
      <c r="G5" s="3373" t="s">
        <v>2930</v>
      </c>
      <c r="H5" s="3374"/>
      <c r="I5" s="3373" t="s">
        <v>2931</v>
      </c>
      <c r="J5" s="3374"/>
      <c r="K5" s="514"/>
      <c r="L5" s="2134"/>
      <c r="M5" s="2135"/>
      <c r="N5" s="2135"/>
      <c r="O5" s="2135"/>
      <c r="P5" s="3361"/>
      <c r="Q5" s="3362"/>
      <c r="R5" s="3367"/>
      <c r="S5" s="3368"/>
      <c r="T5" s="3367"/>
      <c r="U5" s="3368"/>
      <c r="V5" s="3352"/>
      <c r="W5" s="3352"/>
      <c r="X5" s="1567"/>
      <c r="Y5" s="3367"/>
      <c r="Z5" s="3368"/>
      <c r="AA5" s="3355"/>
      <c r="AB5" s="3355"/>
      <c r="AC5" s="3355"/>
    </row>
    <row r="6" spans="1:29" ht="15.75" thickBot="1">
      <c r="A6" s="517"/>
      <c r="B6" s="518"/>
      <c r="C6" s="3371" t="s">
        <v>2932</v>
      </c>
      <c r="D6" s="3372"/>
      <c r="E6" s="3389" t="s">
        <v>2932</v>
      </c>
      <c r="F6" s="3390"/>
      <c r="G6" s="3371" t="s">
        <v>2932</v>
      </c>
      <c r="H6" s="3372"/>
      <c r="I6" s="3371" t="s">
        <v>2932</v>
      </c>
      <c r="J6" s="3372"/>
      <c r="K6" s="514" t="s">
        <v>528</v>
      </c>
      <c r="L6" s="2134"/>
      <c r="M6" s="2135"/>
      <c r="N6" s="2135"/>
      <c r="O6" s="2135"/>
      <c r="P6" s="3363"/>
      <c r="Q6" s="3364"/>
      <c r="R6" s="3367"/>
      <c r="S6" s="3368"/>
      <c r="T6" s="3369"/>
      <c r="U6" s="3370"/>
      <c r="V6" s="3352"/>
      <c r="W6" s="3352"/>
      <c r="X6" s="1567"/>
      <c r="Y6" s="3369"/>
      <c r="Z6" s="3370"/>
      <c r="AA6" s="3356"/>
      <c r="AB6" s="3356"/>
      <c r="AC6" s="3356"/>
    </row>
    <row r="7" spans="1:29" s="1220" customFormat="1" ht="15.75" thickBot="1">
      <c r="A7" s="2912"/>
      <c r="B7" s="2919" t="s">
        <v>529</v>
      </c>
      <c r="C7" s="519">
        <f>'数据-取费表'!B2</f>
        <v>43347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530</v>
      </c>
      <c r="Q7" s="3384"/>
      <c r="R7" s="1568" t="s">
        <v>8</v>
      </c>
      <c r="S7" s="1569">
        <f t="shared" ref="S7:S14" si="0">F7</f>
        <v>0</v>
      </c>
      <c r="T7" s="1568" t="s">
        <v>8</v>
      </c>
      <c r="U7" s="1569">
        <f t="shared" ref="U7:U14" si="1">H7</f>
        <v>0</v>
      </c>
      <c r="V7" s="1568" t="s">
        <v>8</v>
      </c>
      <c r="W7" s="1569">
        <f t="shared" ref="W7:W14" si="2">J7</f>
        <v>0</v>
      </c>
      <c r="X7" s="1570"/>
      <c r="Y7" s="3382" t="s">
        <v>530</v>
      </c>
      <c r="Z7" s="3383"/>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533</v>
      </c>
      <c r="Q8" s="3383"/>
      <c r="R8" s="1568" t="s">
        <v>8</v>
      </c>
      <c r="S8" s="1569">
        <f t="shared" si="0"/>
        <v>0</v>
      </c>
      <c r="T8" s="1568" t="s">
        <v>8</v>
      </c>
      <c r="U8" s="1569">
        <f t="shared" si="1"/>
        <v>0</v>
      </c>
      <c r="V8" s="1568" t="s">
        <v>8</v>
      </c>
      <c r="W8" s="1569">
        <f t="shared" si="2"/>
        <v>0</v>
      </c>
      <c r="X8" s="1570"/>
      <c r="Y8" s="3382" t="s">
        <v>533</v>
      </c>
      <c r="Z8" s="3383"/>
      <c r="AA8" s="1571" t="e">
        <f t="shared" ref="AA8:AA34" si="3">D8/F8</f>
        <v>#DIV/0!</v>
      </c>
      <c r="AB8" s="1571" t="e">
        <f t="shared" ref="AB8:AB34" si="4">D8/H8</f>
        <v>#DIV/0!</v>
      </c>
      <c r="AC8" s="1571"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1" t="s">
        <v>535</v>
      </c>
      <c r="Q9" s="1151" t="str">
        <f t="shared" ref="Q9:Q14" si="6">B9</f>
        <v>用途</v>
      </c>
      <c r="R9" s="1568" t="s">
        <v>8</v>
      </c>
      <c r="S9" s="1569">
        <f t="shared" si="0"/>
        <v>100</v>
      </c>
      <c r="T9" s="1568" t="s">
        <v>8</v>
      </c>
      <c r="U9" s="1569">
        <f t="shared" si="1"/>
        <v>100</v>
      </c>
      <c r="V9" s="1568" t="s">
        <v>8</v>
      </c>
      <c r="W9" s="1569">
        <f t="shared" si="2"/>
        <v>100</v>
      </c>
      <c r="X9" s="1570"/>
      <c r="Y9" s="3297"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1"/>
      <c r="Q11" s="1151">
        <f t="shared" si="6"/>
        <v>111</v>
      </c>
      <c r="R11" s="1568" t="s">
        <v>8</v>
      </c>
      <c r="S11" s="1569">
        <f t="shared" si="0"/>
        <v>100</v>
      </c>
      <c r="T11" s="1568" t="s">
        <v>8</v>
      </c>
      <c r="U11" s="1569">
        <f t="shared" si="1"/>
        <v>100</v>
      </c>
      <c r="V11" s="1568" t="s">
        <v>8</v>
      </c>
      <c r="W11" s="1569">
        <f t="shared" si="2"/>
        <v>100</v>
      </c>
      <c r="X11" s="1570"/>
      <c r="Y11" s="3297"/>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85.5">
      <c r="A14" s="2910" t="s">
        <v>2756</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2" t="str">
        <f t="shared" si="6"/>
        <v>交通便捷度</v>
      </c>
      <c r="R14" s="1573" t="s">
        <v>8</v>
      </c>
      <c r="S14" s="1574">
        <f t="shared" si="0"/>
        <v>100</v>
      </c>
      <c r="T14" s="1573" t="s">
        <v>8</v>
      </c>
      <c r="U14" s="1574">
        <f t="shared" si="1"/>
        <v>100</v>
      </c>
      <c r="V14" s="1573" t="s">
        <v>8</v>
      </c>
      <c r="W14" s="1574">
        <f t="shared" si="2"/>
        <v>100</v>
      </c>
      <c r="X14" s="1567"/>
      <c r="Y14" s="338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86"/>
      <c r="Q15" s="1572"/>
      <c r="R15" s="1573"/>
      <c r="S15" s="1574"/>
      <c r="T15" s="1573"/>
      <c r="U15" s="1574"/>
      <c r="V15" s="1573"/>
      <c r="W15" s="1574"/>
      <c r="X15" s="1567"/>
      <c r="Y15" s="3386"/>
      <c r="Z15" s="1575"/>
      <c r="AA15" s="1576">
        <v>1</v>
      </c>
      <c r="AB15" s="1576">
        <v>1</v>
      </c>
      <c r="AC15" s="1576">
        <v>1</v>
      </c>
    </row>
    <row r="16" spans="1:29" ht="42.75">
      <c r="A16" s="532"/>
      <c r="B16" s="2604" t="s">
        <v>2548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86"/>
      <c r="Q17" s="1572"/>
      <c r="R17" s="1573"/>
      <c r="S17" s="1574"/>
      <c r="T17" s="1573"/>
      <c r="U17" s="1574"/>
      <c r="V17" s="1573"/>
      <c r="W17" s="1574"/>
      <c r="X17" s="1567"/>
      <c r="Y17" s="3386"/>
      <c r="Z17" s="1575"/>
      <c r="AA17" s="1576">
        <v>1</v>
      </c>
      <c r="AB17" s="1576">
        <v>1</v>
      </c>
      <c r="AC17" s="1576">
        <v>1</v>
      </c>
    </row>
    <row r="18" spans="1:29" ht="28.5">
      <c r="A18" s="532"/>
      <c r="B18" s="2592" t="s">
        <v>2560</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80" t="str">
        <f>B18</f>
        <v>基础设施水平</v>
      </c>
      <c r="R18" s="1573" t="s">
        <v>8</v>
      </c>
      <c r="S18" s="1574">
        <f>F18</f>
        <v>100</v>
      </c>
      <c r="T18" s="1573" t="s">
        <v>8</v>
      </c>
      <c r="U18" s="1574">
        <f>H18</f>
        <v>100</v>
      </c>
      <c r="V18" s="1573" t="s">
        <v>8</v>
      </c>
      <c r="W18" s="1574">
        <f>J18</f>
        <v>100</v>
      </c>
      <c r="X18" s="2582"/>
      <c r="Y18" s="338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86"/>
      <c r="Q19" s="2580"/>
      <c r="R19" s="1573"/>
      <c r="S19" s="1574"/>
      <c r="T19" s="1573"/>
      <c r="U19" s="1574"/>
      <c r="V19" s="1573"/>
      <c r="W19" s="1574"/>
      <c r="X19" s="2582"/>
      <c r="Y19" s="3386"/>
      <c r="Z19" s="2581"/>
      <c r="AA19" s="1576">
        <v>1</v>
      </c>
      <c r="AB19" s="1576">
        <v>1</v>
      </c>
      <c r="AC19" s="1576">
        <v>1</v>
      </c>
    </row>
    <row r="20" spans="1:29" ht="57">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86"/>
      <c r="Q21" s="1572"/>
      <c r="R21" s="1573"/>
      <c r="S21" s="1574"/>
      <c r="T21" s="1573"/>
      <c r="U21" s="1574"/>
      <c r="V21" s="1573"/>
      <c r="W21" s="1574"/>
      <c r="X21" s="1567"/>
      <c r="Y21" s="338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2">
        <f t="shared" ref="Q24:Q34"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8" t="s">
        <v>8</v>
      </c>
      <c r="S25" s="1569">
        <f>F25</f>
        <v>100</v>
      </c>
      <c r="T25" s="1568" t="s">
        <v>8</v>
      </c>
      <c r="U25" s="1569">
        <f>H25</f>
        <v>100</v>
      </c>
      <c r="V25" s="1568" t="s">
        <v>8</v>
      </c>
      <c r="W25" s="1569">
        <f>J25</f>
        <v>100</v>
      </c>
      <c r="X25" s="1570"/>
      <c r="Y25" s="3386"/>
      <c r="Z25" s="1150">
        <f>Q25</f>
        <v>111</v>
      </c>
      <c r="AA25" s="1576">
        <f>D25/F25</f>
        <v>1</v>
      </c>
      <c r="AB25" s="1576">
        <f>D25/H25</f>
        <v>1</v>
      </c>
      <c r="AC25" s="1576">
        <f>D25/J25</f>
        <v>1</v>
      </c>
    </row>
    <row r="26" spans="1:29" ht="15">
      <c r="A26" s="2908"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5" t="str">
        <f t="shared" si="11"/>
        <v>成新率</v>
      </c>
      <c r="R27" s="1577" t="s">
        <v>8</v>
      </c>
      <c r="S27" s="1578" t="e">
        <f t="shared" si="12"/>
        <v>#N/A</v>
      </c>
      <c r="T27" s="1577" t="s">
        <v>8</v>
      </c>
      <c r="U27" s="1578" t="e">
        <f t="shared" si="13"/>
        <v>#N/A</v>
      </c>
      <c r="V27" s="1577" t="s">
        <v>8</v>
      </c>
      <c r="W27" s="1578" t="e">
        <f t="shared" si="14"/>
        <v>#N/A</v>
      </c>
      <c r="X27" s="1579"/>
      <c r="Y27" s="338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2" t="str">
        <f t="shared" si="11"/>
        <v>物业等级</v>
      </c>
      <c r="R28" s="1573" t="s">
        <v>8</v>
      </c>
      <c r="S28" s="1574">
        <f t="shared" si="12"/>
        <v>100</v>
      </c>
      <c r="T28" s="1573" t="s">
        <v>8</v>
      </c>
      <c r="U28" s="1574">
        <f t="shared" si="13"/>
        <v>100</v>
      </c>
      <c r="V28" s="1573" t="s">
        <v>8</v>
      </c>
      <c r="W28" s="1574">
        <f t="shared" si="14"/>
        <v>100</v>
      </c>
      <c r="X28" s="1567"/>
      <c r="Y28" s="338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2" t="str">
        <f t="shared" si="11"/>
        <v>有无电梯</v>
      </c>
      <c r="R29" s="1573" t="s">
        <v>8</v>
      </c>
      <c r="S29" s="1574">
        <f t="shared" si="12"/>
        <v>100</v>
      </c>
      <c r="T29" s="1573" t="s">
        <v>8</v>
      </c>
      <c r="U29" s="1574">
        <f t="shared" si="13"/>
        <v>100</v>
      </c>
      <c r="V29" s="1573" t="s">
        <v>8</v>
      </c>
      <c r="W29" s="1574">
        <f t="shared" si="14"/>
        <v>100</v>
      </c>
      <c r="X29" s="1567"/>
      <c r="Y29" s="338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2" t="str">
        <f t="shared" si="11"/>
        <v>建筑面积</v>
      </c>
      <c r="R30" s="1573" t="s">
        <v>8</v>
      </c>
      <c r="S30" s="1574" t="e">
        <f t="shared" si="12"/>
        <v>#N/A</v>
      </c>
      <c r="T30" s="1573" t="s">
        <v>8</v>
      </c>
      <c r="U30" s="1574" t="e">
        <f t="shared" si="13"/>
        <v>#N/A</v>
      </c>
      <c r="V30" s="1573" t="s">
        <v>8</v>
      </c>
      <c r="W30" s="1574" t="e">
        <f t="shared" si="14"/>
        <v>#N/A</v>
      </c>
      <c r="X30" s="1567"/>
      <c r="Y30" s="338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8" t="s">
        <v>8</v>
      </c>
      <c r="S31" s="1569">
        <f t="shared" si="12"/>
        <v>100</v>
      </c>
      <c r="T31" s="1568" t="s">
        <v>8</v>
      </c>
      <c r="U31" s="1569">
        <f t="shared" si="13"/>
        <v>100</v>
      </c>
      <c r="V31" s="1568" t="s">
        <v>8</v>
      </c>
      <c r="W31" s="1569">
        <f t="shared" si="14"/>
        <v>100</v>
      </c>
      <c r="X31" s="1570"/>
      <c r="Y31" s="338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2">
        <f t="shared" si="11"/>
        <v>111</v>
      </c>
      <c r="R32" s="1573" t="s">
        <v>8</v>
      </c>
      <c r="S32" s="1574">
        <f t="shared" si="12"/>
        <v>100</v>
      </c>
      <c r="T32" s="1573" t="s">
        <v>8</v>
      </c>
      <c r="U32" s="1574">
        <f t="shared" si="13"/>
        <v>100</v>
      </c>
      <c r="V32" s="1573" t="s">
        <v>8</v>
      </c>
      <c r="W32" s="1574">
        <f t="shared" si="14"/>
        <v>100</v>
      </c>
      <c r="X32" s="1567"/>
      <c r="Y32" s="338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2">
        <f t="shared" si="11"/>
        <v>111</v>
      </c>
      <c r="R33" s="1573" t="s">
        <v>8</v>
      </c>
      <c r="S33" s="1574">
        <f t="shared" si="12"/>
        <v>100</v>
      </c>
      <c r="T33" s="1573" t="s">
        <v>8</v>
      </c>
      <c r="U33" s="1574">
        <f t="shared" si="13"/>
        <v>100</v>
      </c>
      <c r="V33" s="1573" t="s">
        <v>8</v>
      </c>
      <c r="W33" s="1574">
        <f t="shared" si="14"/>
        <v>100</v>
      </c>
      <c r="X33" s="1567"/>
      <c r="Y33" s="338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51" t="str">
        <f>A35</f>
        <v>成交单价（元/平方米）</v>
      </c>
      <c r="Q35" s="3351"/>
      <c r="R35" s="3464">
        <f>E35</f>
        <v>0</v>
      </c>
      <c r="S35" s="3464"/>
      <c r="T35" s="3464">
        <f>G35</f>
        <v>0</v>
      </c>
      <c r="U35" s="3464"/>
      <c r="V35" s="3464">
        <f>I35</f>
        <v>0</v>
      </c>
      <c r="W35" s="3464"/>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51" t="str">
        <f>A36</f>
        <v>比较价格（元/平方米）</v>
      </c>
      <c r="Q36" s="3351"/>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9"/>
      <c r="Y36" s="1559"/>
      <c r="Z36" s="1559"/>
      <c r="AA36" s="1559"/>
      <c r="AB36" s="1559"/>
      <c r="AC36" s="1559"/>
    </row>
    <row r="37" spans="1:29" ht="15.75" thickBot="1">
      <c r="A37" s="621" t="s">
        <v>2934</v>
      </c>
      <c r="B37" s="622"/>
      <c r="C37" s="2637" t="e">
        <f>R37</f>
        <v>#DIV/0!</v>
      </c>
      <c r="D37" s="2637"/>
      <c r="E37" s="2637"/>
      <c r="F37" s="2637"/>
      <c r="G37" s="2637"/>
      <c r="H37" s="2637"/>
      <c r="I37" s="2637"/>
      <c r="J37" s="2637"/>
      <c r="K37" s="1613"/>
      <c r="L37" s="2145"/>
      <c r="M37" s="2146"/>
      <c r="N37" s="2146"/>
      <c r="O37" s="2146"/>
      <c r="P37" s="3348" t="str">
        <f>A37</f>
        <v>估价对象XX用房的比较价格（楼面单价，元/平方米）</v>
      </c>
      <c r="Q37" s="3349"/>
      <c r="R37" s="3463" t="e">
        <f>IF(F1="售价",ROUND(AVERAGE(R36:V36),0),ROUND(AVERAGE(R36:V36),1))</f>
        <v>#DIV/0!</v>
      </c>
      <c r="S37" s="3463"/>
      <c r="T37" s="3463"/>
      <c r="U37" s="3463"/>
      <c r="V37" s="3463"/>
      <c r="W37" s="346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473" t="s">
        <v>2306</v>
      </c>
      <c r="D1" s="3474"/>
      <c r="E1" s="3474"/>
      <c r="F1" s="3474"/>
      <c r="G1" s="3474"/>
      <c r="H1" s="3474"/>
      <c r="I1" s="3474"/>
      <c r="J1" s="3474"/>
      <c r="K1" s="3474"/>
      <c r="L1" s="3474"/>
      <c r="M1" s="3474"/>
      <c r="N1" s="3474"/>
      <c r="O1" s="3474"/>
      <c r="P1" s="3474"/>
      <c r="Q1" s="3474"/>
      <c r="R1" s="3474"/>
      <c r="S1" s="347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受贵公司委托，我公司对北京市出让国有建设用地使用权抵押价格进行了预评估。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75237.13平方米。根据《建设工程规划许可证》[]、《出让合同》[]，估价对象规划建筑面积为265820.24平方米。</v>
      </c>
    </row>
    <row r="7" spans="1:4" ht="93.75">
      <c r="A7" s="2874" t="s">
        <v>2750</v>
      </c>
    </row>
    <row r="8" spans="1:4" ht="18.75">
      <c r="A8" s="1795" t="s">
        <v>1907</v>
      </c>
    </row>
    <row r="9" spans="1:4" ht="37.5">
      <c r="A9" s="179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2018年9月4日（评估专业人员勘察现场之日）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根据《国有土地使用证》[]，估价对象（分摊）出让国有建设用地使用权面积为75237.13平方米。根据《建设工程规划许可证》[]、《出让合同》[]，估价对象规划建筑面积为265820.24平方米。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150">
      <c r="A25" s="1792" t="str">
        <f>定义!C53</f>
        <v>本次估价的“出让国有建设用地使用权价格”是指在估价对象土地所有权为国家所有，使用权性质为出让，在公开市场条件下、于估价期日2018年9月4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43347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3008</v>
      </c>
      <c r="D1" s="3124" t="s">
        <v>3293</v>
      </c>
      <c r="E1" s="2388" t="s">
        <v>2376</v>
      </c>
      <c r="F1" s="2389">
        <f ca="1">J53</f>
        <v>46.74</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9176</v>
      </c>
      <c r="C2" s="2058"/>
      <c r="D2" s="2056"/>
      <c r="E2" s="2057"/>
      <c r="F2" s="2057"/>
      <c r="G2" s="1590"/>
      <c r="H2" s="2058"/>
      <c r="I2" s="2058"/>
      <c r="J2" s="2058"/>
      <c r="K2" s="2059"/>
      <c r="L2" s="2058"/>
      <c r="M2" s="2058"/>
    </row>
    <row r="3" spans="1:33" ht="18" customHeight="1" thickBot="1">
      <c r="A3" s="833" t="s">
        <v>1728</v>
      </c>
      <c r="B3" s="834">
        <f ca="1">IF(ISERROR(B2*10000/F43),0,ROUND(B2*10000/F43,0))</f>
        <v>2135</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1730</v>
      </c>
      <c r="J4" s="778" t="s">
        <v>1735</v>
      </c>
      <c r="K4" s="778" t="s">
        <v>1736</v>
      </c>
      <c r="L4" s="779" t="s">
        <v>1732</v>
      </c>
      <c r="M4" s="780"/>
    </row>
    <row r="5" spans="1:33" ht="18" customHeight="1">
      <c r="A5" s="781">
        <v>1</v>
      </c>
      <c r="B5" s="782" t="s">
        <v>2460</v>
      </c>
      <c r="C5" s="55">
        <f ca="1">C6+C10+C12</f>
        <v>795</v>
      </c>
      <c r="D5" s="2497" t="s">
        <v>2463</v>
      </c>
      <c r="E5" s="2491"/>
      <c r="F5" s="2492"/>
      <c r="G5" s="1592"/>
      <c r="H5" s="781">
        <v>1</v>
      </c>
      <c r="I5" s="782" t="s">
        <v>2460</v>
      </c>
      <c r="J5" s="55">
        <f ca="1">J6+J10+J12</f>
        <v>0</v>
      </c>
      <c r="K5" s="2497" t="s">
        <v>2463</v>
      </c>
      <c r="L5" s="2491"/>
      <c r="M5" s="2492"/>
    </row>
    <row r="6" spans="1:33" ht="18" customHeight="1">
      <c r="A6" s="1831" t="s">
        <v>1825</v>
      </c>
      <c r="B6" s="3424" t="s">
        <v>2465</v>
      </c>
      <c r="C6" s="783">
        <f ca="1">ROUND(F6*F8*F7*(1-F9)/10000,0)</f>
        <v>795</v>
      </c>
      <c r="D6" s="2498" t="s">
        <v>2464</v>
      </c>
      <c r="E6" s="784" t="s">
        <v>1739</v>
      </c>
      <c r="F6" s="785">
        <f ca="1">INDIRECT("'数据-取费表'!u"&amp;$G$1)</f>
        <v>600</v>
      </c>
      <c r="G6" s="1592"/>
      <c r="H6" s="2505" t="s">
        <v>1825</v>
      </c>
      <c r="I6" s="3424" t="s">
        <v>2465</v>
      </c>
      <c r="J6" s="783">
        <f ca="1">ROUND(M6*M8*M7*(1-M9)/10000,0)</f>
        <v>0</v>
      </c>
      <c r="K6" s="341" t="s">
        <v>1738</v>
      </c>
      <c r="L6" s="784" t="s">
        <v>1739</v>
      </c>
      <c r="M6" s="785">
        <f ca="1">INDIRECT("'数据-取费表'!z"&amp;$G$1)</f>
        <v>0</v>
      </c>
    </row>
    <row r="7" spans="1:33" ht="18" customHeight="1">
      <c r="A7" s="2501"/>
      <c r="B7" s="3425"/>
      <c r="C7" s="788"/>
      <c r="D7" s="789"/>
      <c r="E7" s="784" t="s">
        <v>1740</v>
      </c>
      <c r="F7" s="785">
        <f ca="1">IF(INDIRECT("'数据-取费表'!ah"&amp;$G$1)="",INDIRECT("'数据-取费表'!k"&amp;$G$1),INDIRECT("'数据-取费表'!ah"&amp;$G$1))</f>
        <v>1227</v>
      </c>
      <c r="G7" s="1592"/>
      <c r="H7" s="2490"/>
      <c r="I7" s="3425"/>
      <c r="J7" s="788"/>
      <c r="K7" s="789"/>
      <c r="L7" s="784" t="s">
        <v>1740</v>
      </c>
      <c r="M7" s="785">
        <f ca="1">F7</f>
        <v>1227</v>
      </c>
    </row>
    <row r="8" spans="1:33" ht="18" customHeight="1">
      <c r="A8" s="2494"/>
      <c r="B8" s="3426"/>
      <c r="C8" s="788"/>
      <c r="D8" s="789"/>
      <c r="E8" s="784" t="s">
        <v>1741</v>
      </c>
      <c r="F8" s="785">
        <f ca="1">INDIRECT("'数据-取费表'!ai"&amp;$G$1)</f>
        <v>12</v>
      </c>
      <c r="G8" s="1592"/>
      <c r="H8" s="2490"/>
      <c r="I8" s="3426"/>
      <c r="J8" s="788"/>
      <c r="K8" s="789"/>
      <c r="L8" s="784" t="s">
        <v>1741</v>
      </c>
      <c r="M8" s="785">
        <f ca="1">INDIRECT("'数据-取费表'!ai"&amp;$G$1)</f>
        <v>12</v>
      </c>
    </row>
    <row r="9" spans="1:33" ht="18" customHeight="1">
      <c r="A9" s="786"/>
      <c r="B9" s="3427"/>
      <c r="C9" s="788"/>
      <c r="D9" s="789"/>
      <c r="E9" s="784" t="s">
        <v>1742</v>
      </c>
      <c r="F9" s="794">
        <f ca="1">INDIRECT("'数据-取费表'!w"&amp;$G$1)</f>
        <v>0.1</v>
      </c>
      <c r="G9" s="1592"/>
      <c r="H9" s="2506"/>
      <c r="I9" s="3426"/>
      <c r="J9" s="788"/>
      <c r="K9" s="789"/>
      <c r="L9" s="795" t="s">
        <v>1742</v>
      </c>
      <c r="M9" s="796">
        <f ca="1">INDIRECT("'数据-取费表'!ab"&amp;$G$1)</f>
        <v>0</v>
      </c>
    </row>
    <row r="10" spans="1:33" ht="18" customHeight="1">
      <c r="A10" s="1831" t="s">
        <v>1826</v>
      </c>
      <c r="B10" s="2495" t="s">
        <v>2461</v>
      </c>
      <c r="C10" s="799">
        <f ca="1">ROUND(IF(F10="押一",C6/12*F11,IF(F10="押二",C6/12*2*F11,IF(F10="押三",C6/12*3*F11,C11*F11))),0)</f>
        <v>0</v>
      </c>
      <c r="D10" s="2502" t="s">
        <v>2975</v>
      </c>
      <c r="E10" s="2499" t="s">
        <v>2466</v>
      </c>
      <c r="F10" s="2622" t="s">
        <v>3303</v>
      </c>
      <c r="G10" s="1592"/>
      <c r="H10" s="2562" t="s">
        <v>1826</v>
      </c>
      <c r="I10" s="2567" t="s">
        <v>2461</v>
      </c>
      <c r="J10" s="783">
        <f ca="1">ROUND(IF(M10="押一",J6/12*M11,IF(M10="押二",J6/12*2*M11,IF(M10="押三",J6/12*3*M11,J11*M11))),0)</f>
        <v>0</v>
      </c>
      <c r="K10" s="2502" t="s">
        <v>2975</v>
      </c>
      <c r="L10" s="2499" t="s">
        <v>2466</v>
      </c>
      <c r="M10" s="2622"/>
    </row>
    <row r="11" spans="1:33" ht="18" customHeight="1">
      <c r="A11" s="790"/>
      <c r="B11" s="2496" t="s">
        <v>2575</v>
      </c>
      <c r="C11" s="2500"/>
      <c r="D11" s="789"/>
      <c r="E11" s="2499" t="s">
        <v>2458</v>
      </c>
      <c r="F11" s="796">
        <f ca="1">'数据-取费表'!B39</f>
        <v>1.4999999999999999E-2</v>
      </c>
      <c r="G11" s="1592"/>
      <c r="H11" s="2563"/>
      <c r="I11" s="2496" t="s">
        <v>2575</v>
      </c>
      <c r="J11" s="2500"/>
      <c r="K11" s="2564"/>
      <c r="L11" s="2499" t="s">
        <v>2458</v>
      </c>
      <c r="M11" s="2493">
        <f ca="1">'数据-取费表'!B39</f>
        <v>1.4999999999999999E-2</v>
      </c>
    </row>
    <row r="12" spans="1:33" ht="18" customHeight="1" thickBot="1">
      <c r="A12" s="2538" t="s">
        <v>2469</v>
      </c>
      <c r="B12" s="2539" t="s">
        <v>2462</v>
      </c>
      <c r="C12" s="2540"/>
      <c r="D12" s="2541"/>
      <c r="E12" s="2542"/>
      <c r="F12" s="2543"/>
      <c r="G12" s="1592"/>
      <c r="H12" s="2552" t="s">
        <v>2469</v>
      </c>
      <c r="I12" s="2565" t="s">
        <v>2462</v>
      </c>
      <c r="J12" s="2566"/>
      <c r="K12" s="2541"/>
      <c r="L12" s="2542"/>
      <c r="M12" s="2555"/>
    </row>
    <row r="13" spans="1:33" ht="18" customHeight="1" thickTop="1">
      <c r="A13" s="1830">
        <v>2</v>
      </c>
      <c r="B13" s="1828" t="s">
        <v>1743</v>
      </c>
      <c r="C13" s="792">
        <f ca="1">ROUND(C29*F13,0)</f>
        <v>16788</v>
      </c>
      <c r="D13" s="1835" t="s">
        <v>2299</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1832</v>
      </c>
      <c r="B14" s="784" t="s">
        <v>645</v>
      </c>
      <c r="C14" s="804">
        <f ca="1">INDIRECT("'数据-取费表'!m"&amp;$G$1)+INDIRECT("'数据-取费表'!t"&amp;$G$1)</f>
        <v>12338</v>
      </c>
      <c r="D14" s="3178" t="s">
        <v>1746</v>
      </c>
      <c r="E14" s="3179"/>
      <c r="F14" s="805"/>
      <c r="G14" s="1592"/>
      <c r="H14" s="1649" t="s">
        <v>1825</v>
      </c>
      <c r="I14" s="2232" t="s">
        <v>2827</v>
      </c>
      <c r="J14" s="53">
        <f ca="1">C29</f>
        <v>16788</v>
      </c>
      <c r="K14" s="26"/>
      <c r="L14" s="801"/>
      <c r="M14" s="802"/>
    </row>
    <row r="15" spans="1:33" s="2065" customFormat="1" ht="18" customHeight="1" thickBot="1">
      <c r="A15" s="1648" t="s">
        <v>1833</v>
      </c>
      <c r="B15" s="784" t="s">
        <v>647</v>
      </c>
      <c r="C15" s="53">
        <f ca="1">ROUND(C14*F15,0)</f>
        <v>370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1664</v>
      </c>
      <c r="K16" s="1822" t="s">
        <v>1751</v>
      </c>
      <c r="L16" s="3180"/>
      <c r="M16" s="2492"/>
    </row>
    <row r="17" spans="1:33" s="2065" customFormat="1" ht="18" customHeight="1">
      <c r="A17" s="1648" t="s">
        <v>1888</v>
      </c>
      <c r="B17" s="784" t="s">
        <v>653</v>
      </c>
      <c r="C17" s="53">
        <f ca="1">ROUND(F17*(F43+INDIRECT("'数据-取费表'!S"&amp;$G$1))/10000,0)</f>
        <v>987</v>
      </c>
      <c r="D17" s="784" t="s">
        <v>1752</v>
      </c>
      <c r="E17" s="784" t="s">
        <v>1753</v>
      </c>
      <c r="F17" s="56">
        <f>'数据-取费表'!B35</f>
        <v>200</v>
      </c>
      <c r="G17" s="1593"/>
      <c r="H17" s="1649" t="s">
        <v>1825</v>
      </c>
      <c r="I17" s="784" t="s">
        <v>656</v>
      </c>
      <c r="J17" s="53">
        <f ca="1">ROUND(IF(项目基本情况!B11="自然人",J5*M17,J18+J19+J20),0)</f>
        <v>1412</v>
      </c>
      <c r="K17" s="3178" t="s">
        <v>1754</v>
      </c>
      <c r="L17" s="3177"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185</v>
      </c>
      <c r="D18" s="784" t="s">
        <v>1747</v>
      </c>
      <c r="E18" s="784" t="s">
        <v>1748</v>
      </c>
      <c r="F18" s="809">
        <f>'数据-取费表'!B36</f>
        <v>1.4999999999999999E-2</v>
      </c>
      <c r="G18" s="1593"/>
      <c r="H18" s="1648" t="s">
        <v>1832</v>
      </c>
      <c r="I18" s="784" t="s">
        <v>1756</v>
      </c>
      <c r="J18" s="53">
        <f ca="1">ROUND(J5*M18/1.05,1)</f>
        <v>0</v>
      </c>
      <c r="K18" s="3177"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13880</v>
      </c>
      <c r="D19" s="261" t="s">
        <v>1758</v>
      </c>
      <c r="E19" s="3182"/>
      <c r="F19" s="56"/>
      <c r="G19" s="1592"/>
      <c r="H19" s="1648" t="s">
        <v>1833</v>
      </c>
      <c r="I19" s="784" t="s">
        <v>1759</v>
      </c>
      <c r="J19" s="53">
        <f ca="1">IF(K19="按租金收入计税",ROUND(J5*M19,1),ROUND(C29*F33*0.7,1))</f>
        <v>1410.2</v>
      </c>
      <c r="K19" s="811" t="s">
        <v>665</v>
      </c>
      <c r="L19" s="784" t="s">
        <v>1748</v>
      </c>
      <c r="M19" s="809">
        <f>IF(K19="按租金收入计税",'数据-取费表'!B51,'数据-取费表'!B50)</f>
        <v>1.2E-2</v>
      </c>
    </row>
    <row r="20" spans="1:33" s="2065" customFormat="1" ht="18" customHeight="1">
      <c r="A20" s="1649" t="s">
        <v>1890</v>
      </c>
      <c r="B20" s="784" t="s">
        <v>666</v>
      </c>
      <c r="C20" s="53">
        <f ca="1">ROUND(C19*F20,0)</f>
        <v>278</v>
      </c>
      <c r="D20" s="812" t="s">
        <v>1760</v>
      </c>
      <c r="E20" s="784" t="s">
        <v>1748</v>
      </c>
      <c r="F20" s="809">
        <f>'数据-取费表'!B37</f>
        <v>0.02</v>
      </c>
      <c r="G20" s="1593"/>
      <c r="H20" s="1651" t="s">
        <v>1834</v>
      </c>
      <c r="I20" s="341" t="s">
        <v>1761</v>
      </c>
      <c r="J20" s="54">
        <f ca="1">ROUND(M20*M21/10000,0)</f>
        <v>2</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13968.74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82"/>
      <c r="F22" s="56"/>
      <c r="G22" s="1592"/>
      <c r="H22" s="1649" t="s">
        <v>1890</v>
      </c>
      <c r="I22" s="784" t="s">
        <v>1769</v>
      </c>
      <c r="J22" s="53">
        <f ca="1">ROUND(J14*M22,0)</f>
        <v>252</v>
      </c>
      <c r="K22" s="3177" t="s">
        <v>1770</v>
      </c>
      <c r="L22" s="784" t="s">
        <v>1748</v>
      </c>
      <c r="M22" s="817">
        <f ca="1">INDIRECT("'数据-取费表'!Ak"&amp;$G$1)</f>
        <v>1.4999999999999999E-2</v>
      </c>
    </row>
    <row r="23" spans="1:33" s="2065" customFormat="1" ht="18" customHeight="1">
      <c r="A23" s="1648" t="s">
        <v>1832</v>
      </c>
      <c r="B23" s="784" t="s">
        <v>2439</v>
      </c>
      <c r="C23" s="53">
        <f ca="1">ROUND(IF('数据-取费表'!B22&lt;=1,(C19+C20)*F24*F23/2,(C19+C20)*(POWER((1+F24),F23/2)-1)),0)</f>
        <v>673</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7"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2"/>
      <c r="F25" s="56"/>
      <c r="G25" s="1592"/>
      <c r="H25" s="1830" t="s">
        <v>1777</v>
      </c>
      <c r="I25" s="3010" t="s">
        <v>2824</v>
      </c>
      <c r="J25" s="792">
        <f ca="1">J5-J16</f>
        <v>-1664</v>
      </c>
      <c r="K25" s="2549" t="s">
        <v>1778</v>
      </c>
      <c r="L25" s="2550"/>
      <c r="M25" s="2551"/>
    </row>
    <row r="26" spans="1:33" ht="18" customHeight="1">
      <c r="A26" s="1648" t="s">
        <v>1832</v>
      </c>
      <c r="B26" s="784" t="s">
        <v>2440</v>
      </c>
      <c r="C26" s="53">
        <f ca="1">ROUND((C19+C20)*F26,0)</f>
        <v>708</v>
      </c>
      <c r="D26" s="812" t="s">
        <v>1779</v>
      </c>
      <c r="E26" s="795" t="s">
        <v>1780</v>
      </c>
      <c r="F26" s="794">
        <f ca="1">INDIRECT("'数据-取费表'!q"&amp;$G$1)</f>
        <v>0.05</v>
      </c>
      <c r="G26" s="1592"/>
      <c r="H26" s="2503" t="s">
        <v>1781</v>
      </c>
      <c r="I26" s="2233" t="s">
        <v>2829</v>
      </c>
      <c r="J26" s="783">
        <f ca="1">IF(J5&lt;&gt;0,ROUND(J25*(1-((1+M28)/(1+M26))^M27)/(M26-M28),0),0)</f>
        <v>0</v>
      </c>
      <c r="K26" s="814" t="s">
        <v>1782</v>
      </c>
      <c r="L26" s="784" t="s">
        <v>2421</v>
      </c>
      <c r="M26" s="794">
        <f ca="1">INDIRECT("'数据-取费表'!I"&amp;$G$1)</f>
        <v>0.05</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1748</v>
      </c>
      <c r="F28" s="809">
        <f>'数据-取费表'!B41</f>
        <v>5.5000000000000007E-2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16788</v>
      </c>
      <c r="D29" s="2546"/>
      <c r="E29" s="2547"/>
      <c r="F29" s="2548"/>
      <c r="G29" s="1593"/>
      <c r="H29" s="823" t="s">
        <v>1788</v>
      </c>
      <c r="I29" s="824" t="s">
        <v>1789</v>
      </c>
      <c r="J29" s="825">
        <f ca="1">ROUND(J26/(1+F40)^F41,0)</f>
        <v>0</v>
      </c>
      <c r="K29" s="826" t="s">
        <v>1790</v>
      </c>
      <c r="L29" s="827"/>
      <c r="M29" s="828">
        <f ca="1">INDIRECT("'数据-取费表'!k"&amp;$G$1)</f>
        <v>42971.25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424</v>
      </c>
      <c r="D30" s="1822" t="s">
        <v>1751</v>
      </c>
      <c r="E30" s="3180"/>
      <c r="F30" s="2492"/>
      <c r="G30" s="2063"/>
      <c r="H30" s="2066"/>
      <c r="I30" s="2067"/>
      <c r="J30" s="2068"/>
      <c r="K30" s="2069"/>
      <c r="L30" s="2070"/>
      <c r="M30" s="2071"/>
    </row>
    <row r="31" spans="1:33" ht="18" customHeight="1">
      <c r="A31" s="1649" t="s">
        <v>1825</v>
      </c>
      <c r="B31" s="784" t="s">
        <v>656</v>
      </c>
      <c r="C31" s="53">
        <f ca="1">ROUND(IF(项目基本情况!B11="自然人",C5*F31,C32+C33+C34),1)</f>
        <v>139.1</v>
      </c>
      <c r="D31" s="3178" t="s">
        <v>1754</v>
      </c>
      <c r="E31" s="3177"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41.6</v>
      </c>
      <c r="D32" s="3177" t="s">
        <v>1757</v>
      </c>
      <c r="E32" s="784" t="s">
        <v>1748</v>
      </c>
      <c r="F32" s="809">
        <f>'数据-取费表'!B41</f>
        <v>5.5000000000000007E-2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95.4</v>
      </c>
      <c r="D33" s="811" t="s">
        <v>3295</v>
      </c>
      <c r="E33" s="784" t="s">
        <v>1748</v>
      </c>
      <c r="F33" s="809">
        <f>IF(D33="按租金收入计税",'数据-取费表'!B51,'数据-取费表'!B50)</f>
        <v>0.12</v>
      </c>
      <c r="G33" s="2063"/>
      <c r="H33" s="2078"/>
      <c r="I33" s="2078"/>
      <c r="J33" s="2078"/>
      <c r="K33" s="2079"/>
      <c r="L33" s="2078"/>
      <c r="M33" s="2078"/>
    </row>
    <row r="34" spans="1:18" ht="18" customHeight="1">
      <c r="A34" s="1651" t="s">
        <v>1834</v>
      </c>
      <c r="B34" s="341" t="s">
        <v>1761</v>
      </c>
      <c r="C34" s="54">
        <f ca="1">ROUND(F34*F35/10000,1)</f>
        <v>2.1</v>
      </c>
      <c r="D34" s="814" t="s">
        <v>1762</v>
      </c>
      <c r="E34" s="784" t="s">
        <v>1763</v>
      </c>
      <c r="F34" s="640">
        <f>'数据-取费表'!B52</f>
        <v>1.5</v>
      </c>
      <c r="G34" s="2063"/>
      <c r="H34" s="2066"/>
      <c r="I34" s="835" t="s">
        <v>1814</v>
      </c>
      <c r="J34" s="836"/>
      <c r="K34" s="2081"/>
      <c r="L34" s="2080"/>
      <c r="M34" s="2080"/>
    </row>
    <row r="35" spans="1:18" ht="18" customHeight="1">
      <c r="A35" s="815"/>
      <c r="B35" s="793"/>
      <c r="C35" s="69"/>
      <c r="D35" s="816"/>
      <c r="E35" s="784" t="s">
        <v>1767</v>
      </c>
      <c r="F35" s="785">
        <f ca="1">INDIRECT("'数据-取费表'!r"&amp;$G$1)</f>
        <v>13968.74</v>
      </c>
      <c r="G35" s="2063"/>
      <c r="H35" s="2066"/>
      <c r="I35" s="837" t="s">
        <v>1815</v>
      </c>
      <c r="J35" s="838">
        <f ca="1">ROUND(C13*J36,0)</f>
        <v>0</v>
      </c>
      <c r="K35" s="2079"/>
      <c r="L35" s="2078"/>
      <c r="M35" s="2078"/>
    </row>
    <row r="36" spans="1:18" ht="18" customHeight="1">
      <c r="A36" s="1649" t="s">
        <v>1890</v>
      </c>
      <c r="B36" s="784" t="s">
        <v>1769</v>
      </c>
      <c r="C36" s="53">
        <f ca="1">ROUND(C29*F36,1)</f>
        <v>251.8</v>
      </c>
      <c r="D36" s="3177" t="s">
        <v>1804</v>
      </c>
      <c r="E36" s="784" t="s">
        <v>1748</v>
      </c>
      <c r="F36" s="817">
        <f ca="1">INDIRECT("'数据-取费表'!Ak"&amp;$G$1)</f>
        <v>1.4999999999999999E-2</v>
      </c>
      <c r="G36" s="2063"/>
      <c r="H36" s="2078"/>
      <c r="I36" s="839" t="s">
        <v>1816</v>
      </c>
      <c r="J36" s="840">
        <f ca="1">INDIRECT("'数据-取费表'!j"&amp;$G$1)</f>
        <v>0</v>
      </c>
      <c r="K36" s="2083"/>
      <c r="L36" s="2078"/>
      <c r="M36" s="2078"/>
    </row>
    <row r="37" spans="1:18" ht="18" customHeight="1">
      <c r="A37" s="1649" t="s">
        <v>1891</v>
      </c>
      <c r="B37" s="784" t="s">
        <v>679</v>
      </c>
      <c r="C37" s="53">
        <f ca="1">ROUND(C13*F37,1)</f>
        <v>25.2</v>
      </c>
      <c r="D37" s="3177" t="s">
        <v>1772</v>
      </c>
      <c r="E37" s="784" t="s">
        <v>1748</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8</v>
      </c>
      <c r="D38" s="2546" t="s">
        <v>1775</v>
      </c>
      <c r="E38" s="2547" t="s">
        <v>1748</v>
      </c>
      <c r="F38" s="2543">
        <f ca="1">INDIRECT("'数据-取费表'!Am"&amp;$G$1)</f>
        <v>0.01</v>
      </c>
      <c r="G38" s="2063"/>
      <c r="H38" s="2078"/>
      <c r="I38" s="843" t="s">
        <v>1818</v>
      </c>
      <c r="J38" s="844"/>
      <c r="K38" s="2084"/>
      <c r="L38" s="2078"/>
      <c r="M38" s="2078"/>
    </row>
    <row r="39" spans="1:18" ht="24.6" customHeight="1" thickTop="1">
      <c r="A39" s="1830" t="s">
        <v>1777</v>
      </c>
      <c r="B39" s="3010" t="s">
        <v>2824</v>
      </c>
      <c r="C39" s="792">
        <f ca="1">C5-C30</f>
        <v>371</v>
      </c>
      <c r="D39" s="2549" t="s">
        <v>1778</v>
      </c>
      <c r="E39" s="2550"/>
      <c r="F39" s="2551"/>
      <c r="G39" s="2063"/>
      <c r="H39" s="2078"/>
      <c r="I39" s="837" t="s">
        <v>1819</v>
      </c>
      <c r="J39" s="845">
        <f ca="1">ROUND(J35/C39,3)</f>
        <v>0</v>
      </c>
      <c r="K39" s="2084"/>
      <c r="L39" s="2078"/>
      <c r="M39" s="2078"/>
    </row>
    <row r="40" spans="1:18" ht="18" customHeight="1">
      <c r="A40" s="781" t="s">
        <v>1781</v>
      </c>
      <c r="B40" s="2233" t="s">
        <v>2303</v>
      </c>
      <c r="C40" s="783">
        <f ca="1">ROUND(C39*(1-((1+F42)/(1+F40))^F41)/(F40-F42),0)</f>
        <v>9176</v>
      </c>
      <c r="D40" s="814" t="s">
        <v>1782</v>
      </c>
      <c r="E40" s="784" t="s">
        <v>2421</v>
      </c>
      <c r="F40" s="794">
        <f ca="1">INDIRECT("'数据-取费表'!I"&amp;$G$1)</f>
        <v>0.05</v>
      </c>
      <c r="G40" s="2063"/>
      <c r="H40" s="2063"/>
      <c r="I40" s="837" t="s">
        <v>1820</v>
      </c>
      <c r="J40" s="845">
        <f ca="1">1-J39</f>
        <v>1</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46.74</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1.83</v>
      </c>
      <c r="K42" s="2083"/>
      <c r="L42" s="1989"/>
      <c r="M42" s="1989"/>
    </row>
    <row r="43" spans="1:18" ht="18" customHeight="1" thickBot="1">
      <c r="A43" s="823" t="s">
        <v>1788</v>
      </c>
      <c r="B43" s="824" t="s">
        <v>1811</v>
      </c>
      <c r="C43" s="825">
        <f ca="1">ROUND(C40*10000/F43,0)</f>
        <v>2135</v>
      </c>
      <c r="D43" s="826" t="s">
        <v>1812</v>
      </c>
      <c r="E43" s="827" t="s">
        <v>1813</v>
      </c>
      <c r="F43" s="828">
        <f ca="1">INDIRECT("'数据-取费表'!k"&amp;$G$1)</f>
        <v>42971.25</v>
      </c>
      <c r="G43" s="2063"/>
      <c r="H43" s="1989"/>
      <c r="I43" s="847" t="s">
        <v>1823</v>
      </c>
      <c r="J43" s="848">
        <f ca="1">1-J42</f>
        <v>-0.83000000000000007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-14186</v>
      </c>
      <c r="D46" s="2086"/>
      <c r="E46" s="2086"/>
      <c r="F46" s="2086"/>
      <c r="I46" s="2379" t="s">
        <v>2345</v>
      </c>
      <c r="J46" s="2380"/>
      <c r="K46" s="2381"/>
      <c r="L46" s="3159">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49" t="s">
        <v>2346</v>
      </c>
      <c r="J47" s="2382" t="s">
        <v>3296</v>
      </c>
      <c r="K47" s="3156" t="s">
        <v>2351</v>
      </c>
      <c r="L47" s="3160">
        <f ca="1">INDIRECT("'数据-取费表'!d"&amp;$G$1)</f>
        <v>50</v>
      </c>
      <c r="M47" s="1604" t="str">
        <f>IF(ISNUMBER(FIND("住宅",C1)),"住宅","非住宅")</f>
        <v>非住宅</v>
      </c>
      <c r="O47" s="2396" t="s">
        <v>2377</v>
      </c>
      <c r="P47" s="2397" t="s">
        <v>2378</v>
      </c>
      <c r="Q47" s="2398" t="s">
        <v>2379</v>
      </c>
      <c r="R47" s="2397" t="s">
        <v>2380</v>
      </c>
    </row>
    <row r="48" spans="1:18" s="2060" customFormat="1" ht="18" customHeight="1" thickBot="1">
      <c r="A48" s="2643" t="s">
        <v>1871</v>
      </c>
      <c r="B48" s="2644" t="s">
        <v>2540</v>
      </c>
      <c r="C48" s="2375">
        <f ca="1">ROUND(F48*F50*F49*(1-F51)/10000,0)</f>
        <v>0</v>
      </c>
      <c r="D48" s="2376" t="s">
        <v>636</v>
      </c>
      <c r="E48" s="2377" t="s">
        <v>2298</v>
      </c>
      <c r="F48" s="2378"/>
      <c r="G48" s="2091"/>
      <c r="I48" s="3125" t="s">
        <v>2347</v>
      </c>
      <c r="J48" s="2383" t="s">
        <v>2352</v>
      </c>
      <c r="K48" s="3157" t="s">
        <v>2353</v>
      </c>
      <c r="L48" s="1909">
        <f ca="1">INDIRECT("'数据-取费表'!f"&amp;$G$1)</f>
        <v>48.74</v>
      </c>
      <c r="O48" s="2399" t="s">
        <v>2381</v>
      </c>
      <c r="P48" s="2400" t="s">
        <v>2407</v>
      </c>
      <c r="Q48" s="2401">
        <f ca="1">C40+J29</f>
        <v>9176</v>
      </c>
      <c r="R48" s="2400" t="s">
        <v>2382</v>
      </c>
    </row>
    <row r="49" spans="1:18" s="2060" customFormat="1" ht="18" customHeight="1" thickBot="1">
      <c r="A49" s="786"/>
      <c r="B49" s="787"/>
      <c r="C49" s="788"/>
      <c r="D49" s="789"/>
      <c r="E49" s="784" t="s">
        <v>1740</v>
      </c>
      <c r="F49" s="785">
        <f ca="1">F7</f>
        <v>1227</v>
      </c>
      <c r="G49" s="2091"/>
      <c r="H49" s="2094"/>
      <c r="I49" s="3125" t="s">
        <v>2348</v>
      </c>
      <c r="J49" s="2384">
        <v>2020</v>
      </c>
      <c r="K49" s="3158" t="s">
        <v>2354</v>
      </c>
      <c r="L49" s="2385"/>
      <c r="O49" s="2399" t="s">
        <v>2383</v>
      </c>
      <c r="P49" s="2400" t="s">
        <v>2408</v>
      </c>
      <c r="Q49" s="2401" t="str">
        <f ca="1">J60</f>
        <v>0</v>
      </c>
      <c r="R49" s="2400" t="s">
        <v>2384</v>
      </c>
    </row>
    <row r="50" spans="1:18" s="2060" customFormat="1" ht="18" customHeight="1" thickBot="1">
      <c r="A50" s="786"/>
      <c r="B50" s="787"/>
      <c r="C50" s="788"/>
      <c r="D50" s="789"/>
      <c r="E50" s="784" t="s">
        <v>1741</v>
      </c>
      <c r="F50" s="785">
        <f ca="1">F8</f>
        <v>12</v>
      </c>
      <c r="G50" s="2096"/>
      <c r="H50" s="2094"/>
      <c r="I50" s="3125" t="s">
        <v>2349</v>
      </c>
      <c r="J50" s="3153">
        <f>SUMPRODUCT((I63:I65=J47)*(J62:L62=J48)*(J63:L65))</f>
        <v>60</v>
      </c>
      <c r="K50" s="3158" t="s">
        <v>2355</v>
      </c>
      <c r="L50" s="2385"/>
      <c r="O50" s="2402" t="s">
        <v>2385</v>
      </c>
      <c r="P50" s="2400" t="s">
        <v>2409</v>
      </c>
      <c r="Q50" s="2401">
        <f ca="1">C29</f>
        <v>16788</v>
      </c>
      <c r="R50" s="2400" t="s">
        <v>2382</v>
      </c>
    </row>
    <row r="51" spans="1:18" s="2060" customFormat="1" ht="18" customHeight="1" thickBot="1">
      <c r="A51" s="786"/>
      <c r="B51" s="787"/>
      <c r="C51" s="788"/>
      <c r="D51" s="789"/>
      <c r="E51" s="784" t="s">
        <v>640</v>
      </c>
      <c r="F51" s="2372"/>
      <c r="H51" s="2094"/>
      <c r="I51" s="3150" t="s">
        <v>2350</v>
      </c>
      <c r="J51" s="3154">
        <f>IF(J49="",J50,J49+J50-YEAR('数据-取费表'!B2))</f>
        <v>62</v>
      </c>
      <c r="K51" s="3125" t="s">
        <v>2356</v>
      </c>
      <c r="L51" s="3161">
        <f ca="1">ROUND(-PV(INDIRECT("'数据-取费表'!h"&amp;$G$1),L48,(C39-C13*J36),0),0)</f>
        <v>7280</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2975</v>
      </c>
      <c r="E52" s="2499" t="s">
        <v>2466</v>
      </c>
      <c r="F52" s="2622"/>
      <c r="I52" s="3151" t="s">
        <v>2423</v>
      </c>
      <c r="J52" s="2386">
        <v>0.09</v>
      </c>
      <c r="K52" s="3151"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2" t="s">
        <v>2980</v>
      </c>
      <c r="J53" s="3155">
        <f ca="1">IF(M47="住宅",IF(D1="——",MAX(J51,L48),MAX(J51,L48-'数据-取费表'!B20)),IF(D1="——",MIN(J51,L48),MIN(J51,L48-'数据-取费表'!B20)))</f>
        <v>46.74</v>
      </c>
      <c r="K53" s="3440" t="s">
        <v>2967</v>
      </c>
      <c r="L53" s="3441"/>
      <c r="O53" s="2402" t="s">
        <v>2390</v>
      </c>
      <c r="P53" s="2400" t="s">
        <v>2391</v>
      </c>
      <c r="Q53" s="2401">
        <f ca="1">J53</f>
        <v>46.74</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9176</v>
      </c>
      <c r="R54" s="2404" t="s">
        <v>2394</v>
      </c>
    </row>
    <row r="55" spans="1:18" s="2060" customFormat="1" ht="18" customHeight="1" thickTop="1" thickBot="1">
      <c r="A55" s="797">
        <v>2</v>
      </c>
      <c r="B55" s="798" t="s">
        <v>644</v>
      </c>
      <c r="C55" s="799">
        <f ca="1">C13</f>
        <v>16788</v>
      </c>
      <c r="D55" s="795"/>
      <c r="E55" s="795"/>
      <c r="F55" s="800"/>
      <c r="I55" s="3164" t="s">
        <v>2357</v>
      </c>
      <c r="J55" s="3100" t="e">
        <f ca="1">ROUND(IF(J47="钢混",J57/J50,1-(1-2%)*(J50-J57)/J50),3)</f>
        <v>#VALUE!</v>
      </c>
      <c r="K55" s="3165" t="s">
        <v>2358</v>
      </c>
      <c r="L55" s="2387"/>
      <c r="O55" s="2405" t="s">
        <v>2413</v>
      </c>
      <c r="P55" s="1592"/>
      <c r="Q55" s="1604"/>
      <c r="R55" s="1592"/>
    </row>
    <row r="56" spans="1:18" s="2060" customFormat="1" ht="42.75" customHeight="1" thickBot="1">
      <c r="A56" s="1650"/>
      <c r="B56" s="2232" t="s">
        <v>2302</v>
      </c>
      <c r="C56" s="53">
        <f ca="1">C29</f>
        <v>16788</v>
      </c>
      <c r="D56" s="3177"/>
      <c r="E56" s="784"/>
      <c r="F56" s="809"/>
      <c r="I56" s="3166" t="s">
        <v>2359</v>
      </c>
      <c r="J56" s="3176" t="s">
        <v>1679</v>
      </c>
      <c r="K56" s="3125"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279</v>
      </c>
      <c r="D57" s="26" t="s">
        <v>1751</v>
      </c>
      <c r="E57" s="3182"/>
      <c r="F57" s="56"/>
      <c r="I57" s="3167" t="s">
        <v>2360</v>
      </c>
      <c r="J57" s="3168" t="str">
        <f ca="1">IF(OR(M47="住宅",J51&lt;L48,J56="是"),"——",J51-L48)</f>
        <v>——</v>
      </c>
      <c r="K57" s="3125" t="s">
        <v>2365</v>
      </c>
      <c r="L57" s="1909" t="str">
        <f ca="1">IF(L48&lt;J51,"——",IF(L55="比较法",L49,IF(L55="基准地价",L50,L51)))</f>
        <v>——</v>
      </c>
      <c r="O57" s="2399" t="s">
        <v>2381</v>
      </c>
      <c r="P57" s="2400" t="s">
        <v>2407</v>
      </c>
      <c r="Q57" s="2401">
        <f ca="1">C40+J29</f>
        <v>9176</v>
      </c>
      <c r="R57" s="2400" t="s">
        <v>2382</v>
      </c>
    </row>
    <row r="58" spans="1:18" s="2060" customFormat="1" ht="28.5" customHeight="1" thickBot="1">
      <c r="A58" s="1649" t="s">
        <v>1825</v>
      </c>
      <c r="B58" s="784" t="s">
        <v>656</v>
      </c>
      <c r="C58" s="53">
        <f ca="1">ROUND(IF(项目基本情况!B11="自然人",C47*F58,C59+C60+C61),1)</f>
        <v>2.1</v>
      </c>
      <c r="D58" s="3178" t="s">
        <v>657</v>
      </c>
      <c r="E58" s="3177" t="s">
        <v>690</v>
      </c>
      <c r="F58" s="810" t="str">
        <f ca="1">IF(项目基本情况!B11="企业","",IF(INDIRECT("'数据-取费表'!c"&amp;$G$1)="住宅",5%,IF(F48*F49*F50/12/(1+'数据-取费表'!C42)&gt;20000,12%,7%)))</f>
        <v/>
      </c>
      <c r="I58" s="3167" t="s">
        <v>2361</v>
      </c>
      <c r="J58" s="3101" t="e">
        <f ca="1">IF(J55&lt;0.4,0.4,J55)</f>
        <v>#VALUE!</v>
      </c>
      <c r="K58" s="3125"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1832</v>
      </c>
      <c r="B59" s="784" t="s">
        <v>660</v>
      </c>
      <c r="C59" s="53">
        <f ca="1">ROUND(C47*F59/1.05,1)</f>
        <v>0</v>
      </c>
      <c r="D59" s="3177" t="s">
        <v>1757</v>
      </c>
      <c r="E59" s="784" t="s">
        <v>1748</v>
      </c>
      <c r="F59" s="809">
        <f t="shared" ref="F59:F65" si="0">F32</f>
        <v>5.5000000000000007E-2</v>
      </c>
      <c r="I59" s="3167" t="s">
        <v>2362</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1833</v>
      </c>
      <c r="B60" s="784" t="s">
        <v>1759</v>
      </c>
      <c r="C60" s="53">
        <f ca="1">IF(D60="按租金收入计税",ROUND(C47*F60,1),IF(D60="按房产原值计税",ROUND(C56*F60*0.7,1),INDIRECT("'数据-取费表'!Aj"&amp;$G$1)))</f>
        <v>0</v>
      </c>
      <c r="D60" s="3177" t="str">
        <f>D33</f>
        <v>按租金收入计税</v>
      </c>
      <c r="E60" s="784" t="s">
        <v>1748</v>
      </c>
      <c r="F60" s="809">
        <f t="shared" si="0"/>
        <v>0.12</v>
      </c>
      <c r="I60" s="3169" t="s">
        <v>2363</v>
      </c>
      <c r="J60" s="3170" t="str">
        <f ca="1">IF(OR(M47="住宅",J51&lt;L48,J56="是"),"0",ROUND(J59/(1+J52)^J53,0))</f>
        <v>0</v>
      </c>
      <c r="K60" s="3171" t="s">
        <v>2368</v>
      </c>
      <c r="L60" s="3170">
        <f ca="1">IF(OR(M47="住宅",L48&lt;J51),0,ROUND(L57*(L58/L59-1),0))</f>
        <v>0</v>
      </c>
      <c r="O60" s="2402" t="s">
        <v>2386</v>
      </c>
      <c r="P60" s="2400" t="s">
        <v>2395</v>
      </c>
      <c r="Q60" s="2403">
        <f>L52</f>
        <v>0</v>
      </c>
      <c r="R60" s="2404"/>
    </row>
    <row r="61" spans="1:18" s="2060" customFormat="1" ht="18" customHeight="1" thickBot="1">
      <c r="A61" s="1651" t="s">
        <v>1834</v>
      </c>
      <c r="B61" s="341" t="s">
        <v>668</v>
      </c>
      <c r="C61" s="54">
        <f ca="1">ROUND(F61*F62/10000,1)</f>
        <v>2.1</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13968.74</v>
      </c>
      <c r="I62" s="3172" t="s">
        <v>2369</v>
      </c>
      <c r="J62" s="3173" t="s">
        <v>2370</v>
      </c>
      <c r="K62" s="3173" t="s">
        <v>2371</v>
      </c>
      <c r="L62" s="3173" t="s">
        <v>2352</v>
      </c>
      <c r="M62" s="3174" t="s">
        <v>2943</v>
      </c>
      <c r="O62" s="2402" t="s">
        <v>2390</v>
      </c>
      <c r="P62" s="2400" t="str">
        <f>K59</f>
        <v>建设期及建筑物耐用年限下的土地年期修正系数Kn</v>
      </c>
      <c r="Q62" s="2401" t="e">
        <f ca="1">L59</f>
        <v>#DIV/0!</v>
      </c>
      <c r="R62" s="2404" t="s">
        <v>2399</v>
      </c>
    </row>
    <row r="63" spans="1:18" s="2060" customFormat="1" ht="15.75" thickBot="1">
      <c r="A63" s="1649" t="s">
        <v>1890</v>
      </c>
      <c r="B63" s="784" t="s">
        <v>676</v>
      </c>
      <c r="C63" s="53">
        <f ca="1">ROUND(C56*F63,1)</f>
        <v>251.8</v>
      </c>
      <c r="D63" s="3177" t="s">
        <v>1804</v>
      </c>
      <c r="E63" s="784" t="s">
        <v>1748</v>
      </c>
      <c r="F63" s="817">
        <f t="shared" ca="1" si="0"/>
        <v>1.4999999999999999E-2</v>
      </c>
      <c r="I63" s="3172" t="s">
        <v>2372</v>
      </c>
      <c r="J63" s="3173">
        <v>70</v>
      </c>
      <c r="K63" s="3173">
        <v>50</v>
      </c>
      <c r="L63" s="3173">
        <v>80</v>
      </c>
      <c r="M63" s="3175">
        <v>0.02</v>
      </c>
      <c r="O63" s="2399" t="s">
        <v>2393</v>
      </c>
      <c r="P63" s="2400" t="s">
        <v>2410</v>
      </c>
      <c r="Q63" s="2401">
        <f ca="1">Q57+Q58</f>
        <v>9176</v>
      </c>
      <c r="R63" s="2404" t="s">
        <v>2394</v>
      </c>
    </row>
    <row r="64" spans="1:18" s="2060" customFormat="1" ht="16.5" thickBot="1">
      <c r="A64" s="1649" t="s">
        <v>1891</v>
      </c>
      <c r="B64" s="784" t="s">
        <v>679</v>
      </c>
      <c r="C64" s="53">
        <f ca="1">ROUND(C55*F64,1)</f>
        <v>25.2</v>
      </c>
      <c r="D64" s="3177" t="s">
        <v>680</v>
      </c>
      <c r="E64" s="784" t="s">
        <v>1748</v>
      </c>
      <c r="F64" s="818">
        <f t="shared" ca="1" si="0"/>
        <v>1.5E-3</v>
      </c>
      <c r="I64" s="3172" t="s">
        <v>2373</v>
      </c>
      <c r="J64" s="3173">
        <v>50</v>
      </c>
      <c r="K64" s="3173">
        <v>35</v>
      </c>
      <c r="L64" s="3173">
        <v>60</v>
      </c>
      <c r="M64" s="846">
        <v>0</v>
      </c>
      <c r="O64" s="2405" t="s">
        <v>2417</v>
      </c>
      <c r="P64" s="1592"/>
      <c r="Q64" s="1604"/>
      <c r="R64" s="1592"/>
    </row>
    <row r="65" spans="1:18" s="2060" customFormat="1" ht="15.75" thickBot="1">
      <c r="A65" s="1649" t="s">
        <v>1892</v>
      </c>
      <c r="B65" s="784" t="s">
        <v>666</v>
      </c>
      <c r="C65" s="53">
        <f ca="1">ROUND(C47*F65,1)</f>
        <v>0</v>
      </c>
      <c r="D65" s="3177" t="s">
        <v>683</v>
      </c>
      <c r="E65" s="784" t="s">
        <v>1748</v>
      </c>
      <c r="F65" s="794">
        <f t="shared" ca="1" si="0"/>
        <v>0.01</v>
      </c>
      <c r="I65" s="3172" t="s">
        <v>2374</v>
      </c>
      <c r="J65" s="3173">
        <v>40</v>
      </c>
      <c r="K65" s="3173">
        <v>30</v>
      </c>
      <c r="L65" s="3173">
        <v>50</v>
      </c>
      <c r="M65" s="3175">
        <v>0.02</v>
      </c>
      <c r="O65" s="2396" t="s">
        <v>2377</v>
      </c>
      <c r="P65" s="2397" t="s">
        <v>2378</v>
      </c>
      <c r="Q65" s="2398" t="s">
        <v>2379</v>
      </c>
      <c r="R65" s="2397" t="s">
        <v>2380</v>
      </c>
    </row>
    <row r="66" spans="1:18" s="2060" customFormat="1" ht="24.75" thickBot="1">
      <c r="A66" s="797" t="s">
        <v>1777</v>
      </c>
      <c r="B66" s="3011" t="s">
        <v>2824</v>
      </c>
      <c r="C66" s="799">
        <f ca="1">C47-C57</f>
        <v>-279</v>
      </c>
      <c r="D66" s="3178" t="s">
        <v>700</v>
      </c>
      <c r="E66" s="3181"/>
      <c r="F66" s="820"/>
      <c r="K66" s="2087"/>
      <c r="O66" s="2399" t="s">
        <v>2381</v>
      </c>
      <c r="P66" s="2400" t="s">
        <v>2407</v>
      </c>
      <c r="Q66" s="2401">
        <f ca="1">C40+J29</f>
        <v>9176</v>
      </c>
      <c r="R66" s="2400" t="s">
        <v>2382</v>
      </c>
    </row>
    <row r="67" spans="1:18" s="2060" customFormat="1" ht="20.25" thickBot="1">
      <c r="A67" s="781" t="s">
        <v>1781</v>
      </c>
      <c r="B67" s="2233" t="s">
        <v>2303</v>
      </c>
      <c r="C67" s="783">
        <f ca="1">ROUND(C66*(1-((1+F69)/(1+F67))^F68)/(F67-F69),0)</f>
        <v>-5010</v>
      </c>
      <c r="D67" s="814" t="s">
        <v>704</v>
      </c>
      <c r="E67" s="784" t="s">
        <v>705</v>
      </c>
      <c r="F67" s="794">
        <f ca="1">F40</f>
        <v>0.05</v>
      </c>
      <c r="K67" s="2087"/>
      <c r="O67" s="2399" t="s">
        <v>2383</v>
      </c>
      <c r="P67" s="2400" t="s">
        <v>2414</v>
      </c>
      <c r="Q67" s="2401">
        <f ca="1">L60</f>
        <v>0</v>
      </c>
      <c r="R67" s="2404" t="s">
        <v>2416</v>
      </c>
    </row>
    <row r="68" spans="1:18" ht="21.75" thickBot="1">
      <c r="A68" s="786"/>
      <c r="B68" s="787"/>
      <c r="C68" s="788"/>
      <c r="D68" s="821" t="s">
        <v>1809</v>
      </c>
      <c r="E68" s="784" t="s">
        <v>1785</v>
      </c>
      <c r="F68" s="822">
        <f ca="1">F41</f>
        <v>46.74</v>
      </c>
      <c r="O68" s="2402" t="s">
        <v>2385</v>
      </c>
      <c r="P68" s="2400" t="s">
        <v>2415</v>
      </c>
      <c r="Q68" s="2406">
        <f ca="1">L51</f>
        <v>7280</v>
      </c>
      <c r="R68" s="2407" t="s">
        <v>2418</v>
      </c>
    </row>
    <row r="69" spans="1:18" ht="20.25" thickBot="1">
      <c r="A69" s="790"/>
      <c r="B69" s="791"/>
      <c r="C69" s="792"/>
      <c r="D69" s="816"/>
      <c r="E69" s="784" t="s">
        <v>710</v>
      </c>
      <c r="F69" s="2372"/>
      <c r="O69" s="2402" t="s">
        <v>2386</v>
      </c>
      <c r="P69" s="2408" t="s">
        <v>2400</v>
      </c>
      <c r="Q69" s="2401">
        <f ca="1">ROUND(Q70-Q71*Q72,0)</f>
        <v>371</v>
      </c>
      <c r="R69" s="2404"/>
    </row>
    <row r="70" spans="1:18" ht="15.75" thickBot="1">
      <c r="A70" s="823" t="s">
        <v>1788</v>
      </c>
      <c r="B70" s="824" t="s">
        <v>1811</v>
      </c>
      <c r="C70" s="825">
        <f ca="1">ROUND(C67*10000/F70,0)</f>
        <v>-1166</v>
      </c>
      <c r="D70" s="826" t="s">
        <v>1812</v>
      </c>
      <c r="E70" s="827" t="s">
        <v>1813</v>
      </c>
      <c r="F70" s="828">
        <f ca="1">F43</f>
        <v>42971.25</v>
      </c>
      <c r="O70" s="2402" t="s">
        <v>2401</v>
      </c>
      <c r="P70" s="2408" t="s">
        <v>2402</v>
      </c>
      <c r="Q70" s="2401">
        <f ca="1">C39</f>
        <v>371</v>
      </c>
      <c r="R70" s="2400" t="s">
        <v>2382</v>
      </c>
    </row>
    <row r="71" spans="1:18" ht="15.75" thickBot="1">
      <c r="O71" s="2402" t="s">
        <v>2403</v>
      </c>
      <c r="P71" s="2408" t="s">
        <v>2404</v>
      </c>
      <c r="Q71" s="2401">
        <f ca="1">C13</f>
        <v>16788</v>
      </c>
      <c r="R71" s="2400" t="s">
        <v>2382</v>
      </c>
    </row>
    <row r="72" spans="1:18" ht="15.75" thickBot="1">
      <c r="O72" s="2402" t="s">
        <v>2405</v>
      </c>
      <c r="P72" s="2408" t="s">
        <v>2406</v>
      </c>
      <c r="Q72" s="2403">
        <f ca="1">J36</f>
        <v>0</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9176</v>
      </c>
      <c r="R76" s="240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3028</v>
      </c>
      <c r="D1" s="3124" t="s">
        <v>3293</v>
      </c>
      <c r="E1" s="2388" t="s">
        <v>2376</v>
      </c>
      <c r="F1" s="2389">
        <f ca="1">J53</f>
        <v>46.74</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2350</v>
      </c>
      <c r="C2" s="2058"/>
      <c r="D2" s="2056"/>
      <c r="E2" s="2057"/>
      <c r="F2" s="2057"/>
      <c r="G2" s="1590"/>
      <c r="H2" s="2058"/>
      <c r="I2" s="2058"/>
      <c r="J2" s="2058"/>
      <c r="K2" s="2059"/>
      <c r="L2" s="2058"/>
      <c r="M2" s="2058"/>
    </row>
    <row r="3" spans="1:33" ht="18" customHeight="1" thickBot="1">
      <c r="A3" s="833" t="s">
        <v>1728</v>
      </c>
      <c r="B3" s="834">
        <f ca="1">IF(ISERROR(B2*10000/F43),0,ROUND(B2*10000/F43,0))</f>
        <v>5006</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1730</v>
      </c>
      <c r="J4" s="778" t="s">
        <v>1735</v>
      </c>
      <c r="K4" s="778" t="s">
        <v>1736</v>
      </c>
      <c r="L4" s="779" t="s">
        <v>1732</v>
      </c>
      <c r="M4" s="780"/>
    </row>
    <row r="5" spans="1:33" ht="18" customHeight="1">
      <c r="A5" s="781">
        <v>1</v>
      </c>
      <c r="B5" s="782" t="s">
        <v>2460</v>
      </c>
      <c r="C5" s="55">
        <f ca="1">C6+C10+C12</f>
        <v>154</v>
      </c>
      <c r="D5" s="2497" t="s">
        <v>2463</v>
      </c>
      <c r="E5" s="2491"/>
      <c r="F5" s="2492"/>
      <c r="G5" s="1592"/>
      <c r="H5" s="781">
        <v>1</v>
      </c>
      <c r="I5" s="782" t="s">
        <v>2460</v>
      </c>
      <c r="J5" s="55">
        <f ca="1">J6+J10+J12</f>
        <v>0</v>
      </c>
      <c r="K5" s="2497" t="s">
        <v>2463</v>
      </c>
      <c r="L5" s="2491"/>
      <c r="M5" s="2492"/>
    </row>
    <row r="6" spans="1:33" ht="18" customHeight="1">
      <c r="A6" s="1831" t="s">
        <v>1825</v>
      </c>
      <c r="B6" s="3424" t="s">
        <v>2465</v>
      </c>
      <c r="C6" s="783">
        <f ca="1">ROUND(F6*F8*F7*(1-F9)/10000,0)</f>
        <v>154</v>
      </c>
      <c r="D6" s="2498" t="s">
        <v>2464</v>
      </c>
      <c r="E6" s="784" t="s">
        <v>1739</v>
      </c>
      <c r="F6" s="785">
        <f ca="1">INDIRECT("'数据-取费表'!u"&amp;$G$1)</f>
        <v>1</v>
      </c>
      <c r="G6" s="1592"/>
      <c r="H6" s="2505" t="s">
        <v>1825</v>
      </c>
      <c r="I6" s="3424" t="s">
        <v>2465</v>
      </c>
      <c r="J6" s="783">
        <f ca="1">ROUND(M6*M8*M7*(1-M9)/10000,0)</f>
        <v>0</v>
      </c>
      <c r="K6" s="341" t="s">
        <v>1738</v>
      </c>
      <c r="L6" s="784" t="s">
        <v>1739</v>
      </c>
      <c r="M6" s="785">
        <f ca="1">INDIRECT("'数据-取费表'!z"&amp;$G$1)</f>
        <v>0</v>
      </c>
    </row>
    <row r="7" spans="1:33" ht="18" customHeight="1">
      <c r="A7" s="2501"/>
      <c r="B7" s="3425"/>
      <c r="C7" s="788"/>
      <c r="D7" s="789"/>
      <c r="E7" s="784" t="s">
        <v>1740</v>
      </c>
      <c r="F7" s="785">
        <f ca="1">IF(INDIRECT("'数据-取费表'!ah"&amp;$G$1)="",INDIRECT("'数据-取费表'!k"&amp;$G$1),INDIRECT("'数据-取费表'!ah"&amp;$G$1))</f>
        <v>4694.8100000000004</v>
      </c>
      <c r="G7" s="1592"/>
      <c r="H7" s="2490"/>
      <c r="I7" s="3425"/>
      <c r="J7" s="788"/>
      <c r="K7" s="789"/>
      <c r="L7" s="784" t="s">
        <v>1740</v>
      </c>
      <c r="M7" s="785">
        <f ca="1">F7</f>
        <v>4694.8100000000004</v>
      </c>
    </row>
    <row r="8" spans="1:33" ht="18" customHeight="1">
      <c r="A8" s="2494"/>
      <c r="B8" s="3426"/>
      <c r="C8" s="788"/>
      <c r="D8" s="789"/>
      <c r="E8" s="784" t="s">
        <v>1741</v>
      </c>
      <c r="F8" s="785">
        <f ca="1">INDIRECT("'数据-取费表'!ai"&amp;$G$1)</f>
        <v>365</v>
      </c>
      <c r="G8" s="1592"/>
      <c r="H8" s="2490"/>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2"/>
      <c r="H9" s="2506"/>
      <c r="I9" s="3426"/>
      <c r="J9" s="788"/>
      <c r="K9" s="789"/>
      <c r="L9" s="795" t="s">
        <v>1742</v>
      </c>
      <c r="M9" s="796">
        <f ca="1">INDIRECT("'数据-取费表'!ab"&amp;$G$1)</f>
        <v>0</v>
      </c>
    </row>
    <row r="10" spans="1:33" ht="18" customHeight="1">
      <c r="A10" s="1831" t="s">
        <v>1826</v>
      </c>
      <c r="B10" s="2495" t="s">
        <v>2461</v>
      </c>
      <c r="C10" s="799">
        <f ca="1">ROUND(IF(F10="押一",C6/12*F11,IF(F10="押二",C6/12*2*F11,IF(F10="押三",C6/12*3*F11,C11*F11))),0)</f>
        <v>0</v>
      </c>
      <c r="D10" s="2502" t="s">
        <v>2975</v>
      </c>
      <c r="E10" s="2499" t="s">
        <v>2466</v>
      </c>
      <c r="F10" s="2622" t="s">
        <v>3294</v>
      </c>
      <c r="G10" s="1592"/>
      <c r="H10" s="2562" t="s">
        <v>1826</v>
      </c>
      <c r="I10" s="2567" t="s">
        <v>2461</v>
      </c>
      <c r="J10" s="783">
        <f ca="1">ROUND(IF(M10="押一",J6/12*M11,IF(M10="押二",J6/12*2*M11,IF(M10="押三",J6/12*3*M11,J11*M11))),0)</f>
        <v>0</v>
      </c>
      <c r="K10" s="2502" t="s">
        <v>2975</v>
      </c>
      <c r="L10" s="2499" t="s">
        <v>2466</v>
      </c>
      <c r="M10" s="2622"/>
    </row>
    <row r="11" spans="1:33" ht="18" customHeight="1">
      <c r="A11" s="790"/>
      <c r="B11" s="2496" t="s">
        <v>2575</v>
      </c>
      <c r="C11" s="2500"/>
      <c r="D11" s="789"/>
      <c r="E11" s="2499" t="s">
        <v>2458</v>
      </c>
      <c r="F11" s="796">
        <f ca="1">'数据-取费表'!B39</f>
        <v>1.4999999999999999E-2</v>
      </c>
      <c r="G11" s="1592"/>
      <c r="H11" s="2563"/>
      <c r="I11" s="2496" t="s">
        <v>2575</v>
      </c>
      <c r="J11" s="2500"/>
      <c r="K11" s="2564"/>
      <c r="L11" s="2499" t="s">
        <v>2458</v>
      </c>
      <c r="M11" s="2493">
        <f ca="1">'数据-取费表'!B39</f>
        <v>1.4999999999999999E-2</v>
      </c>
    </row>
    <row r="12" spans="1:33" ht="18" customHeight="1" thickBot="1">
      <c r="A12" s="2538" t="s">
        <v>2469</v>
      </c>
      <c r="B12" s="2539" t="s">
        <v>2462</v>
      </c>
      <c r="C12" s="2540"/>
      <c r="D12" s="2541"/>
      <c r="E12" s="2542"/>
      <c r="F12" s="2543"/>
      <c r="G12" s="1592"/>
      <c r="H12" s="2552" t="s">
        <v>2469</v>
      </c>
      <c r="I12" s="2565" t="s">
        <v>2462</v>
      </c>
      <c r="J12" s="2566"/>
      <c r="K12" s="2541"/>
      <c r="L12" s="2542"/>
      <c r="M12" s="2555"/>
    </row>
    <row r="13" spans="1:33" ht="18" customHeight="1" thickTop="1">
      <c r="A13" s="1830">
        <v>2</v>
      </c>
      <c r="B13" s="1828" t="s">
        <v>1743</v>
      </c>
      <c r="C13" s="792">
        <f ca="1">ROUND(C29*F13,0)</f>
        <v>1832</v>
      </c>
      <c r="D13" s="1835" t="s">
        <v>2299</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1832</v>
      </c>
      <c r="B14" s="784" t="s">
        <v>645</v>
      </c>
      <c r="C14" s="804">
        <f ca="1">INDIRECT("'数据-取费表'!m"&amp;$G$1)+INDIRECT("'数据-取费表'!t"&amp;$G$1)</f>
        <v>1348</v>
      </c>
      <c r="D14" s="3178" t="s">
        <v>1746</v>
      </c>
      <c r="E14" s="3179"/>
      <c r="F14" s="805"/>
      <c r="G14" s="1592"/>
      <c r="H14" s="1649" t="s">
        <v>1825</v>
      </c>
      <c r="I14" s="2232" t="s">
        <v>2827</v>
      </c>
      <c r="J14" s="53">
        <f ca="1">C29</f>
        <v>1832</v>
      </c>
      <c r="K14" s="26"/>
      <c r="L14" s="801"/>
      <c r="M14" s="802"/>
    </row>
    <row r="15" spans="1:33" s="2065" customFormat="1" ht="18" customHeight="1" thickBot="1">
      <c r="A15" s="1648" t="s">
        <v>1833</v>
      </c>
      <c r="B15" s="784" t="s">
        <v>647</v>
      </c>
      <c r="C15" s="53">
        <f ca="1">ROUND(C14*F15,0)</f>
        <v>40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181</v>
      </c>
      <c r="K16" s="1822" t="s">
        <v>1751</v>
      </c>
      <c r="L16" s="3180"/>
      <c r="M16" s="2492"/>
    </row>
    <row r="17" spans="1:33" s="2065" customFormat="1" ht="18" customHeight="1">
      <c r="A17" s="1648" t="s">
        <v>1888</v>
      </c>
      <c r="B17" s="784" t="s">
        <v>653</v>
      </c>
      <c r="C17" s="53">
        <f ca="1">ROUND(F17*(F43+INDIRECT("'数据-取费表'!S"&amp;$G$1))/10000,0)</f>
        <v>108</v>
      </c>
      <c r="D17" s="784" t="s">
        <v>1752</v>
      </c>
      <c r="E17" s="784" t="s">
        <v>1753</v>
      </c>
      <c r="F17" s="56">
        <f>'数据-取费表'!B35</f>
        <v>200</v>
      </c>
      <c r="G17" s="1593"/>
      <c r="H17" s="1649" t="s">
        <v>1825</v>
      </c>
      <c r="I17" s="784" t="s">
        <v>656</v>
      </c>
      <c r="J17" s="53">
        <f ca="1">ROUND(IF(项目基本情况!B11="自然人",J5*M17,J18+J19+J20),0)</f>
        <v>154</v>
      </c>
      <c r="K17" s="3178" t="s">
        <v>1754</v>
      </c>
      <c r="L17" s="3177"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20</v>
      </c>
      <c r="D18" s="784" t="s">
        <v>1747</v>
      </c>
      <c r="E18" s="784" t="s">
        <v>1748</v>
      </c>
      <c r="F18" s="809">
        <f>'数据-取费表'!B36</f>
        <v>1.4999999999999999E-2</v>
      </c>
      <c r="G18" s="1593"/>
      <c r="H18" s="1648" t="s">
        <v>1832</v>
      </c>
      <c r="I18" s="784" t="s">
        <v>1756</v>
      </c>
      <c r="J18" s="53">
        <f ca="1">ROUND(J5*M18/1.05,1)</f>
        <v>0</v>
      </c>
      <c r="K18" s="3177"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1516</v>
      </c>
      <c r="D19" s="261" t="s">
        <v>1758</v>
      </c>
      <c r="E19" s="3182"/>
      <c r="F19" s="56"/>
      <c r="G19" s="1592"/>
      <c r="H19" s="1648" t="s">
        <v>1833</v>
      </c>
      <c r="I19" s="784" t="s">
        <v>1759</v>
      </c>
      <c r="J19" s="53">
        <f ca="1">IF(K19="按租金收入计税",ROUND(J5*M19,1),ROUND(C29*F33*0.7,1))</f>
        <v>153.9</v>
      </c>
      <c r="K19" s="811" t="s">
        <v>665</v>
      </c>
      <c r="L19" s="784" t="s">
        <v>1748</v>
      </c>
      <c r="M19" s="809">
        <f>IF(K19="按租金收入计税",'数据-取费表'!B51,'数据-取费表'!B50)</f>
        <v>1.2E-2</v>
      </c>
    </row>
    <row r="20" spans="1:33" s="2065" customFormat="1" ht="18" customHeight="1">
      <c r="A20" s="1649" t="s">
        <v>1890</v>
      </c>
      <c r="B20" s="784" t="s">
        <v>666</v>
      </c>
      <c r="C20" s="53">
        <f ca="1">ROUND(C19*F20,0)</f>
        <v>30</v>
      </c>
      <c r="D20" s="812" t="s">
        <v>1760</v>
      </c>
      <c r="E20" s="784" t="s">
        <v>1748</v>
      </c>
      <c r="F20" s="809">
        <f>'数据-取费表'!B37</f>
        <v>0.02</v>
      </c>
      <c r="G20" s="1593"/>
      <c r="H20" s="1651" t="s">
        <v>1834</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1526.1499999999999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82"/>
      <c r="F22" s="56"/>
      <c r="G22" s="1592"/>
      <c r="H22" s="1649" t="s">
        <v>1890</v>
      </c>
      <c r="I22" s="784" t="s">
        <v>1769</v>
      </c>
      <c r="J22" s="53">
        <f ca="1">ROUND(J14*M22,0)</f>
        <v>27</v>
      </c>
      <c r="K22" s="3177" t="s">
        <v>1770</v>
      </c>
      <c r="L22" s="784" t="s">
        <v>1748</v>
      </c>
      <c r="M22" s="817">
        <f ca="1">INDIRECT("'数据-取费表'!Ak"&amp;$G$1)</f>
        <v>1.4999999999999999E-2</v>
      </c>
    </row>
    <row r="23" spans="1:33" s="2065" customFormat="1" ht="18" customHeight="1">
      <c r="A23" s="1648" t="s">
        <v>1832</v>
      </c>
      <c r="B23" s="784" t="s">
        <v>2439</v>
      </c>
      <c r="C23" s="53">
        <f ca="1">ROUND(IF('数据-取费表'!B22&lt;=1,(C19+C20)*F24*F23/2,(C19+C20)*(POWER((1+F24),F23/2)-1)),0)</f>
        <v>73</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7"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2"/>
      <c r="F25" s="56"/>
      <c r="G25" s="1592"/>
      <c r="H25" s="1830" t="s">
        <v>1777</v>
      </c>
      <c r="I25" s="3010" t="s">
        <v>2824</v>
      </c>
      <c r="J25" s="792">
        <f ca="1">J5-J16</f>
        <v>-181</v>
      </c>
      <c r="K25" s="2549" t="s">
        <v>1778</v>
      </c>
      <c r="L25" s="2550"/>
      <c r="M25" s="2551"/>
    </row>
    <row r="26" spans="1:33" ht="18" customHeight="1">
      <c r="A26" s="1648" t="s">
        <v>1832</v>
      </c>
      <c r="B26" s="784" t="s">
        <v>2440</v>
      </c>
      <c r="C26" s="53">
        <f ca="1">ROUND((C19+C20)*F26,0)</f>
        <v>77</v>
      </c>
      <c r="D26" s="812" t="s">
        <v>1779</v>
      </c>
      <c r="E26" s="795" t="s">
        <v>1780</v>
      </c>
      <c r="F26" s="794">
        <f ca="1">INDIRECT("'数据-取费表'!q"&amp;$G$1)</f>
        <v>0.05</v>
      </c>
      <c r="G26" s="1592"/>
      <c r="H26" s="2503" t="s">
        <v>1781</v>
      </c>
      <c r="I26" s="2233" t="s">
        <v>2829</v>
      </c>
      <c r="J26" s="783">
        <f ca="1">IF(J5&lt;&gt;0,ROUND(J25*(1-((1+M28)/(1+M26))^M27)/(M26-M28),0),0)</f>
        <v>0</v>
      </c>
      <c r="K26" s="814" t="s">
        <v>1782</v>
      </c>
      <c r="L26" s="784" t="s">
        <v>2421</v>
      </c>
      <c r="M26" s="794">
        <f ca="1">INDIRECT("'数据-取费表'!I"&amp;$G$1)</f>
        <v>0.05</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1748</v>
      </c>
      <c r="F28" s="809">
        <f>'数据-取费表'!B41</f>
        <v>5.5000000000000007E-2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1832</v>
      </c>
      <c r="D29" s="2546"/>
      <c r="E29" s="2547"/>
      <c r="F29" s="2548"/>
      <c r="G29" s="1593"/>
      <c r="H29" s="823" t="s">
        <v>1788</v>
      </c>
      <c r="I29" s="824" t="s">
        <v>1789</v>
      </c>
      <c r="J29" s="825">
        <f ca="1">ROUND(J26/(1+F40)^F41,0)</f>
        <v>0</v>
      </c>
      <c r="K29" s="826" t="s">
        <v>1790</v>
      </c>
      <c r="L29" s="827"/>
      <c r="M29" s="828">
        <f ca="1">INDIRECT("'数据-取费表'!k"&amp;$G$1)</f>
        <v>4694.8100000000004</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59</v>
      </c>
      <c r="D30" s="1822" t="s">
        <v>1751</v>
      </c>
      <c r="E30" s="3180"/>
      <c r="F30" s="2492"/>
      <c r="G30" s="2063"/>
      <c r="H30" s="2066"/>
      <c r="I30" s="2067"/>
      <c r="J30" s="2068"/>
      <c r="K30" s="2069"/>
      <c r="L30" s="2070"/>
      <c r="M30" s="2071"/>
    </row>
    <row r="31" spans="1:33" ht="18" customHeight="1">
      <c r="A31" s="1649" t="s">
        <v>1825</v>
      </c>
      <c r="B31" s="784" t="s">
        <v>656</v>
      </c>
      <c r="C31" s="53">
        <f ca="1">ROUND(IF(项目基本情况!B11="自然人",C5*F31,C32+C33+C34),1)</f>
        <v>26.8</v>
      </c>
      <c r="D31" s="3178" t="s">
        <v>1754</v>
      </c>
      <c r="E31" s="3177"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8.1</v>
      </c>
      <c r="D32" s="3177" t="s">
        <v>1757</v>
      </c>
      <c r="E32" s="784" t="s">
        <v>1748</v>
      </c>
      <c r="F32" s="809">
        <f>'数据-取费表'!B41</f>
        <v>5.5000000000000007E-2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18.5</v>
      </c>
      <c r="D33" s="811" t="s">
        <v>3295</v>
      </c>
      <c r="E33" s="784" t="s">
        <v>1748</v>
      </c>
      <c r="F33" s="809">
        <f>IF(D33="按租金收入计税",'数据-取费表'!B51,'数据-取费表'!B50)</f>
        <v>0.12</v>
      </c>
      <c r="G33" s="2063"/>
      <c r="H33" s="2078"/>
      <c r="I33" s="2078"/>
      <c r="J33" s="2078"/>
      <c r="K33" s="2079"/>
      <c r="L33" s="2078"/>
      <c r="M33" s="2078"/>
    </row>
    <row r="34" spans="1:18" ht="18" customHeight="1">
      <c r="A34" s="1651" t="s">
        <v>1834</v>
      </c>
      <c r="B34" s="341" t="s">
        <v>1761</v>
      </c>
      <c r="C34" s="54">
        <f ca="1">ROUND(F34*F35/10000,1)</f>
        <v>0.2</v>
      </c>
      <c r="D34" s="814" t="s">
        <v>1762</v>
      </c>
      <c r="E34" s="784" t="s">
        <v>1763</v>
      </c>
      <c r="F34" s="640">
        <f>'数据-取费表'!B52</f>
        <v>1.5</v>
      </c>
      <c r="G34" s="2063"/>
      <c r="H34" s="2066"/>
      <c r="I34" s="835" t="s">
        <v>1814</v>
      </c>
      <c r="J34" s="836"/>
      <c r="K34" s="2081"/>
      <c r="L34" s="2080"/>
      <c r="M34" s="2080"/>
    </row>
    <row r="35" spans="1:18" ht="18" customHeight="1">
      <c r="A35" s="815"/>
      <c r="B35" s="793"/>
      <c r="C35" s="69"/>
      <c r="D35" s="816"/>
      <c r="E35" s="784" t="s">
        <v>1767</v>
      </c>
      <c r="F35" s="785">
        <f ca="1">INDIRECT("'数据-取费表'!r"&amp;$G$1)</f>
        <v>1526.1499999999999</v>
      </c>
      <c r="G35" s="2063"/>
      <c r="H35" s="2066"/>
      <c r="I35" s="837" t="s">
        <v>1815</v>
      </c>
      <c r="J35" s="838">
        <f ca="1">ROUND(C13*J36,0)</f>
        <v>0</v>
      </c>
      <c r="K35" s="2079"/>
      <c r="L35" s="2078"/>
      <c r="M35" s="2078"/>
    </row>
    <row r="36" spans="1:18" ht="18" customHeight="1">
      <c r="A36" s="1649" t="s">
        <v>1890</v>
      </c>
      <c r="B36" s="784" t="s">
        <v>1769</v>
      </c>
      <c r="C36" s="53">
        <f ca="1">ROUND(C29*F36,1)</f>
        <v>27.5</v>
      </c>
      <c r="D36" s="3177" t="s">
        <v>1804</v>
      </c>
      <c r="E36" s="784" t="s">
        <v>1748</v>
      </c>
      <c r="F36" s="817">
        <f ca="1">INDIRECT("'数据-取费表'!Ak"&amp;$G$1)</f>
        <v>1.4999999999999999E-2</v>
      </c>
      <c r="G36" s="2063"/>
      <c r="H36" s="2078"/>
      <c r="I36" s="839" t="s">
        <v>1816</v>
      </c>
      <c r="J36" s="840">
        <f ca="1">INDIRECT("'数据-取费表'!j"&amp;$G$1)</f>
        <v>0</v>
      </c>
      <c r="K36" s="2083"/>
      <c r="L36" s="2078"/>
      <c r="M36" s="2078"/>
    </row>
    <row r="37" spans="1:18" ht="18" customHeight="1">
      <c r="A37" s="1649" t="s">
        <v>1891</v>
      </c>
      <c r="B37" s="784" t="s">
        <v>679</v>
      </c>
      <c r="C37" s="53">
        <f ca="1">ROUND(C13*F37,1)</f>
        <v>2.7</v>
      </c>
      <c r="D37" s="3177" t="s">
        <v>1772</v>
      </c>
      <c r="E37" s="784" t="s">
        <v>1748</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1.5</v>
      </c>
      <c r="D38" s="2546" t="s">
        <v>1775</v>
      </c>
      <c r="E38" s="2547" t="s">
        <v>1748</v>
      </c>
      <c r="F38" s="2543">
        <f ca="1">INDIRECT("'数据-取费表'!Am"&amp;$G$1)</f>
        <v>0.01</v>
      </c>
      <c r="G38" s="2063"/>
      <c r="H38" s="2078"/>
      <c r="I38" s="843" t="s">
        <v>1818</v>
      </c>
      <c r="J38" s="844"/>
      <c r="K38" s="2084"/>
      <c r="L38" s="2078"/>
      <c r="M38" s="2078"/>
    </row>
    <row r="39" spans="1:18" ht="24.6" customHeight="1" thickTop="1">
      <c r="A39" s="1830" t="s">
        <v>1777</v>
      </c>
      <c r="B39" s="3010" t="s">
        <v>2824</v>
      </c>
      <c r="C39" s="792">
        <f ca="1">C5-C30</f>
        <v>95</v>
      </c>
      <c r="D39" s="2549" t="s">
        <v>1778</v>
      </c>
      <c r="E39" s="2550"/>
      <c r="F39" s="2551"/>
      <c r="G39" s="2063"/>
      <c r="H39" s="2078"/>
      <c r="I39" s="837" t="s">
        <v>1819</v>
      </c>
      <c r="J39" s="845">
        <f ca="1">ROUND(J35/C39,3)</f>
        <v>0</v>
      </c>
      <c r="K39" s="2084"/>
      <c r="L39" s="2078"/>
      <c r="M39" s="2078"/>
    </row>
    <row r="40" spans="1:18" ht="18" customHeight="1">
      <c r="A40" s="781" t="s">
        <v>1781</v>
      </c>
      <c r="B40" s="2233" t="s">
        <v>2303</v>
      </c>
      <c r="C40" s="783">
        <f ca="1">ROUND(C39*(1-((1+F42)/(1+F40))^F41)/(F40-F42),0)</f>
        <v>2350</v>
      </c>
      <c r="D40" s="814" t="s">
        <v>1782</v>
      </c>
      <c r="E40" s="784" t="s">
        <v>2421</v>
      </c>
      <c r="F40" s="794">
        <f ca="1">INDIRECT("'数据-取费表'!I"&amp;$G$1)</f>
        <v>0.05</v>
      </c>
      <c r="G40" s="2063"/>
      <c r="H40" s="2063"/>
      <c r="I40" s="837" t="s">
        <v>1820</v>
      </c>
      <c r="J40" s="845">
        <f ca="1">1-J39</f>
        <v>1</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46.74</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0.78</v>
      </c>
      <c r="K42" s="2083"/>
      <c r="L42" s="1989"/>
      <c r="M42" s="1989"/>
    </row>
    <row r="43" spans="1:18" ht="18" customHeight="1" thickBot="1">
      <c r="A43" s="823" t="s">
        <v>1788</v>
      </c>
      <c r="B43" s="824" t="s">
        <v>1811</v>
      </c>
      <c r="C43" s="825">
        <f ca="1">ROUND(C40*10000/F43,0)</f>
        <v>5006</v>
      </c>
      <c r="D43" s="826" t="s">
        <v>1812</v>
      </c>
      <c r="E43" s="827" t="s">
        <v>1813</v>
      </c>
      <c r="F43" s="828">
        <f ca="1">INDIRECT("'数据-取费表'!k"&amp;$G$1)</f>
        <v>4694.8100000000004</v>
      </c>
      <c r="G43" s="2063"/>
      <c r="H43" s="1989"/>
      <c r="I43" s="847" t="s">
        <v>1823</v>
      </c>
      <c r="J43" s="848">
        <f ca="1">1-J42</f>
        <v>0.21999999999999997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-2889</v>
      </c>
      <c r="D46" s="2086"/>
      <c r="E46" s="2086"/>
      <c r="F46" s="2086"/>
      <c r="I46" s="2379" t="s">
        <v>2345</v>
      </c>
      <c r="J46" s="2380"/>
      <c r="K46" s="2381"/>
      <c r="L46" s="3159">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49" t="s">
        <v>2346</v>
      </c>
      <c r="J47" s="2382" t="s">
        <v>3296</v>
      </c>
      <c r="K47" s="3156" t="s">
        <v>2351</v>
      </c>
      <c r="L47" s="3160">
        <f ca="1">INDIRECT("'数据-取费表'!d"&amp;$G$1)</f>
        <v>50</v>
      </c>
      <c r="M47" s="1604" t="str">
        <f>IF(ISNUMBER(FIND("住宅",C1)),"住宅","非住宅")</f>
        <v>非住宅</v>
      </c>
      <c r="O47" s="2396" t="s">
        <v>2377</v>
      </c>
      <c r="P47" s="2397" t="s">
        <v>2378</v>
      </c>
      <c r="Q47" s="2398" t="s">
        <v>2379</v>
      </c>
      <c r="R47" s="2397" t="s">
        <v>2380</v>
      </c>
    </row>
    <row r="48" spans="1:18" s="2060" customFormat="1" ht="18" customHeight="1" thickBot="1">
      <c r="A48" s="2643" t="s">
        <v>1871</v>
      </c>
      <c r="B48" s="2644" t="s">
        <v>2540</v>
      </c>
      <c r="C48" s="2375">
        <f ca="1">ROUND(F48*F50*F49*(1-F51)/10000,0)</f>
        <v>0</v>
      </c>
      <c r="D48" s="2376" t="s">
        <v>636</v>
      </c>
      <c r="E48" s="2377" t="s">
        <v>2298</v>
      </c>
      <c r="F48" s="2378"/>
      <c r="G48" s="2091"/>
      <c r="I48" s="3125" t="s">
        <v>2347</v>
      </c>
      <c r="J48" s="2383" t="s">
        <v>2352</v>
      </c>
      <c r="K48" s="3157" t="s">
        <v>2353</v>
      </c>
      <c r="L48" s="1909">
        <f ca="1">INDIRECT("'数据-取费表'!f"&amp;$G$1)</f>
        <v>48.74</v>
      </c>
      <c r="O48" s="2399" t="s">
        <v>2381</v>
      </c>
      <c r="P48" s="2400" t="s">
        <v>2407</v>
      </c>
      <c r="Q48" s="2401">
        <f ca="1">C40+J29</f>
        <v>2350</v>
      </c>
      <c r="R48" s="2400" t="s">
        <v>2382</v>
      </c>
    </row>
    <row r="49" spans="1:18" s="2060" customFormat="1" ht="18" customHeight="1" thickBot="1">
      <c r="A49" s="786"/>
      <c r="B49" s="787"/>
      <c r="C49" s="788"/>
      <c r="D49" s="789"/>
      <c r="E49" s="784" t="s">
        <v>1740</v>
      </c>
      <c r="F49" s="785">
        <f ca="1">F7</f>
        <v>4694.8100000000004</v>
      </c>
      <c r="G49" s="2091"/>
      <c r="H49" s="2094"/>
      <c r="I49" s="3125" t="s">
        <v>2348</v>
      </c>
      <c r="J49" s="2384">
        <v>2020</v>
      </c>
      <c r="K49" s="3158" t="s">
        <v>2354</v>
      </c>
      <c r="L49" s="2385"/>
      <c r="O49" s="2399" t="s">
        <v>2383</v>
      </c>
      <c r="P49" s="2400" t="s">
        <v>2408</v>
      </c>
      <c r="Q49" s="2401" t="str">
        <f ca="1">J60</f>
        <v>0</v>
      </c>
      <c r="R49" s="2400" t="s">
        <v>2384</v>
      </c>
    </row>
    <row r="50" spans="1:18" s="2060" customFormat="1" ht="18" customHeight="1" thickBot="1">
      <c r="A50" s="786"/>
      <c r="B50" s="787"/>
      <c r="C50" s="788"/>
      <c r="D50" s="789"/>
      <c r="E50" s="784" t="s">
        <v>1741</v>
      </c>
      <c r="F50" s="785">
        <f ca="1">F8</f>
        <v>365</v>
      </c>
      <c r="G50" s="2096"/>
      <c r="H50" s="2094"/>
      <c r="I50" s="3125" t="s">
        <v>2349</v>
      </c>
      <c r="J50" s="3153">
        <f>SUMPRODUCT((I63:I65=J47)*(J62:L62=J48)*(J63:L65))</f>
        <v>60</v>
      </c>
      <c r="K50" s="3158" t="s">
        <v>2355</v>
      </c>
      <c r="L50" s="2385"/>
      <c r="O50" s="2402" t="s">
        <v>2385</v>
      </c>
      <c r="P50" s="2400" t="s">
        <v>2409</v>
      </c>
      <c r="Q50" s="2401">
        <f ca="1">C29</f>
        <v>1832</v>
      </c>
      <c r="R50" s="2400" t="s">
        <v>2382</v>
      </c>
    </row>
    <row r="51" spans="1:18" s="2060" customFormat="1" ht="18" customHeight="1" thickBot="1">
      <c r="A51" s="786"/>
      <c r="B51" s="787"/>
      <c r="C51" s="788"/>
      <c r="D51" s="789"/>
      <c r="E51" s="784" t="s">
        <v>640</v>
      </c>
      <c r="F51" s="2372"/>
      <c r="H51" s="2094"/>
      <c r="I51" s="3150" t="s">
        <v>2350</v>
      </c>
      <c r="J51" s="3154">
        <f>IF(J49="",J50,J49+J50-YEAR('数据-取费表'!B2))</f>
        <v>62</v>
      </c>
      <c r="K51" s="3125" t="s">
        <v>2356</v>
      </c>
      <c r="L51" s="3161">
        <f ca="1">ROUND(-PV(INDIRECT("'数据-取费表'!h"&amp;$G$1),L48,(C39-C13*J36),0),0)</f>
        <v>1864</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2975</v>
      </c>
      <c r="E52" s="2499" t="s">
        <v>2466</v>
      </c>
      <c r="F52" s="2622"/>
      <c r="I52" s="3151" t="s">
        <v>2423</v>
      </c>
      <c r="J52" s="2386">
        <v>0.09</v>
      </c>
      <c r="K52" s="3151"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2" t="s">
        <v>2980</v>
      </c>
      <c r="J53" s="3155">
        <f ca="1">IF(M47="住宅",IF(D1="——",MAX(J51,L48),MAX(J51,L48-'数据-取费表'!B20)),IF(D1="——",MIN(J51,L48),MIN(J51,L48-'数据-取费表'!B20)))</f>
        <v>46.74</v>
      </c>
      <c r="K53" s="3440" t="s">
        <v>2967</v>
      </c>
      <c r="L53" s="3441"/>
      <c r="O53" s="2402" t="s">
        <v>2390</v>
      </c>
      <c r="P53" s="2400" t="s">
        <v>2391</v>
      </c>
      <c r="Q53" s="2401">
        <f ca="1">J53</f>
        <v>46.74</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2350</v>
      </c>
      <c r="R54" s="2404" t="s">
        <v>2394</v>
      </c>
    </row>
    <row r="55" spans="1:18" s="2060" customFormat="1" ht="18" customHeight="1" thickTop="1" thickBot="1">
      <c r="A55" s="797">
        <v>2</v>
      </c>
      <c r="B55" s="798" t="s">
        <v>644</v>
      </c>
      <c r="C55" s="799">
        <f ca="1">C13</f>
        <v>1832</v>
      </c>
      <c r="D55" s="795"/>
      <c r="E55" s="795"/>
      <c r="F55" s="800"/>
      <c r="I55" s="3164" t="s">
        <v>2357</v>
      </c>
      <c r="J55" s="3100" t="e">
        <f ca="1">ROUND(IF(J47="钢混",J57/J50,1-(1-2%)*(J50-J57)/J50),3)</f>
        <v>#VALUE!</v>
      </c>
      <c r="K55" s="3165" t="s">
        <v>2358</v>
      </c>
      <c r="L55" s="2387"/>
      <c r="O55" s="2405" t="s">
        <v>2413</v>
      </c>
      <c r="P55" s="1592"/>
      <c r="Q55" s="1604"/>
      <c r="R55" s="1592"/>
    </row>
    <row r="56" spans="1:18" s="2060" customFormat="1" ht="42.75" customHeight="1" thickBot="1">
      <c r="A56" s="1650"/>
      <c r="B56" s="2232" t="s">
        <v>2302</v>
      </c>
      <c r="C56" s="53">
        <f ca="1">C29</f>
        <v>1832</v>
      </c>
      <c r="D56" s="3177"/>
      <c r="E56" s="784"/>
      <c r="F56" s="809"/>
      <c r="I56" s="3166" t="s">
        <v>2359</v>
      </c>
      <c r="J56" s="3176" t="s">
        <v>1679</v>
      </c>
      <c r="K56" s="3125"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30</v>
      </c>
      <c r="D57" s="26" t="s">
        <v>1751</v>
      </c>
      <c r="E57" s="3182"/>
      <c r="F57" s="56"/>
      <c r="I57" s="3167" t="s">
        <v>2360</v>
      </c>
      <c r="J57" s="3168" t="str">
        <f ca="1">IF(OR(M47="住宅",J51&lt;L48,J56="是"),"——",J51-L48)</f>
        <v>——</v>
      </c>
      <c r="K57" s="3125" t="s">
        <v>2365</v>
      </c>
      <c r="L57" s="1909" t="str">
        <f ca="1">IF(L48&lt;J51,"——",IF(L55="比较法",L49,IF(L55="基准地价",L50,L51)))</f>
        <v>——</v>
      </c>
      <c r="O57" s="2399" t="s">
        <v>2381</v>
      </c>
      <c r="P57" s="2400" t="s">
        <v>2407</v>
      </c>
      <c r="Q57" s="2401">
        <f ca="1">C40+J29</f>
        <v>2350</v>
      </c>
      <c r="R57" s="2400" t="s">
        <v>2382</v>
      </c>
    </row>
    <row r="58" spans="1:18" s="2060" customFormat="1" ht="28.5" customHeight="1" thickBot="1">
      <c r="A58" s="1649" t="s">
        <v>1825</v>
      </c>
      <c r="B58" s="784" t="s">
        <v>656</v>
      </c>
      <c r="C58" s="53">
        <f ca="1">ROUND(IF(项目基本情况!B11="自然人",C47*F58,C59+C60+C61),1)</f>
        <v>0.2</v>
      </c>
      <c r="D58" s="3178" t="s">
        <v>657</v>
      </c>
      <c r="E58" s="3177" t="s">
        <v>690</v>
      </c>
      <c r="F58" s="810" t="str">
        <f ca="1">IF(项目基本情况!B11="企业","",IF(INDIRECT("'数据-取费表'!c"&amp;$G$1)="住宅",5%,IF(F48*F49*F50/12/(1+'数据-取费表'!C42)&gt;20000,12%,7%)))</f>
        <v/>
      </c>
      <c r="I58" s="3167" t="s">
        <v>2361</v>
      </c>
      <c r="J58" s="3101" t="e">
        <f ca="1">IF(J55&lt;0.4,0.4,J55)</f>
        <v>#VALUE!</v>
      </c>
      <c r="K58" s="3125"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1832</v>
      </c>
      <c r="B59" s="784" t="s">
        <v>660</v>
      </c>
      <c r="C59" s="53">
        <f ca="1">ROUND(C47*F59/1.05,1)</f>
        <v>0</v>
      </c>
      <c r="D59" s="3177" t="s">
        <v>1757</v>
      </c>
      <c r="E59" s="784" t="s">
        <v>1748</v>
      </c>
      <c r="F59" s="809">
        <f t="shared" ref="F59:F65" si="0">F32</f>
        <v>5.5000000000000007E-2</v>
      </c>
      <c r="I59" s="3167" t="s">
        <v>2362</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1833</v>
      </c>
      <c r="B60" s="784" t="s">
        <v>1759</v>
      </c>
      <c r="C60" s="53">
        <f ca="1">IF(D60="按租金收入计税",ROUND(C47*F60,1),IF(D60="按房产原值计税",ROUND(C56*F60*0.7,1),INDIRECT("'数据-取费表'!Aj"&amp;$G$1)))</f>
        <v>0</v>
      </c>
      <c r="D60" s="3177" t="str">
        <f>D33</f>
        <v>按租金收入计税</v>
      </c>
      <c r="E60" s="784" t="s">
        <v>1748</v>
      </c>
      <c r="F60" s="809">
        <f t="shared" si="0"/>
        <v>0.12</v>
      </c>
      <c r="I60" s="3169" t="s">
        <v>2363</v>
      </c>
      <c r="J60" s="3170" t="str">
        <f ca="1">IF(OR(M47="住宅",J51&lt;L48,J56="是"),"0",ROUND(J59/(1+J52)^J53,0))</f>
        <v>0</v>
      </c>
      <c r="K60" s="3171" t="s">
        <v>2368</v>
      </c>
      <c r="L60" s="3170">
        <f ca="1">IF(OR(M47="住宅",L48&lt;J51),0,ROUND(L57*(L58/L59-1),0))</f>
        <v>0</v>
      </c>
      <c r="O60" s="2402" t="s">
        <v>2386</v>
      </c>
      <c r="P60" s="2400" t="s">
        <v>2395</v>
      </c>
      <c r="Q60" s="2403">
        <f>L52</f>
        <v>0</v>
      </c>
      <c r="R60" s="2404"/>
    </row>
    <row r="61" spans="1:18" s="2060" customFormat="1" ht="18" customHeight="1" thickBot="1">
      <c r="A61" s="1651" t="s">
        <v>1834</v>
      </c>
      <c r="B61" s="341" t="s">
        <v>668</v>
      </c>
      <c r="C61" s="54">
        <f ca="1">ROUND(F61*F62/10000,1)</f>
        <v>0.2</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1526.1499999999999</v>
      </c>
      <c r="I62" s="3172" t="s">
        <v>2369</v>
      </c>
      <c r="J62" s="3173" t="s">
        <v>2370</v>
      </c>
      <c r="K62" s="3173" t="s">
        <v>2371</v>
      </c>
      <c r="L62" s="3173" t="s">
        <v>2352</v>
      </c>
      <c r="M62" s="3174" t="s">
        <v>2943</v>
      </c>
      <c r="O62" s="2402" t="s">
        <v>2390</v>
      </c>
      <c r="P62" s="2400" t="str">
        <f>K59</f>
        <v>建设期及建筑物耐用年限下的土地年期修正系数Kn</v>
      </c>
      <c r="Q62" s="2401" t="e">
        <f ca="1">L59</f>
        <v>#DIV/0!</v>
      </c>
      <c r="R62" s="2404" t="s">
        <v>2399</v>
      </c>
    </row>
    <row r="63" spans="1:18" s="2060" customFormat="1" ht="15.75" thickBot="1">
      <c r="A63" s="1649" t="s">
        <v>1890</v>
      </c>
      <c r="B63" s="784" t="s">
        <v>676</v>
      </c>
      <c r="C63" s="53">
        <f ca="1">ROUND(C56*F63,1)</f>
        <v>27.5</v>
      </c>
      <c r="D63" s="3177" t="s">
        <v>1804</v>
      </c>
      <c r="E63" s="784" t="s">
        <v>1748</v>
      </c>
      <c r="F63" s="817">
        <f t="shared" ca="1" si="0"/>
        <v>1.4999999999999999E-2</v>
      </c>
      <c r="I63" s="3172" t="s">
        <v>2372</v>
      </c>
      <c r="J63" s="3173">
        <v>70</v>
      </c>
      <c r="K63" s="3173">
        <v>50</v>
      </c>
      <c r="L63" s="3173">
        <v>80</v>
      </c>
      <c r="M63" s="3175">
        <v>0.02</v>
      </c>
      <c r="O63" s="2399" t="s">
        <v>2393</v>
      </c>
      <c r="P63" s="2400" t="s">
        <v>2410</v>
      </c>
      <c r="Q63" s="2401">
        <f ca="1">Q57+Q58</f>
        <v>2350</v>
      </c>
      <c r="R63" s="2404" t="s">
        <v>2394</v>
      </c>
    </row>
    <row r="64" spans="1:18" s="2060" customFormat="1" ht="16.5" thickBot="1">
      <c r="A64" s="1649" t="s">
        <v>1891</v>
      </c>
      <c r="B64" s="784" t="s">
        <v>679</v>
      </c>
      <c r="C64" s="53">
        <f ca="1">ROUND(C55*F64,1)</f>
        <v>2.7</v>
      </c>
      <c r="D64" s="3177" t="s">
        <v>680</v>
      </c>
      <c r="E64" s="784" t="s">
        <v>1748</v>
      </c>
      <c r="F64" s="818">
        <f t="shared" ca="1" si="0"/>
        <v>1.5E-3</v>
      </c>
      <c r="I64" s="3172" t="s">
        <v>2373</v>
      </c>
      <c r="J64" s="3173">
        <v>50</v>
      </c>
      <c r="K64" s="3173">
        <v>35</v>
      </c>
      <c r="L64" s="3173">
        <v>60</v>
      </c>
      <c r="M64" s="846">
        <v>0</v>
      </c>
      <c r="O64" s="2405" t="s">
        <v>2417</v>
      </c>
      <c r="P64" s="1592"/>
      <c r="Q64" s="1604"/>
      <c r="R64" s="1592"/>
    </row>
    <row r="65" spans="1:18" s="2060" customFormat="1" ht="15.75" thickBot="1">
      <c r="A65" s="1649" t="s">
        <v>1892</v>
      </c>
      <c r="B65" s="784" t="s">
        <v>666</v>
      </c>
      <c r="C65" s="53">
        <f ca="1">ROUND(C47*F65,1)</f>
        <v>0</v>
      </c>
      <c r="D65" s="3177" t="s">
        <v>683</v>
      </c>
      <c r="E65" s="784" t="s">
        <v>1748</v>
      </c>
      <c r="F65" s="794">
        <f t="shared" ca="1" si="0"/>
        <v>0.01</v>
      </c>
      <c r="I65" s="3172" t="s">
        <v>2374</v>
      </c>
      <c r="J65" s="3173">
        <v>40</v>
      </c>
      <c r="K65" s="3173">
        <v>30</v>
      </c>
      <c r="L65" s="3173">
        <v>50</v>
      </c>
      <c r="M65" s="3175">
        <v>0.02</v>
      </c>
      <c r="O65" s="2396" t="s">
        <v>2377</v>
      </c>
      <c r="P65" s="2397" t="s">
        <v>2378</v>
      </c>
      <c r="Q65" s="2398" t="s">
        <v>2379</v>
      </c>
      <c r="R65" s="2397" t="s">
        <v>2380</v>
      </c>
    </row>
    <row r="66" spans="1:18" s="2060" customFormat="1" ht="24.75" thickBot="1">
      <c r="A66" s="797" t="s">
        <v>1777</v>
      </c>
      <c r="B66" s="3011" t="s">
        <v>2824</v>
      </c>
      <c r="C66" s="799">
        <f ca="1">C47-C57</f>
        <v>-30</v>
      </c>
      <c r="D66" s="3178" t="s">
        <v>700</v>
      </c>
      <c r="E66" s="3181"/>
      <c r="F66" s="820"/>
      <c r="K66" s="2087"/>
      <c r="O66" s="2399" t="s">
        <v>2381</v>
      </c>
      <c r="P66" s="2400" t="s">
        <v>2407</v>
      </c>
      <c r="Q66" s="2401">
        <f ca="1">C40+J29</f>
        <v>2350</v>
      </c>
      <c r="R66" s="2400" t="s">
        <v>2382</v>
      </c>
    </row>
    <row r="67" spans="1:18" s="2060" customFormat="1" ht="20.25" thickBot="1">
      <c r="A67" s="781" t="s">
        <v>1781</v>
      </c>
      <c r="B67" s="2233" t="s">
        <v>2303</v>
      </c>
      <c r="C67" s="783">
        <f ca="1">ROUND(C66*(1-((1+F69)/(1+F67))^F68)/(F67-F69),0)</f>
        <v>-539</v>
      </c>
      <c r="D67" s="814" t="s">
        <v>704</v>
      </c>
      <c r="E67" s="784" t="s">
        <v>705</v>
      </c>
      <c r="F67" s="794">
        <f ca="1">F40</f>
        <v>0.05</v>
      </c>
      <c r="K67" s="2087"/>
      <c r="O67" s="2399" t="s">
        <v>2383</v>
      </c>
      <c r="P67" s="2400" t="s">
        <v>2414</v>
      </c>
      <c r="Q67" s="2401">
        <f ca="1">L60</f>
        <v>0</v>
      </c>
      <c r="R67" s="2404" t="s">
        <v>2416</v>
      </c>
    </row>
    <row r="68" spans="1:18" ht="21.75" thickBot="1">
      <c r="A68" s="786"/>
      <c r="B68" s="787"/>
      <c r="C68" s="788"/>
      <c r="D68" s="821" t="s">
        <v>1809</v>
      </c>
      <c r="E68" s="784" t="s">
        <v>1785</v>
      </c>
      <c r="F68" s="822">
        <f ca="1">F41</f>
        <v>46.74</v>
      </c>
      <c r="O68" s="2402" t="s">
        <v>2385</v>
      </c>
      <c r="P68" s="2400" t="s">
        <v>2415</v>
      </c>
      <c r="Q68" s="2406">
        <f ca="1">L51</f>
        <v>1864</v>
      </c>
      <c r="R68" s="2407" t="s">
        <v>2418</v>
      </c>
    </row>
    <row r="69" spans="1:18" ht="20.25" thickBot="1">
      <c r="A69" s="790"/>
      <c r="B69" s="791"/>
      <c r="C69" s="792"/>
      <c r="D69" s="816"/>
      <c r="E69" s="784" t="s">
        <v>710</v>
      </c>
      <c r="F69" s="2372"/>
      <c r="O69" s="2402" t="s">
        <v>2386</v>
      </c>
      <c r="P69" s="2408" t="s">
        <v>2400</v>
      </c>
      <c r="Q69" s="2401">
        <f ca="1">ROUND(Q70-Q71*Q72,0)</f>
        <v>95</v>
      </c>
      <c r="R69" s="2404"/>
    </row>
    <row r="70" spans="1:18" ht="15.75" thickBot="1">
      <c r="A70" s="823" t="s">
        <v>1788</v>
      </c>
      <c r="B70" s="824" t="s">
        <v>1811</v>
      </c>
      <c r="C70" s="825">
        <f ca="1">ROUND(C67*10000/F70,0)</f>
        <v>-1148</v>
      </c>
      <c r="D70" s="826" t="s">
        <v>1812</v>
      </c>
      <c r="E70" s="827" t="s">
        <v>1813</v>
      </c>
      <c r="F70" s="828">
        <f ca="1">F43</f>
        <v>4694.8100000000004</v>
      </c>
      <c r="O70" s="2402" t="s">
        <v>2401</v>
      </c>
      <c r="P70" s="2408" t="s">
        <v>2402</v>
      </c>
      <c r="Q70" s="2401">
        <f ca="1">C39</f>
        <v>95</v>
      </c>
      <c r="R70" s="2400" t="s">
        <v>2382</v>
      </c>
    </row>
    <row r="71" spans="1:18" ht="15.75" thickBot="1">
      <c r="O71" s="2402" t="s">
        <v>2403</v>
      </c>
      <c r="P71" s="2408" t="s">
        <v>2404</v>
      </c>
      <c r="Q71" s="2401">
        <f ca="1">C13</f>
        <v>1832</v>
      </c>
      <c r="R71" s="2400" t="s">
        <v>2382</v>
      </c>
    </row>
    <row r="72" spans="1:18" ht="15.75" thickBot="1">
      <c r="O72" s="2402" t="s">
        <v>2405</v>
      </c>
      <c r="P72" s="2408" t="s">
        <v>2406</v>
      </c>
      <c r="Q72" s="2403">
        <f ca="1">J36</f>
        <v>0</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2350</v>
      </c>
      <c r="R76" s="240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8"/>
  <sheetViews>
    <sheetView topLeftCell="AB1" workbookViewId="0">
      <selection activeCell="U3" sqref="U3"/>
    </sheetView>
  </sheetViews>
  <sheetFormatPr defaultRowHeight="13.5"/>
  <sheetData>
    <row r="1" spans="1:44" s="3483" customFormat="1">
      <c r="A1" s="3483" t="s">
        <v>3175</v>
      </c>
      <c r="B1" s="3483" t="s">
        <v>1948</v>
      </c>
      <c r="C1" s="3483" t="s">
        <v>3100</v>
      </c>
      <c r="D1" s="3483" t="s">
        <v>3083</v>
      </c>
      <c r="E1" s="3483" t="s">
        <v>2820</v>
      </c>
      <c r="F1" s="3483" t="s">
        <v>3176</v>
      </c>
      <c r="G1" s="3483" t="s">
        <v>3085</v>
      </c>
      <c r="H1" s="3483" t="s">
        <v>3177</v>
      </c>
      <c r="I1" s="3483" t="s">
        <v>3178</v>
      </c>
      <c r="J1" s="3483">
        <v>76286.2</v>
      </c>
      <c r="K1" s="3483">
        <v>181983.1</v>
      </c>
      <c r="L1" s="3483">
        <v>2.5</v>
      </c>
      <c r="M1" s="3483" t="s">
        <v>2820</v>
      </c>
      <c r="N1" s="3483" t="s">
        <v>2820</v>
      </c>
      <c r="O1" s="3483" t="s">
        <v>2820</v>
      </c>
      <c r="P1" s="3483" t="s">
        <v>2820</v>
      </c>
      <c r="Q1" s="3483" t="s">
        <v>2820</v>
      </c>
      <c r="R1" s="3483" t="s">
        <v>2820</v>
      </c>
      <c r="S1" s="3483" t="s">
        <v>2820</v>
      </c>
      <c r="T1" s="3483" t="s">
        <v>3111</v>
      </c>
      <c r="U1" s="3483" t="s">
        <v>3112</v>
      </c>
      <c r="V1" s="3483" t="s">
        <v>2820</v>
      </c>
      <c r="W1" s="3483" t="s">
        <v>3137</v>
      </c>
      <c r="X1" s="3483" t="s">
        <v>3179</v>
      </c>
      <c r="Y1" s="3483" t="s">
        <v>3180</v>
      </c>
      <c r="Z1" s="3483" t="s">
        <v>3181</v>
      </c>
      <c r="AA1" s="3483" t="s">
        <v>3181</v>
      </c>
      <c r="AB1" s="3483" t="s">
        <v>3177</v>
      </c>
      <c r="AC1" s="3483" t="s">
        <v>3096</v>
      </c>
      <c r="AD1" s="3483" t="s">
        <v>3182</v>
      </c>
      <c r="AE1" s="3483">
        <v>144000</v>
      </c>
      <c r="AF1" s="3483">
        <v>478000</v>
      </c>
      <c r="AG1" s="3483">
        <v>716500</v>
      </c>
      <c r="AH1" s="3483">
        <v>4177.25</v>
      </c>
      <c r="AI1" s="3483">
        <v>6261.51</v>
      </c>
      <c r="AJ1" s="3483">
        <v>26266.17</v>
      </c>
      <c r="AK1" s="3483">
        <v>39371.79</v>
      </c>
      <c r="AL1" s="3483" t="s">
        <v>2820</v>
      </c>
      <c r="AM1" s="3483" t="s">
        <v>2820</v>
      </c>
      <c r="AN1" s="3483">
        <v>49.9</v>
      </c>
      <c r="AO1" s="3483" t="s">
        <v>3098</v>
      </c>
      <c r="AP1" s="3483" t="s">
        <v>2820</v>
      </c>
      <c r="AQ1" s="3483" t="s">
        <v>2820</v>
      </c>
      <c r="AR1" s="3483" t="s">
        <v>2820</v>
      </c>
    </row>
    <row r="2" spans="1:44" s="3483" customFormat="1">
      <c r="A2" s="3483" t="s">
        <v>3183</v>
      </c>
      <c r="B2" s="3483" t="s">
        <v>1948</v>
      </c>
      <c r="C2" s="3483" t="s">
        <v>3082</v>
      </c>
      <c r="D2" s="3483" t="s">
        <v>3083</v>
      </c>
      <c r="E2" s="3483" t="s">
        <v>2820</v>
      </c>
      <c r="F2" s="3483" t="s">
        <v>3184</v>
      </c>
      <c r="G2" s="3483" t="s">
        <v>3085</v>
      </c>
      <c r="H2" s="3483" t="s">
        <v>3185</v>
      </c>
      <c r="I2" s="3483" t="s">
        <v>3119</v>
      </c>
      <c r="J2" s="3483">
        <v>28212.35</v>
      </c>
      <c r="K2" s="3483">
        <v>70531</v>
      </c>
      <c r="L2" s="3483">
        <v>2.5</v>
      </c>
      <c r="M2" s="3483" t="s">
        <v>2820</v>
      </c>
      <c r="N2" s="3483" t="s">
        <v>3103</v>
      </c>
      <c r="O2" s="3483" t="s">
        <v>3121</v>
      </c>
      <c r="P2" s="3483" t="s">
        <v>2820</v>
      </c>
      <c r="Q2" s="3483" t="s">
        <v>2820</v>
      </c>
      <c r="R2" s="3483" t="s">
        <v>2820</v>
      </c>
      <c r="S2" s="3483" t="s">
        <v>2820</v>
      </c>
      <c r="T2" s="3483" t="s">
        <v>3111</v>
      </c>
      <c r="U2" s="3483" t="s">
        <v>3112</v>
      </c>
      <c r="V2" s="3483" t="s">
        <v>2820</v>
      </c>
      <c r="W2" s="3483" t="s">
        <v>3137</v>
      </c>
      <c r="X2" s="3483" t="s">
        <v>3186</v>
      </c>
      <c r="Y2" s="3483" t="s">
        <v>3187</v>
      </c>
      <c r="Z2" s="3483" t="s">
        <v>3188</v>
      </c>
      <c r="AA2" s="3483" t="s">
        <v>3188</v>
      </c>
      <c r="AB2" s="3483" t="s">
        <v>3185</v>
      </c>
      <c r="AC2" s="3483" t="s">
        <v>3096</v>
      </c>
      <c r="AD2" s="3483" t="s">
        <v>3189</v>
      </c>
      <c r="AE2" s="3483">
        <v>57000</v>
      </c>
      <c r="AF2" s="3483">
        <v>190000</v>
      </c>
      <c r="AG2" s="3483">
        <v>270000</v>
      </c>
      <c r="AH2" s="3483">
        <v>4489.76</v>
      </c>
      <c r="AI2" s="3483">
        <v>6380.18</v>
      </c>
      <c r="AJ2" s="3483">
        <v>26938.5</v>
      </c>
      <c r="AK2" s="3483">
        <v>38281.040000000001</v>
      </c>
      <c r="AL2" s="3483" t="s">
        <v>2820</v>
      </c>
      <c r="AM2" s="3483" t="s">
        <v>2820</v>
      </c>
      <c r="AN2" s="3483">
        <v>42.11</v>
      </c>
      <c r="AO2" s="3483" t="s">
        <v>3098</v>
      </c>
      <c r="AP2" s="3483" t="s">
        <v>2820</v>
      </c>
      <c r="AQ2" s="3483" t="s">
        <v>2820</v>
      </c>
      <c r="AR2" s="3483" t="s">
        <v>2820</v>
      </c>
    </row>
    <row r="3" spans="1:44" s="3483" customFormat="1">
      <c r="A3" s="3483" t="s">
        <v>3198</v>
      </c>
      <c r="B3" s="3483" t="s">
        <v>1948</v>
      </c>
      <c r="C3" s="3483" t="s">
        <v>3082</v>
      </c>
      <c r="D3" s="3483" t="s">
        <v>3083</v>
      </c>
      <c r="E3" s="3483" t="s">
        <v>2820</v>
      </c>
      <c r="F3" s="3483" t="s">
        <v>3184</v>
      </c>
      <c r="G3" s="3483" t="s">
        <v>3085</v>
      </c>
      <c r="H3" s="3483" t="s">
        <v>3199</v>
      </c>
      <c r="I3" s="3483" t="s">
        <v>3119</v>
      </c>
      <c r="J3" s="3483">
        <v>22717.91</v>
      </c>
      <c r="K3" s="3483">
        <v>56795</v>
      </c>
      <c r="L3" s="3483">
        <v>2.5</v>
      </c>
      <c r="M3" s="3483" t="s">
        <v>2820</v>
      </c>
      <c r="N3" s="3483" t="s">
        <v>3103</v>
      </c>
      <c r="O3" s="3483" t="s">
        <v>3121</v>
      </c>
      <c r="P3" s="3483" t="s">
        <v>2820</v>
      </c>
      <c r="Q3" s="3483" t="s">
        <v>2820</v>
      </c>
      <c r="R3" s="3483" t="s">
        <v>2820</v>
      </c>
      <c r="S3" s="3483" t="s">
        <v>2820</v>
      </c>
      <c r="T3" s="3483" t="s">
        <v>3111</v>
      </c>
      <c r="U3" s="3483" t="s">
        <v>3156</v>
      </c>
      <c r="V3" s="3483" t="s">
        <v>2820</v>
      </c>
      <c r="W3" s="3483" t="s">
        <v>3137</v>
      </c>
      <c r="X3" s="3483" t="s">
        <v>3194</v>
      </c>
      <c r="Y3" s="3483" t="s">
        <v>3195</v>
      </c>
      <c r="Z3" s="3483" t="s">
        <v>3196</v>
      </c>
      <c r="AA3" s="3483" t="s">
        <v>3196</v>
      </c>
      <c r="AB3" s="3483" t="s">
        <v>3199</v>
      </c>
      <c r="AC3" s="3483" t="s">
        <v>3096</v>
      </c>
      <c r="AD3" s="3483" t="s">
        <v>3200</v>
      </c>
      <c r="AE3" s="3483">
        <v>46000</v>
      </c>
      <c r="AF3" s="3483">
        <v>153000</v>
      </c>
      <c r="AG3" s="3483">
        <v>229000</v>
      </c>
      <c r="AH3" s="3483">
        <v>4489.8500000000004</v>
      </c>
      <c r="AI3" s="3483">
        <v>6720.1</v>
      </c>
      <c r="AJ3" s="3483">
        <v>26938.99</v>
      </c>
      <c r="AK3" s="3483">
        <v>40320.44</v>
      </c>
      <c r="AL3" s="3483" t="s">
        <v>2820</v>
      </c>
      <c r="AM3" s="3483" t="s">
        <v>2820</v>
      </c>
      <c r="AN3" s="3483">
        <v>49.67</v>
      </c>
      <c r="AO3" s="3483" t="s">
        <v>3098</v>
      </c>
      <c r="AP3" s="3483" t="s">
        <v>2820</v>
      </c>
      <c r="AQ3" s="3483">
        <v>6</v>
      </c>
      <c r="AR3" s="3483" t="s">
        <v>2820</v>
      </c>
    </row>
    <row r="5" spans="1:44" s="2939" customFormat="1">
      <c r="A5" s="2939" t="s">
        <v>3038</v>
      </c>
      <c r="B5" s="2939" t="s">
        <v>3039</v>
      </c>
      <c r="C5" s="2939" t="s">
        <v>3040</v>
      </c>
      <c r="D5" s="2939" t="s">
        <v>3041</v>
      </c>
      <c r="E5" s="2939" t="s">
        <v>3042</v>
      </c>
      <c r="F5" s="2939" t="s">
        <v>3043</v>
      </c>
      <c r="G5" s="2939" t="s">
        <v>3044</v>
      </c>
      <c r="H5" s="2939" t="s">
        <v>3045</v>
      </c>
      <c r="I5" s="2939" t="s">
        <v>3046</v>
      </c>
      <c r="J5" s="2939" t="s">
        <v>3047</v>
      </c>
      <c r="K5" s="2939" t="s">
        <v>3048</v>
      </c>
      <c r="L5" s="2939" t="s">
        <v>2034</v>
      </c>
      <c r="M5" s="2939" t="s">
        <v>3049</v>
      </c>
      <c r="N5" s="2939" t="s">
        <v>3050</v>
      </c>
      <c r="O5" s="2939" t="s">
        <v>3051</v>
      </c>
      <c r="P5" s="2939" t="s">
        <v>3052</v>
      </c>
      <c r="Q5" s="2939" t="s">
        <v>3053</v>
      </c>
      <c r="R5" s="2939" t="s">
        <v>3054</v>
      </c>
      <c r="S5" s="2939" t="s">
        <v>3055</v>
      </c>
      <c r="T5" s="2939" t="s">
        <v>3056</v>
      </c>
      <c r="U5" s="2939" t="s">
        <v>3057</v>
      </c>
      <c r="V5" s="2939" t="s">
        <v>3058</v>
      </c>
      <c r="W5" s="2939" t="s">
        <v>3059</v>
      </c>
      <c r="X5" s="2939" t="s">
        <v>3060</v>
      </c>
      <c r="Y5" s="2939" t="s">
        <v>3061</v>
      </c>
      <c r="Z5" s="2939" t="s">
        <v>3062</v>
      </c>
      <c r="AA5" s="2939" t="s">
        <v>3063</v>
      </c>
      <c r="AB5" s="2939" t="s">
        <v>3064</v>
      </c>
      <c r="AC5" s="2939" t="s">
        <v>3065</v>
      </c>
      <c r="AD5" s="2939" t="s">
        <v>3066</v>
      </c>
      <c r="AE5" s="2939" t="s">
        <v>3067</v>
      </c>
      <c r="AF5" s="2939" t="s">
        <v>3068</v>
      </c>
      <c r="AG5" s="2939" t="s">
        <v>3069</v>
      </c>
      <c r="AH5" s="2939" t="s">
        <v>3070</v>
      </c>
      <c r="AI5" s="2939" t="s">
        <v>3071</v>
      </c>
      <c r="AJ5" s="2939" t="s">
        <v>3072</v>
      </c>
      <c r="AK5" s="2939" t="s">
        <v>3073</v>
      </c>
      <c r="AL5" s="2939" t="s">
        <v>3074</v>
      </c>
      <c r="AM5" s="2939" t="s">
        <v>3075</v>
      </c>
      <c r="AN5" s="2939" t="s">
        <v>3076</v>
      </c>
      <c r="AO5" s="2939" t="s">
        <v>3077</v>
      </c>
      <c r="AP5" s="2939" t="s">
        <v>3078</v>
      </c>
      <c r="AQ5" s="2939" t="s">
        <v>3079</v>
      </c>
      <c r="AR5" s="2939" t="s">
        <v>3080</v>
      </c>
    </row>
    <row r="6" spans="1:44" s="3483" customFormat="1">
      <c r="A6" s="3483" t="s">
        <v>3081</v>
      </c>
      <c r="B6" s="3483" t="s">
        <v>1948</v>
      </c>
      <c r="C6" s="3483" t="s">
        <v>3082</v>
      </c>
      <c r="D6" s="3483" t="s">
        <v>3083</v>
      </c>
      <c r="E6" s="3483" t="s">
        <v>2820</v>
      </c>
      <c r="F6" s="3483" t="s">
        <v>3084</v>
      </c>
      <c r="G6" s="3483" t="s">
        <v>3085</v>
      </c>
      <c r="H6" s="3483" t="s">
        <v>3086</v>
      </c>
      <c r="I6" s="3483" t="s">
        <v>3087</v>
      </c>
      <c r="J6" s="3483">
        <v>53689</v>
      </c>
      <c r="K6" s="3483">
        <v>110976</v>
      </c>
      <c r="L6" s="3483">
        <v>2.0670155897856168</v>
      </c>
      <c r="M6" s="3483" t="s">
        <v>2820</v>
      </c>
      <c r="N6" s="3483" t="s">
        <v>3088</v>
      </c>
      <c r="O6" s="3483" t="s">
        <v>3089</v>
      </c>
      <c r="P6" s="3483" t="s">
        <v>2820</v>
      </c>
      <c r="Q6" s="3483" t="s">
        <v>2820</v>
      </c>
      <c r="R6" s="3483" t="s">
        <v>2820</v>
      </c>
      <c r="S6" s="3483" t="s">
        <v>2820</v>
      </c>
      <c r="T6" s="3483" t="s">
        <v>3090</v>
      </c>
      <c r="U6" s="3483" t="s">
        <v>3091</v>
      </c>
      <c r="V6" s="3483" t="s">
        <v>2820</v>
      </c>
      <c r="W6" s="3483" t="s">
        <v>3092</v>
      </c>
      <c r="X6" s="3483" t="s">
        <v>3093</v>
      </c>
      <c r="Y6" s="3483" t="s">
        <v>3094</v>
      </c>
      <c r="Z6" s="3483" t="s">
        <v>3095</v>
      </c>
      <c r="AA6" s="3483" t="s">
        <v>3095</v>
      </c>
      <c r="AB6" s="3483" t="s">
        <v>3086</v>
      </c>
      <c r="AC6" s="3483" t="s">
        <v>3096</v>
      </c>
      <c r="AD6" s="3483" t="s">
        <v>3097</v>
      </c>
      <c r="AE6" s="3483">
        <v>62000</v>
      </c>
      <c r="AF6" s="3483">
        <v>206000</v>
      </c>
      <c r="AG6" s="3483">
        <v>208000</v>
      </c>
      <c r="AH6" s="3483">
        <v>2557.94</v>
      </c>
      <c r="AI6" s="3483">
        <v>2582.7800000000002</v>
      </c>
      <c r="AJ6" s="3483">
        <v>18562.57</v>
      </c>
      <c r="AK6" s="3483">
        <v>18742.79</v>
      </c>
      <c r="AL6" s="3483" t="s">
        <v>2820</v>
      </c>
      <c r="AM6" s="3483" t="s">
        <v>2820</v>
      </c>
      <c r="AN6" s="3483">
        <v>0.97</v>
      </c>
      <c r="AO6" s="3483" t="s">
        <v>3098</v>
      </c>
      <c r="AP6" s="3483" t="s">
        <v>2820</v>
      </c>
      <c r="AQ6" s="3483" t="s">
        <v>2820</v>
      </c>
      <c r="AR6" s="3483" t="s">
        <v>2820</v>
      </c>
    </row>
    <row r="7" spans="1:44" s="3483" customFormat="1">
      <c r="A7" s="3483" t="s">
        <v>3099</v>
      </c>
      <c r="B7" s="3483" t="s">
        <v>1948</v>
      </c>
      <c r="C7" s="3483" t="s">
        <v>3100</v>
      </c>
      <c r="D7" s="3483" t="s">
        <v>3083</v>
      </c>
      <c r="E7" s="3483" t="s">
        <v>2820</v>
      </c>
      <c r="F7" s="3483" t="s">
        <v>3084</v>
      </c>
      <c r="G7" s="3483" t="s">
        <v>3085</v>
      </c>
      <c r="H7" s="3483" t="s">
        <v>3101</v>
      </c>
      <c r="I7" s="3483" t="s">
        <v>3102</v>
      </c>
      <c r="J7" s="3483">
        <v>39735</v>
      </c>
      <c r="K7" s="3483">
        <v>87417</v>
      </c>
      <c r="L7" s="3483">
        <v>2.2000000000000002</v>
      </c>
      <c r="M7" s="3483" t="s">
        <v>2820</v>
      </c>
      <c r="N7" s="3483" t="s">
        <v>3103</v>
      </c>
      <c r="O7" s="3483" t="s">
        <v>3104</v>
      </c>
      <c r="P7" s="3483" t="s">
        <v>2820</v>
      </c>
      <c r="Q7" s="3483" t="s">
        <v>2820</v>
      </c>
      <c r="R7" s="3483" t="s">
        <v>2820</v>
      </c>
      <c r="S7" s="3483" t="s">
        <v>2820</v>
      </c>
      <c r="T7" s="3483" t="s">
        <v>3105</v>
      </c>
      <c r="U7" s="3483" t="s">
        <v>2820</v>
      </c>
      <c r="V7" s="3483" t="s">
        <v>2820</v>
      </c>
      <c r="W7" s="3483" t="s">
        <v>3092</v>
      </c>
      <c r="X7" s="3483" t="s">
        <v>3093</v>
      </c>
      <c r="Y7" s="3483" t="s">
        <v>3094</v>
      </c>
      <c r="Z7" s="3483" t="s">
        <v>3095</v>
      </c>
      <c r="AA7" s="3483" t="s">
        <v>3095</v>
      </c>
      <c r="AB7" s="3483" t="s">
        <v>3101</v>
      </c>
      <c r="AC7" s="3483" t="s">
        <v>3096</v>
      </c>
      <c r="AD7" s="3483" t="s">
        <v>3106</v>
      </c>
      <c r="AE7" s="3483">
        <v>51000</v>
      </c>
      <c r="AF7" s="3483">
        <v>170000</v>
      </c>
      <c r="AG7" s="3483">
        <v>172700</v>
      </c>
      <c r="AH7" s="3483">
        <v>2852.23</v>
      </c>
      <c r="AI7" s="3483">
        <v>2897.53</v>
      </c>
      <c r="AJ7" s="3483">
        <v>19447.009999999998</v>
      </c>
      <c r="AK7" s="3483">
        <v>19755.88</v>
      </c>
      <c r="AL7" s="3483" t="s">
        <v>2820</v>
      </c>
      <c r="AM7" s="3483" t="s">
        <v>2820</v>
      </c>
      <c r="AN7" s="3483">
        <v>1.59</v>
      </c>
      <c r="AO7" s="3483" t="s">
        <v>3098</v>
      </c>
      <c r="AP7" s="3483" t="s">
        <v>2820</v>
      </c>
      <c r="AQ7" s="3483" t="s">
        <v>2820</v>
      </c>
      <c r="AR7" s="3483" t="s">
        <v>2820</v>
      </c>
    </row>
    <row r="8" spans="1:44" s="3483" customFormat="1">
      <c r="A8" s="3483" t="s">
        <v>3107</v>
      </c>
      <c r="B8" s="3483" t="s">
        <v>1948</v>
      </c>
      <c r="C8" s="3483" t="s">
        <v>3100</v>
      </c>
      <c r="D8" s="3483" t="s">
        <v>3083</v>
      </c>
      <c r="E8" s="3483" t="s">
        <v>2820</v>
      </c>
      <c r="F8" s="3483" t="s">
        <v>3108</v>
      </c>
      <c r="G8" s="3483" t="s">
        <v>3085</v>
      </c>
      <c r="H8" s="3483" t="s">
        <v>3109</v>
      </c>
      <c r="I8" s="3483" t="s">
        <v>3102</v>
      </c>
      <c r="J8" s="3483">
        <v>74464</v>
      </c>
      <c r="K8" s="3483">
        <v>119142</v>
      </c>
      <c r="L8" s="3483">
        <v>1.6</v>
      </c>
      <c r="M8" s="3483" t="s">
        <v>2820</v>
      </c>
      <c r="N8" s="3483" t="s">
        <v>3103</v>
      </c>
      <c r="O8" s="3483" t="s">
        <v>3110</v>
      </c>
      <c r="P8" s="3483" t="s">
        <v>2820</v>
      </c>
      <c r="Q8" s="3483" t="s">
        <v>2820</v>
      </c>
      <c r="R8" s="3483" t="s">
        <v>2820</v>
      </c>
      <c r="S8" s="3483" t="s">
        <v>2820</v>
      </c>
      <c r="T8" s="3483" t="s">
        <v>3111</v>
      </c>
      <c r="U8" s="3483" t="s">
        <v>3112</v>
      </c>
      <c r="V8" s="3483" t="s">
        <v>2820</v>
      </c>
      <c r="W8" s="3483" t="s">
        <v>3092</v>
      </c>
      <c r="X8" s="3483" t="s">
        <v>3113</v>
      </c>
      <c r="Y8" s="3483" t="s">
        <v>3114</v>
      </c>
      <c r="Z8" s="3483" t="s">
        <v>3115</v>
      </c>
      <c r="AA8" s="3483" t="s">
        <v>3115</v>
      </c>
      <c r="AB8" s="3483" t="s">
        <v>3109</v>
      </c>
      <c r="AC8" s="3483" t="s">
        <v>3096</v>
      </c>
      <c r="AD8" s="3483" t="s">
        <v>3106</v>
      </c>
      <c r="AE8" s="3483">
        <v>69000</v>
      </c>
      <c r="AF8" s="3483">
        <v>230000</v>
      </c>
      <c r="AG8" s="3483">
        <v>327500</v>
      </c>
      <c r="AH8" s="3483">
        <v>2059.16</v>
      </c>
      <c r="AI8" s="3483">
        <v>2932.07</v>
      </c>
      <c r="AJ8" s="3483">
        <v>19304.689999999999</v>
      </c>
      <c r="AK8" s="3483">
        <v>27488.2</v>
      </c>
      <c r="AL8" s="3483" t="s">
        <v>2820</v>
      </c>
      <c r="AM8" s="3483" t="s">
        <v>2820</v>
      </c>
      <c r="AN8" s="3483">
        <v>42.39</v>
      </c>
      <c r="AO8" s="3483" t="s">
        <v>3098</v>
      </c>
      <c r="AP8" s="3483" t="s">
        <v>2820</v>
      </c>
      <c r="AQ8" s="3483" t="s">
        <v>2820</v>
      </c>
      <c r="AR8" s="3483" t="s">
        <v>2820</v>
      </c>
    </row>
    <row r="9" spans="1:44" s="3483" customFormat="1">
      <c r="A9" s="3483" t="s">
        <v>3116</v>
      </c>
      <c r="B9" s="3483" t="s">
        <v>1948</v>
      </c>
      <c r="C9" s="3483" t="s">
        <v>3082</v>
      </c>
      <c r="D9" s="3483" t="s">
        <v>3083</v>
      </c>
      <c r="E9" s="3483" t="s">
        <v>2820</v>
      </c>
      <c r="F9" s="3483" t="s">
        <v>3117</v>
      </c>
      <c r="G9" s="3483" t="s">
        <v>3085</v>
      </c>
      <c r="H9" s="3483" t="s">
        <v>3118</v>
      </c>
      <c r="I9" s="3483" t="s">
        <v>3119</v>
      </c>
      <c r="J9" s="3483">
        <v>39491.11</v>
      </c>
      <c r="K9" s="3483">
        <v>98728</v>
      </c>
      <c r="L9" s="3483">
        <v>2.5</v>
      </c>
      <c r="M9" s="3483" t="s">
        <v>2820</v>
      </c>
      <c r="N9" s="3483" t="s">
        <v>3120</v>
      </c>
      <c r="O9" s="3483" t="s">
        <v>3121</v>
      </c>
      <c r="P9" s="3483" t="s">
        <v>2820</v>
      </c>
      <c r="Q9" s="3483" t="s">
        <v>2820</v>
      </c>
      <c r="R9" s="3483" t="s">
        <v>2820</v>
      </c>
      <c r="S9" s="3483" t="s">
        <v>2820</v>
      </c>
      <c r="T9" s="3483" t="s">
        <v>3111</v>
      </c>
      <c r="U9" s="3483" t="s">
        <v>3112</v>
      </c>
      <c r="V9" s="3483" t="s">
        <v>2820</v>
      </c>
      <c r="W9" s="3483" t="s">
        <v>3092</v>
      </c>
      <c r="X9" s="3483" t="s">
        <v>3122</v>
      </c>
      <c r="Y9" s="3483" t="s">
        <v>3123</v>
      </c>
      <c r="Z9" s="3483" t="s">
        <v>3124</v>
      </c>
      <c r="AA9" s="3483" t="s">
        <v>3124</v>
      </c>
      <c r="AB9" s="3483" t="s">
        <v>3118</v>
      </c>
      <c r="AC9" s="3483" t="s">
        <v>3096</v>
      </c>
      <c r="AD9" s="3483" t="s">
        <v>3125</v>
      </c>
      <c r="AE9" s="3483">
        <v>72000</v>
      </c>
      <c r="AF9" s="3483">
        <v>266000</v>
      </c>
      <c r="AG9" s="3483">
        <v>302500</v>
      </c>
      <c r="AH9" s="3483">
        <v>4490.46</v>
      </c>
      <c r="AI9" s="3483">
        <v>5106.63</v>
      </c>
      <c r="AJ9" s="3483">
        <v>26942.7</v>
      </c>
      <c r="AK9" s="3483">
        <v>30639.74</v>
      </c>
      <c r="AL9" s="3483" t="s">
        <v>2820</v>
      </c>
      <c r="AM9" s="3483" t="s">
        <v>2820</v>
      </c>
      <c r="AN9" s="3483">
        <v>13.72</v>
      </c>
      <c r="AO9" s="3483" t="s">
        <v>3098</v>
      </c>
      <c r="AP9" s="3483" t="s">
        <v>2820</v>
      </c>
      <c r="AQ9" s="3483" t="s">
        <v>2820</v>
      </c>
      <c r="AR9" s="3483" t="s">
        <v>2820</v>
      </c>
    </row>
    <row r="10" spans="1:44" s="3484" customFormat="1" ht="12.75">
      <c r="A10" s="3484" t="s">
        <v>3126</v>
      </c>
      <c r="B10" s="3484" t="s">
        <v>1948</v>
      </c>
      <c r="C10" s="3484" t="s">
        <v>3100</v>
      </c>
      <c r="D10" s="3484" t="s">
        <v>3083</v>
      </c>
      <c r="E10" s="3484" t="s">
        <v>2820</v>
      </c>
      <c r="F10" s="3484" t="s">
        <v>3117</v>
      </c>
      <c r="G10" s="3484" t="s">
        <v>3127</v>
      </c>
      <c r="H10" s="3484" t="s">
        <v>3128</v>
      </c>
      <c r="I10" s="3484" t="s">
        <v>3102</v>
      </c>
      <c r="J10" s="3484">
        <v>20291.37</v>
      </c>
      <c r="K10" s="3484">
        <v>36524</v>
      </c>
      <c r="L10" s="3484">
        <v>1.8</v>
      </c>
      <c r="M10" s="3484" t="s">
        <v>2820</v>
      </c>
      <c r="N10" s="3484" t="s">
        <v>3129</v>
      </c>
      <c r="O10" s="3484" t="s">
        <v>3110</v>
      </c>
      <c r="P10" s="3484" t="s">
        <v>2820</v>
      </c>
      <c r="Q10" s="3484" t="s">
        <v>2820</v>
      </c>
      <c r="R10" s="3484" t="s">
        <v>2820</v>
      </c>
      <c r="S10" s="3484" t="s">
        <v>3130</v>
      </c>
      <c r="T10" s="3484" t="s">
        <v>3131</v>
      </c>
      <c r="U10" s="3484" t="s">
        <v>2820</v>
      </c>
      <c r="V10" s="3484" t="s">
        <v>2820</v>
      </c>
      <c r="W10" s="3484" t="s">
        <v>3092</v>
      </c>
      <c r="X10" s="3484" t="s">
        <v>3122</v>
      </c>
      <c r="Y10" s="3484" t="s">
        <v>3132</v>
      </c>
      <c r="Z10" s="3484" t="s">
        <v>3132</v>
      </c>
      <c r="AA10" s="3484" t="s">
        <v>3132</v>
      </c>
      <c r="AB10" s="3484" t="s">
        <v>3128</v>
      </c>
      <c r="AC10" s="3484" t="s">
        <v>3096</v>
      </c>
      <c r="AD10" s="3484" t="s">
        <v>3133</v>
      </c>
      <c r="AE10" s="3484">
        <v>19000</v>
      </c>
      <c r="AF10" s="3484" t="s">
        <v>2820</v>
      </c>
      <c r="AG10" s="3484">
        <v>62800</v>
      </c>
      <c r="AH10" s="3484" t="s">
        <v>2820</v>
      </c>
      <c r="AI10" s="3484">
        <v>2063.27</v>
      </c>
      <c r="AJ10" s="3484" t="s">
        <v>2820</v>
      </c>
      <c r="AK10" s="3484">
        <v>17194.16</v>
      </c>
      <c r="AL10" s="3484" t="s">
        <v>2820</v>
      </c>
      <c r="AM10" s="3484" t="s">
        <v>2820</v>
      </c>
      <c r="AN10" s="3484" t="s">
        <v>2820</v>
      </c>
      <c r="AO10" s="3484" t="s">
        <v>3098</v>
      </c>
      <c r="AP10" s="3484" t="s">
        <v>2820</v>
      </c>
      <c r="AQ10" s="3484" t="s">
        <v>2820</v>
      </c>
      <c r="AR10" s="3484" t="s">
        <v>2820</v>
      </c>
    </row>
    <row r="11" spans="1:44" s="3484" customFormat="1" ht="12.75">
      <c r="A11" s="3484" t="s">
        <v>3134</v>
      </c>
      <c r="B11" s="3484" t="s">
        <v>1948</v>
      </c>
      <c r="C11" s="3484" t="s">
        <v>3100</v>
      </c>
      <c r="D11" s="3484" t="s">
        <v>3083</v>
      </c>
      <c r="E11" s="3484" t="s">
        <v>2820</v>
      </c>
      <c r="F11" s="3484" t="s">
        <v>3084</v>
      </c>
      <c r="G11" s="3484" t="s">
        <v>3085</v>
      </c>
      <c r="H11" s="3484" t="s">
        <v>3135</v>
      </c>
      <c r="I11" s="3484" t="s">
        <v>3102</v>
      </c>
      <c r="J11" s="3484">
        <v>95947</v>
      </c>
      <c r="K11" s="3484">
        <v>211083</v>
      </c>
      <c r="L11" s="3484">
        <v>2.2000000000000002</v>
      </c>
      <c r="M11" s="3484" t="s">
        <v>2820</v>
      </c>
      <c r="N11" s="3484" t="s">
        <v>3103</v>
      </c>
      <c r="O11" s="3484" t="s">
        <v>3104</v>
      </c>
      <c r="P11" s="3484" t="s">
        <v>2820</v>
      </c>
      <c r="Q11" s="3484" t="s">
        <v>2820</v>
      </c>
      <c r="R11" s="3484" t="s">
        <v>2820</v>
      </c>
      <c r="S11" s="3484" t="s">
        <v>3136</v>
      </c>
      <c r="T11" s="3484" t="s">
        <v>3131</v>
      </c>
      <c r="U11" s="3484" t="s">
        <v>3131</v>
      </c>
      <c r="V11" s="3484" t="s">
        <v>2820</v>
      </c>
      <c r="W11" s="3484" t="s">
        <v>3137</v>
      </c>
      <c r="X11" s="3484" t="s">
        <v>3138</v>
      </c>
      <c r="Y11" s="3484" t="s">
        <v>3139</v>
      </c>
      <c r="Z11" s="3484" t="s">
        <v>3140</v>
      </c>
      <c r="AA11" s="3484" t="s">
        <v>3140</v>
      </c>
      <c r="AB11" s="3484" t="s">
        <v>3135</v>
      </c>
      <c r="AC11" s="3484" t="s">
        <v>3096</v>
      </c>
      <c r="AD11" s="3484" t="s">
        <v>3141</v>
      </c>
      <c r="AE11" s="3484">
        <v>110000</v>
      </c>
      <c r="AF11" s="3484">
        <v>370000</v>
      </c>
      <c r="AG11" s="3484">
        <v>370000</v>
      </c>
      <c r="AH11" s="3484">
        <v>2570.86</v>
      </c>
      <c r="AI11" s="3484">
        <v>2570.86</v>
      </c>
      <c r="AJ11" s="3484">
        <v>17528.650000000001</v>
      </c>
      <c r="AK11" s="3484">
        <v>17528.650000000001</v>
      </c>
      <c r="AL11" s="3484" t="s">
        <v>2820</v>
      </c>
      <c r="AM11" s="3484" t="s">
        <v>2820</v>
      </c>
      <c r="AN11" s="3484">
        <v>0</v>
      </c>
      <c r="AO11" s="3484" t="s">
        <v>3098</v>
      </c>
      <c r="AP11" s="3484" t="s">
        <v>2820</v>
      </c>
      <c r="AQ11" s="3484" t="s">
        <v>2820</v>
      </c>
      <c r="AR11" s="3484" t="s">
        <v>2820</v>
      </c>
    </row>
    <row r="12" spans="1:44" s="3483" customFormat="1">
      <c r="A12" s="3483" t="s">
        <v>3142</v>
      </c>
      <c r="B12" s="3483" t="s">
        <v>1948</v>
      </c>
      <c r="C12" s="3483" t="s">
        <v>3082</v>
      </c>
      <c r="D12" s="3483" t="s">
        <v>3083</v>
      </c>
      <c r="E12" s="3483" t="s">
        <v>2820</v>
      </c>
      <c r="F12" s="3483" t="s">
        <v>3117</v>
      </c>
      <c r="G12" s="3483" t="s">
        <v>3085</v>
      </c>
      <c r="H12" s="3483" t="s">
        <v>3143</v>
      </c>
      <c r="I12" s="3483" t="s">
        <v>3144</v>
      </c>
      <c r="J12" s="3483">
        <v>90424</v>
      </c>
      <c r="K12" s="3483">
        <v>220105</v>
      </c>
      <c r="L12" s="3483">
        <v>2.4300000000000002</v>
      </c>
      <c r="M12" s="3483" t="s">
        <v>2820</v>
      </c>
      <c r="N12" s="3483" t="s">
        <v>3145</v>
      </c>
      <c r="O12" s="3483" t="s">
        <v>3146</v>
      </c>
      <c r="P12" s="3483" t="s">
        <v>2820</v>
      </c>
      <c r="Q12" s="3483" t="s">
        <v>2820</v>
      </c>
      <c r="R12" s="3483" t="s">
        <v>2820</v>
      </c>
      <c r="S12" s="3483" t="s">
        <v>2820</v>
      </c>
      <c r="T12" s="3483" t="s">
        <v>3147</v>
      </c>
      <c r="U12" s="3483" t="s">
        <v>3112</v>
      </c>
      <c r="V12" s="3483" t="s">
        <v>2820</v>
      </c>
      <c r="W12" s="3483" t="s">
        <v>3137</v>
      </c>
      <c r="X12" s="3483" t="s">
        <v>3148</v>
      </c>
      <c r="Y12" s="3483" t="s">
        <v>3149</v>
      </c>
      <c r="Z12" s="3483" t="s">
        <v>3150</v>
      </c>
      <c r="AA12" s="3483" t="s">
        <v>3150</v>
      </c>
      <c r="AB12" s="3483" t="s">
        <v>3143</v>
      </c>
      <c r="AC12" s="3483" t="s">
        <v>3096</v>
      </c>
      <c r="AD12" s="3483" t="s">
        <v>3151</v>
      </c>
      <c r="AE12" s="3483">
        <v>110000</v>
      </c>
      <c r="AF12" s="3483">
        <v>360000</v>
      </c>
      <c r="AG12" s="3483">
        <v>360000</v>
      </c>
      <c r="AH12" s="3483">
        <v>2654.16</v>
      </c>
      <c r="AI12" s="3483">
        <v>2654.16</v>
      </c>
      <c r="AJ12" s="3483">
        <v>16355.82</v>
      </c>
      <c r="AK12" s="3483">
        <v>16355.82</v>
      </c>
      <c r="AL12" s="3483" t="s">
        <v>2820</v>
      </c>
      <c r="AM12" s="3483" t="s">
        <v>2820</v>
      </c>
      <c r="AN12" s="3483">
        <v>0</v>
      </c>
      <c r="AO12" s="3483" t="s">
        <v>3098</v>
      </c>
      <c r="AP12" s="3483" t="s">
        <v>2820</v>
      </c>
      <c r="AQ12" s="3483" t="s">
        <v>2820</v>
      </c>
      <c r="AR12" s="3483" t="s">
        <v>2820</v>
      </c>
    </row>
    <row r="13" spans="1:44" s="3483" customFormat="1">
      <c r="A13" s="3483" t="s">
        <v>3152</v>
      </c>
      <c r="B13" s="3483" t="s">
        <v>1948</v>
      </c>
      <c r="C13" s="3483" t="s">
        <v>3082</v>
      </c>
      <c r="D13" s="3483" t="s">
        <v>3083</v>
      </c>
      <c r="E13" s="3483" t="s">
        <v>2820</v>
      </c>
      <c r="F13" s="3483" t="s">
        <v>3153</v>
      </c>
      <c r="G13" s="3483" t="s">
        <v>3085</v>
      </c>
      <c r="H13" s="3483" t="s">
        <v>3154</v>
      </c>
      <c r="I13" s="3483" t="s">
        <v>3087</v>
      </c>
      <c r="J13" s="3483">
        <v>37662.699999999997</v>
      </c>
      <c r="K13" s="3483">
        <v>69250.399999999994</v>
      </c>
      <c r="L13" s="3483">
        <v>1.84</v>
      </c>
      <c r="M13" s="3483" t="s">
        <v>2820</v>
      </c>
      <c r="N13" s="3483" t="s">
        <v>3088</v>
      </c>
      <c r="O13" s="3483" t="s">
        <v>3155</v>
      </c>
      <c r="P13" s="3483" t="s">
        <v>2820</v>
      </c>
      <c r="Q13" s="3483" t="s">
        <v>2820</v>
      </c>
      <c r="R13" s="3483" t="s">
        <v>2820</v>
      </c>
      <c r="S13" s="3483" t="s">
        <v>2820</v>
      </c>
      <c r="T13" s="3483" t="s">
        <v>3111</v>
      </c>
      <c r="U13" s="3483" t="s">
        <v>3156</v>
      </c>
      <c r="V13" s="3483" t="s">
        <v>2820</v>
      </c>
      <c r="W13" s="3483" t="s">
        <v>3137</v>
      </c>
      <c r="X13" s="3483" t="s">
        <v>3157</v>
      </c>
      <c r="Y13" s="3483" t="s">
        <v>3158</v>
      </c>
      <c r="Z13" s="3483" t="s">
        <v>3159</v>
      </c>
      <c r="AA13" s="3483" t="s">
        <v>3159</v>
      </c>
      <c r="AB13" s="3483" t="s">
        <v>3154</v>
      </c>
      <c r="AC13" s="3483" t="s">
        <v>3096</v>
      </c>
      <c r="AD13" s="3483" t="s">
        <v>3160</v>
      </c>
      <c r="AE13" s="3483">
        <v>55000</v>
      </c>
      <c r="AF13" s="3483">
        <v>181000</v>
      </c>
      <c r="AG13" s="3483">
        <v>246000</v>
      </c>
      <c r="AH13" s="3483">
        <v>3203.88</v>
      </c>
      <c r="AI13" s="3483">
        <v>4354.4399999999996</v>
      </c>
      <c r="AJ13" s="3483">
        <v>26137.03</v>
      </c>
      <c r="AK13" s="3483">
        <v>35523.26</v>
      </c>
      <c r="AL13" s="3483" t="s">
        <v>2820</v>
      </c>
      <c r="AM13" s="3483" t="s">
        <v>2820</v>
      </c>
      <c r="AN13" s="3483">
        <v>35.909999999999997</v>
      </c>
      <c r="AO13" s="3483" t="s">
        <v>3098</v>
      </c>
      <c r="AP13" s="3483" t="s">
        <v>2820</v>
      </c>
      <c r="AQ13" s="3483">
        <v>22</v>
      </c>
      <c r="AR13" s="3483" t="s">
        <v>2820</v>
      </c>
    </row>
    <row r="14" spans="1:44" s="3484" customFormat="1" ht="12.75">
      <c r="A14" s="3484" t="s">
        <v>3161</v>
      </c>
      <c r="B14" s="3484" t="s">
        <v>1948</v>
      </c>
      <c r="C14" s="3484" t="s">
        <v>3082</v>
      </c>
      <c r="D14" s="3484" t="s">
        <v>3083</v>
      </c>
      <c r="E14" s="3484" t="s">
        <v>2820</v>
      </c>
      <c r="F14" s="3484" t="s">
        <v>3162</v>
      </c>
      <c r="G14" s="3484" t="s">
        <v>3085</v>
      </c>
      <c r="H14" s="3484" t="s">
        <v>3163</v>
      </c>
      <c r="I14" s="3484" t="s">
        <v>3164</v>
      </c>
      <c r="J14" s="3484">
        <v>48377.1</v>
      </c>
      <c r="K14" s="3484">
        <v>87296.2</v>
      </c>
      <c r="L14" s="3484">
        <v>1.8</v>
      </c>
      <c r="M14" s="3484" t="s">
        <v>2820</v>
      </c>
      <c r="N14" s="3484" t="s">
        <v>3103</v>
      </c>
      <c r="O14" s="3484" t="s">
        <v>3165</v>
      </c>
      <c r="P14" s="3484" t="s">
        <v>2820</v>
      </c>
      <c r="Q14" s="3484" t="s">
        <v>2820</v>
      </c>
      <c r="R14" s="3484" t="s">
        <v>2820</v>
      </c>
      <c r="S14" s="3484" t="s">
        <v>3166</v>
      </c>
      <c r="T14" s="3484" t="s">
        <v>3131</v>
      </c>
      <c r="U14" s="3484" t="s">
        <v>3131</v>
      </c>
      <c r="V14" s="3484" t="s">
        <v>2820</v>
      </c>
      <c r="W14" s="3484" t="s">
        <v>3137</v>
      </c>
      <c r="X14" s="3484" t="s">
        <v>3157</v>
      </c>
      <c r="Y14" s="3484" t="s">
        <v>3158</v>
      </c>
      <c r="Z14" s="3484" t="s">
        <v>3159</v>
      </c>
      <c r="AA14" s="3484" t="s">
        <v>3159</v>
      </c>
      <c r="AB14" s="3484" t="s">
        <v>3163</v>
      </c>
      <c r="AC14" s="3484" t="s">
        <v>3096</v>
      </c>
      <c r="AD14" s="3484" t="s">
        <v>3167</v>
      </c>
      <c r="AE14" s="3484">
        <v>48000</v>
      </c>
      <c r="AF14" s="3484">
        <v>160000</v>
      </c>
      <c r="AG14" s="3484">
        <v>222000</v>
      </c>
      <c r="AH14" s="3484">
        <v>2204.9</v>
      </c>
      <c r="AI14" s="3484">
        <v>3059.3</v>
      </c>
      <c r="AJ14" s="3484">
        <v>18328.400000000001</v>
      </c>
      <c r="AK14" s="3484">
        <v>25430.65</v>
      </c>
      <c r="AL14" s="3484" t="s">
        <v>2820</v>
      </c>
      <c r="AM14" s="3484" t="s">
        <v>2820</v>
      </c>
      <c r="AN14" s="3484">
        <v>38.75</v>
      </c>
      <c r="AO14" s="3484" t="s">
        <v>3098</v>
      </c>
      <c r="AP14" s="3484" t="s">
        <v>2820</v>
      </c>
      <c r="AQ14" s="3484" t="s">
        <v>2820</v>
      </c>
      <c r="AR14" s="3484" t="s">
        <v>2820</v>
      </c>
    </row>
    <row r="15" spans="1:44" s="3483" customFormat="1">
      <c r="A15" s="3483" t="s">
        <v>3168</v>
      </c>
      <c r="B15" s="3483" t="s">
        <v>1948</v>
      </c>
      <c r="C15" s="3483" t="s">
        <v>3100</v>
      </c>
      <c r="D15" s="3483" t="s">
        <v>3083</v>
      </c>
      <c r="E15" s="3483" t="s">
        <v>2820</v>
      </c>
      <c r="F15" s="3483" t="s">
        <v>3169</v>
      </c>
      <c r="G15" s="3483" t="s">
        <v>3085</v>
      </c>
      <c r="H15" s="3483" t="s">
        <v>3170</v>
      </c>
      <c r="I15" s="3483" t="s">
        <v>3102</v>
      </c>
      <c r="J15" s="3483">
        <v>92065.1</v>
      </c>
      <c r="K15" s="3483">
        <v>165717.20000000001</v>
      </c>
      <c r="L15" s="3483">
        <v>1.8</v>
      </c>
      <c r="M15" s="3483" t="s">
        <v>2820</v>
      </c>
      <c r="N15" s="3483" t="s">
        <v>3103</v>
      </c>
      <c r="O15" s="3483" t="s">
        <v>3171</v>
      </c>
      <c r="P15" s="3483" t="s">
        <v>2820</v>
      </c>
      <c r="Q15" s="3483" t="s">
        <v>2820</v>
      </c>
      <c r="R15" s="3483" t="s">
        <v>2820</v>
      </c>
      <c r="S15" s="3483" t="s">
        <v>2820</v>
      </c>
      <c r="T15" s="3483" t="s">
        <v>3111</v>
      </c>
      <c r="U15" s="3483" t="s">
        <v>3156</v>
      </c>
      <c r="V15" s="3483" t="s">
        <v>2820</v>
      </c>
      <c r="W15" s="3483" t="s">
        <v>3137</v>
      </c>
      <c r="X15" s="3483" t="s">
        <v>3172</v>
      </c>
      <c r="Y15" s="3483" t="s">
        <v>3157</v>
      </c>
      <c r="Z15" s="3483" t="s">
        <v>3158</v>
      </c>
      <c r="AA15" s="3483" t="s">
        <v>3158</v>
      </c>
      <c r="AB15" s="3483" t="s">
        <v>3173</v>
      </c>
      <c r="AC15" s="3483" t="s">
        <v>3096</v>
      </c>
      <c r="AD15" s="3483" t="s">
        <v>3174</v>
      </c>
      <c r="AE15" s="3483">
        <v>140000</v>
      </c>
      <c r="AF15" s="3483">
        <v>464000</v>
      </c>
      <c r="AG15" s="3483">
        <v>629000</v>
      </c>
      <c r="AH15" s="3483">
        <v>3359.94</v>
      </c>
      <c r="AI15" s="3483">
        <v>4554.75</v>
      </c>
      <c r="AJ15" s="3483">
        <v>27999.5</v>
      </c>
      <c r="AK15" s="3483">
        <v>37956.230000000003</v>
      </c>
      <c r="AL15" s="3483" t="s">
        <v>2820</v>
      </c>
      <c r="AM15" s="3483" t="s">
        <v>2820</v>
      </c>
      <c r="AN15" s="3483">
        <v>35.56</v>
      </c>
      <c r="AO15" s="3483" t="s">
        <v>3098</v>
      </c>
      <c r="AP15" s="3483" t="s">
        <v>2820</v>
      </c>
      <c r="AQ15" s="3483">
        <v>2</v>
      </c>
      <c r="AR15" s="3483" t="s">
        <v>2820</v>
      </c>
    </row>
    <row r="16" spans="1:44" s="3483" customFormat="1">
      <c r="A16" s="3483" t="s">
        <v>3175</v>
      </c>
      <c r="B16" s="3483" t="s">
        <v>1948</v>
      </c>
      <c r="C16" s="3483" t="s">
        <v>3100</v>
      </c>
      <c r="D16" s="3483" t="s">
        <v>3083</v>
      </c>
      <c r="E16" s="3483" t="s">
        <v>2820</v>
      </c>
      <c r="F16" s="3483" t="s">
        <v>3176</v>
      </c>
      <c r="G16" s="3483" t="s">
        <v>3085</v>
      </c>
      <c r="H16" s="3483" t="s">
        <v>3177</v>
      </c>
      <c r="I16" s="3483" t="s">
        <v>3178</v>
      </c>
      <c r="J16" s="3483">
        <v>76286.2</v>
      </c>
      <c r="K16" s="3483">
        <v>181983.1</v>
      </c>
      <c r="L16" s="3483">
        <v>2.5</v>
      </c>
      <c r="M16" s="3483" t="s">
        <v>2820</v>
      </c>
      <c r="N16" s="3483" t="s">
        <v>2820</v>
      </c>
      <c r="O16" s="3483" t="s">
        <v>2820</v>
      </c>
      <c r="P16" s="3483" t="s">
        <v>2820</v>
      </c>
      <c r="Q16" s="3483" t="s">
        <v>2820</v>
      </c>
      <c r="R16" s="3483" t="s">
        <v>2820</v>
      </c>
      <c r="S16" s="3483" t="s">
        <v>2820</v>
      </c>
      <c r="T16" s="3483" t="s">
        <v>3111</v>
      </c>
      <c r="U16" s="3483" t="s">
        <v>3112</v>
      </c>
      <c r="V16" s="3483" t="s">
        <v>2820</v>
      </c>
      <c r="W16" s="3483" t="s">
        <v>3137</v>
      </c>
      <c r="X16" s="3483" t="s">
        <v>3179</v>
      </c>
      <c r="Y16" s="3483" t="s">
        <v>3180</v>
      </c>
      <c r="Z16" s="3483" t="s">
        <v>3181</v>
      </c>
      <c r="AA16" s="3483" t="s">
        <v>3181</v>
      </c>
      <c r="AB16" s="3483" t="s">
        <v>3177</v>
      </c>
      <c r="AC16" s="3483" t="s">
        <v>3096</v>
      </c>
      <c r="AD16" s="3483" t="s">
        <v>3182</v>
      </c>
      <c r="AE16" s="3483">
        <v>144000</v>
      </c>
      <c r="AF16" s="3483">
        <v>478000</v>
      </c>
      <c r="AG16" s="3483">
        <v>716500</v>
      </c>
      <c r="AH16" s="3483">
        <v>4177.25</v>
      </c>
      <c r="AI16" s="3483">
        <v>6261.51</v>
      </c>
      <c r="AJ16" s="3483">
        <v>26266.17</v>
      </c>
      <c r="AK16" s="3483">
        <v>39371.79</v>
      </c>
      <c r="AL16" s="3483" t="s">
        <v>2820</v>
      </c>
      <c r="AM16" s="3483" t="s">
        <v>2820</v>
      </c>
      <c r="AN16" s="3483">
        <v>49.9</v>
      </c>
      <c r="AO16" s="3483" t="s">
        <v>3098</v>
      </c>
      <c r="AP16" s="3483" t="s">
        <v>2820</v>
      </c>
      <c r="AQ16" s="3483" t="s">
        <v>2820</v>
      </c>
      <c r="AR16" s="3483" t="s">
        <v>2820</v>
      </c>
    </row>
    <row r="17" spans="1:44" s="3483" customFormat="1">
      <c r="A17" s="3483" t="s">
        <v>3183</v>
      </c>
      <c r="B17" s="3483" t="s">
        <v>1948</v>
      </c>
      <c r="C17" s="3483" t="s">
        <v>3082</v>
      </c>
      <c r="D17" s="3483" t="s">
        <v>3083</v>
      </c>
      <c r="E17" s="3483" t="s">
        <v>2820</v>
      </c>
      <c r="F17" s="3483" t="s">
        <v>3184</v>
      </c>
      <c r="G17" s="3483" t="s">
        <v>3085</v>
      </c>
      <c r="H17" s="3483" t="s">
        <v>3185</v>
      </c>
      <c r="I17" s="3483" t="s">
        <v>3119</v>
      </c>
      <c r="J17" s="3483">
        <v>28212.35</v>
      </c>
      <c r="K17" s="3483">
        <v>70531</v>
      </c>
      <c r="L17" s="3483">
        <v>2.5</v>
      </c>
      <c r="M17" s="3483" t="s">
        <v>2820</v>
      </c>
      <c r="N17" s="3483" t="s">
        <v>3103</v>
      </c>
      <c r="O17" s="3483" t="s">
        <v>3121</v>
      </c>
      <c r="P17" s="3483" t="s">
        <v>2820</v>
      </c>
      <c r="Q17" s="3483" t="s">
        <v>2820</v>
      </c>
      <c r="R17" s="3483" t="s">
        <v>2820</v>
      </c>
      <c r="S17" s="3483" t="s">
        <v>2820</v>
      </c>
      <c r="T17" s="3483" t="s">
        <v>3111</v>
      </c>
      <c r="U17" s="3483" t="s">
        <v>3112</v>
      </c>
      <c r="V17" s="3483" t="s">
        <v>2820</v>
      </c>
      <c r="W17" s="3483" t="s">
        <v>3137</v>
      </c>
      <c r="X17" s="3483" t="s">
        <v>3186</v>
      </c>
      <c r="Y17" s="3483" t="s">
        <v>3187</v>
      </c>
      <c r="Z17" s="3483" t="s">
        <v>3188</v>
      </c>
      <c r="AA17" s="3483" t="s">
        <v>3188</v>
      </c>
      <c r="AB17" s="3483" t="s">
        <v>3185</v>
      </c>
      <c r="AC17" s="3483" t="s">
        <v>3096</v>
      </c>
      <c r="AD17" s="3483" t="s">
        <v>3189</v>
      </c>
      <c r="AE17" s="3483">
        <v>57000</v>
      </c>
      <c r="AF17" s="3483">
        <v>190000</v>
      </c>
      <c r="AG17" s="3483">
        <v>270000</v>
      </c>
      <c r="AH17" s="3483">
        <v>4489.76</v>
      </c>
      <c r="AI17" s="3483">
        <v>6380.18</v>
      </c>
      <c r="AJ17" s="3483">
        <v>26938.5</v>
      </c>
      <c r="AK17" s="3483">
        <v>38281.040000000001</v>
      </c>
      <c r="AL17" s="3483" t="s">
        <v>2820</v>
      </c>
      <c r="AM17" s="3483" t="s">
        <v>2820</v>
      </c>
      <c r="AN17" s="3483">
        <v>42.11</v>
      </c>
      <c r="AO17" s="3483" t="s">
        <v>3098</v>
      </c>
      <c r="AP17" s="3483" t="s">
        <v>2820</v>
      </c>
      <c r="AQ17" s="3483" t="s">
        <v>2820</v>
      </c>
      <c r="AR17" s="3483" t="s">
        <v>2820</v>
      </c>
    </row>
    <row r="18" spans="1:44" s="3483" customFormat="1">
      <c r="A18" s="3483" t="s">
        <v>3190</v>
      </c>
      <c r="B18" s="3483" t="s">
        <v>1948</v>
      </c>
      <c r="C18" s="3483" t="s">
        <v>3082</v>
      </c>
      <c r="D18" s="3483" t="s">
        <v>3083</v>
      </c>
      <c r="E18" s="3483" t="s">
        <v>2820</v>
      </c>
      <c r="F18" s="3483" t="s">
        <v>3191</v>
      </c>
      <c r="G18" s="3483" t="s">
        <v>3085</v>
      </c>
      <c r="H18" s="3483" t="s">
        <v>3192</v>
      </c>
      <c r="I18" s="3483" t="s">
        <v>3087</v>
      </c>
      <c r="J18" s="3483">
        <v>75065.42</v>
      </c>
      <c r="K18" s="3483">
        <v>133506</v>
      </c>
      <c r="L18" s="3483" t="s">
        <v>3193</v>
      </c>
      <c r="M18" s="3483" t="s">
        <v>2820</v>
      </c>
      <c r="N18" s="3483" t="s">
        <v>3103</v>
      </c>
      <c r="O18" s="3483" t="s">
        <v>2820</v>
      </c>
      <c r="P18" s="3483" t="s">
        <v>2820</v>
      </c>
      <c r="Q18" s="3483" t="s">
        <v>2820</v>
      </c>
      <c r="R18" s="3483" t="s">
        <v>2820</v>
      </c>
      <c r="S18" s="3483" t="s">
        <v>2820</v>
      </c>
      <c r="T18" s="3483" t="s">
        <v>3111</v>
      </c>
      <c r="U18" s="3483" t="s">
        <v>3156</v>
      </c>
      <c r="V18" s="3483" t="s">
        <v>2820</v>
      </c>
      <c r="W18" s="3483" t="s">
        <v>3137</v>
      </c>
      <c r="X18" s="3483" t="s">
        <v>3194</v>
      </c>
      <c r="Y18" s="3483" t="s">
        <v>3195</v>
      </c>
      <c r="Z18" s="3483" t="s">
        <v>3196</v>
      </c>
      <c r="AA18" s="3483" t="s">
        <v>3196</v>
      </c>
      <c r="AB18" s="3483" t="s">
        <v>3192</v>
      </c>
      <c r="AC18" s="3483" t="s">
        <v>3096</v>
      </c>
      <c r="AD18" s="3483" t="s">
        <v>3197</v>
      </c>
      <c r="AE18" s="3483">
        <v>96000</v>
      </c>
      <c r="AF18" s="3483">
        <v>320000</v>
      </c>
      <c r="AG18" s="3483">
        <v>479000</v>
      </c>
      <c r="AH18" s="3483">
        <v>2841.97</v>
      </c>
      <c r="AI18" s="3483">
        <v>4254.07</v>
      </c>
      <c r="AJ18" s="3483">
        <v>23968.95</v>
      </c>
      <c r="AK18" s="3483">
        <v>35878.54</v>
      </c>
      <c r="AL18" s="3483" t="s">
        <v>2820</v>
      </c>
      <c r="AM18" s="3483" t="s">
        <v>2820</v>
      </c>
      <c r="AN18" s="3483">
        <v>49.69</v>
      </c>
      <c r="AO18" s="3483" t="s">
        <v>3098</v>
      </c>
      <c r="AP18" s="3483" t="s">
        <v>2820</v>
      </c>
      <c r="AQ18" s="3483">
        <v>26</v>
      </c>
      <c r="AR18" s="3483" t="s">
        <v>2820</v>
      </c>
    </row>
    <row r="19" spans="1:44" s="3483" customFormat="1">
      <c r="A19" s="3483" t="s">
        <v>3198</v>
      </c>
      <c r="B19" s="3483" t="s">
        <v>1948</v>
      </c>
      <c r="C19" s="3483" t="s">
        <v>3082</v>
      </c>
      <c r="D19" s="3483" t="s">
        <v>3083</v>
      </c>
      <c r="E19" s="3483" t="s">
        <v>2820</v>
      </c>
      <c r="F19" s="3483" t="s">
        <v>3184</v>
      </c>
      <c r="G19" s="3483" t="s">
        <v>3085</v>
      </c>
      <c r="H19" s="3483" t="s">
        <v>3199</v>
      </c>
      <c r="I19" s="3483" t="s">
        <v>3119</v>
      </c>
      <c r="J19" s="3483">
        <v>22717.91</v>
      </c>
      <c r="K19" s="3483">
        <v>56795</v>
      </c>
      <c r="L19" s="3483">
        <v>2.5</v>
      </c>
      <c r="M19" s="3483" t="s">
        <v>2820</v>
      </c>
      <c r="N19" s="3483" t="s">
        <v>3103</v>
      </c>
      <c r="O19" s="3483" t="s">
        <v>3121</v>
      </c>
      <c r="P19" s="3483" t="s">
        <v>2820</v>
      </c>
      <c r="Q19" s="3483" t="s">
        <v>2820</v>
      </c>
      <c r="R19" s="3483" t="s">
        <v>2820</v>
      </c>
      <c r="S19" s="3483" t="s">
        <v>2820</v>
      </c>
      <c r="T19" s="3483" t="s">
        <v>3111</v>
      </c>
      <c r="U19" s="3483" t="s">
        <v>3156</v>
      </c>
      <c r="V19" s="3483" t="s">
        <v>2820</v>
      </c>
      <c r="W19" s="3483" t="s">
        <v>3137</v>
      </c>
      <c r="X19" s="3483" t="s">
        <v>3194</v>
      </c>
      <c r="Y19" s="3483" t="s">
        <v>3195</v>
      </c>
      <c r="Z19" s="3483" t="s">
        <v>3196</v>
      </c>
      <c r="AA19" s="3483" t="s">
        <v>3196</v>
      </c>
      <c r="AB19" s="3483" t="s">
        <v>3199</v>
      </c>
      <c r="AC19" s="3483" t="s">
        <v>3096</v>
      </c>
      <c r="AD19" s="3483" t="s">
        <v>3200</v>
      </c>
      <c r="AE19" s="3483">
        <v>46000</v>
      </c>
      <c r="AF19" s="3483">
        <v>153000</v>
      </c>
      <c r="AG19" s="3483">
        <v>229000</v>
      </c>
      <c r="AH19" s="3483">
        <v>4489.8500000000004</v>
      </c>
      <c r="AI19" s="3483">
        <v>6720.1</v>
      </c>
      <c r="AJ19" s="3483">
        <v>26938.99</v>
      </c>
      <c r="AK19" s="3483">
        <v>40320.44</v>
      </c>
      <c r="AL19" s="3483" t="s">
        <v>2820</v>
      </c>
      <c r="AM19" s="3483" t="s">
        <v>2820</v>
      </c>
      <c r="AN19" s="3483">
        <v>49.67</v>
      </c>
      <c r="AO19" s="3483" t="s">
        <v>3098</v>
      </c>
      <c r="AP19" s="3483" t="s">
        <v>2820</v>
      </c>
      <c r="AQ19" s="3483">
        <v>6</v>
      </c>
      <c r="AR19" s="3483" t="s">
        <v>2820</v>
      </c>
    </row>
    <row r="20" spans="1:44" s="3484" customFormat="1" ht="12.75">
      <c r="A20" s="3484" t="s">
        <v>3201</v>
      </c>
      <c r="B20" s="3484" t="s">
        <v>1948</v>
      </c>
      <c r="C20" s="3484" t="s">
        <v>3082</v>
      </c>
      <c r="D20" s="3484" t="s">
        <v>3083</v>
      </c>
      <c r="E20" s="3484" t="s">
        <v>2820</v>
      </c>
      <c r="F20" s="3484" t="s">
        <v>3184</v>
      </c>
      <c r="G20" s="3484" t="s">
        <v>3085</v>
      </c>
      <c r="H20" s="3484" t="s">
        <v>3202</v>
      </c>
      <c r="I20" s="3484" t="s">
        <v>3119</v>
      </c>
      <c r="J20" s="3484">
        <v>31048.69</v>
      </c>
      <c r="K20" s="3484">
        <v>77622</v>
      </c>
      <c r="L20" s="3484">
        <v>2.5</v>
      </c>
      <c r="M20" s="3484" t="s">
        <v>3203</v>
      </c>
      <c r="N20" s="3484" t="s">
        <v>3103</v>
      </c>
      <c r="O20" s="3484" t="s">
        <v>3121</v>
      </c>
      <c r="P20" s="3484" t="s">
        <v>2820</v>
      </c>
      <c r="Q20" s="3484" t="s">
        <v>2820</v>
      </c>
      <c r="R20" s="3484" t="s">
        <v>2820</v>
      </c>
      <c r="S20" s="3484" t="s">
        <v>3204</v>
      </c>
      <c r="T20" s="3484" t="s">
        <v>3131</v>
      </c>
      <c r="U20" s="3484" t="s">
        <v>3131</v>
      </c>
      <c r="V20" s="3484" t="s">
        <v>2820</v>
      </c>
      <c r="W20" s="3484" t="s">
        <v>3137</v>
      </c>
      <c r="X20" s="3484" t="s">
        <v>3205</v>
      </c>
      <c r="Y20" s="3484" t="s">
        <v>3206</v>
      </c>
      <c r="Z20" s="3484" t="s">
        <v>3180</v>
      </c>
      <c r="AA20" s="3484" t="s">
        <v>3180</v>
      </c>
      <c r="AB20" s="3484" t="s">
        <v>3202</v>
      </c>
      <c r="AC20" s="3484" t="s">
        <v>3096</v>
      </c>
      <c r="AD20" s="3484" t="s">
        <v>3207</v>
      </c>
      <c r="AE20" s="3484">
        <v>43500</v>
      </c>
      <c r="AF20" s="3484">
        <v>145000</v>
      </c>
      <c r="AG20" s="3484">
        <v>146500</v>
      </c>
      <c r="AH20" s="3484">
        <v>3113.39</v>
      </c>
      <c r="AI20" s="3484">
        <v>3145.6</v>
      </c>
      <c r="AJ20" s="3484">
        <v>18680.27</v>
      </c>
      <c r="AK20" s="3484">
        <v>18873.52</v>
      </c>
      <c r="AL20" s="3484" t="s">
        <v>2820</v>
      </c>
      <c r="AM20" s="3484" t="s">
        <v>2820</v>
      </c>
      <c r="AN20" s="3484">
        <v>1.03</v>
      </c>
      <c r="AO20" s="3484" t="s">
        <v>3098</v>
      </c>
      <c r="AP20" s="3484" t="s">
        <v>2820</v>
      </c>
      <c r="AQ20" s="3484" t="s">
        <v>2820</v>
      </c>
      <c r="AR20" s="3484" t="s">
        <v>2820</v>
      </c>
    </row>
    <row r="21" spans="1:44" s="3483" customFormat="1">
      <c r="A21" s="3483" t="s">
        <v>3208</v>
      </c>
      <c r="B21" s="3483" t="s">
        <v>1948</v>
      </c>
      <c r="C21" s="3483" t="s">
        <v>3082</v>
      </c>
      <c r="D21" s="3483" t="s">
        <v>3083</v>
      </c>
      <c r="E21" s="3483" t="s">
        <v>2820</v>
      </c>
      <c r="F21" s="3483" t="s">
        <v>3209</v>
      </c>
      <c r="G21" s="3483" t="s">
        <v>3085</v>
      </c>
      <c r="H21" s="3483" t="s">
        <v>3210</v>
      </c>
      <c r="I21" s="3483" t="s">
        <v>3211</v>
      </c>
      <c r="J21" s="3483">
        <v>40985.61</v>
      </c>
      <c r="K21" s="3483">
        <v>81971</v>
      </c>
      <c r="L21" s="3483">
        <v>2</v>
      </c>
      <c r="M21" s="3483" t="s">
        <v>2820</v>
      </c>
      <c r="N21" s="3483" t="s">
        <v>3203</v>
      </c>
      <c r="O21" s="3483">
        <v>45</v>
      </c>
      <c r="P21" s="3483" t="s">
        <v>2820</v>
      </c>
      <c r="Q21" s="3483" t="s">
        <v>2820</v>
      </c>
      <c r="R21" s="3483" t="s">
        <v>2820</v>
      </c>
      <c r="S21" s="3483" t="s">
        <v>2820</v>
      </c>
      <c r="T21" s="3483" t="s">
        <v>3212</v>
      </c>
      <c r="U21" s="3483" t="s">
        <v>3213</v>
      </c>
      <c r="V21" s="3483" t="s">
        <v>2820</v>
      </c>
      <c r="W21" s="3483" t="s">
        <v>3137</v>
      </c>
      <c r="X21" s="3483" t="s">
        <v>3214</v>
      </c>
      <c r="Y21" s="3483" t="s">
        <v>3215</v>
      </c>
      <c r="Z21" s="3483" t="s">
        <v>3216</v>
      </c>
      <c r="AA21" s="3483" t="s">
        <v>3216</v>
      </c>
      <c r="AB21" s="3483" t="s">
        <v>3210</v>
      </c>
      <c r="AC21" s="3483" t="s">
        <v>3096</v>
      </c>
      <c r="AD21" s="3483" t="s">
        <v>3217</v>
      </c>
      <c r="AE21" s="3483">
        <v>50000</v>
      </c>
      <c r="AF21" s="3483">
        <v>168000</v>
      </c>
      <c r="AG21" s="3483">
        <v>168000</v>
      </c>
      <c r="AH21" s="3483">
        <v>2732.67</v>
      </c>
      <c r="AI21" s="3483">
        <v>2732.67</v>
      </c>
      <c r="AJ21" s="3483">
        <v>20495.05</v>
      </c>
      <c r="AK21" s="3483">
        <v>20495.04</v>
      </c>
      <c r="AL21" s="3483" t="s">
        <v>2820</v>
      </c>
      <c r="AM21" s="3483" t="s">
        <v>2820</v>
      </c>
      <c r="AN21" s="3483">
        <v>0</v>
      </c>
      <c r="AO21" s="3483" t="s">
        <v>3098</v>
      </c>
      <c r="AP21" s="3483" t="s">
        <v>2820</v>
      </c>
      <c r="AQ21" s="3483" t="s">
        <v>2820</v>
      </c>
      <c r="AR21" s="3483" t="s">
        <v>2820</v>
      </c>
    </row>
    <row r="22" spans="1:44" s="3484" customFormat="1" ht="12.75">
      <c r="A22" s="3484" t="s">
        <v>3218</v>
      </c>
      <c r="B22" s="3484" t="s">
        <v>1948</v>
      </c>
      <c r="C22" s="3484" t="s">
        <v>3100</v>
      </c>
      <c r="D22" s="3484" t="s">
        <v>3083</v>
      </c>
      <c r="E22" s="3484" t="s">
        <v>2820</v>
      </c>
      <c r="F22" s="3484" t="s">
        <v>3209</v>
      </c>
      <c r="G22" s="3484" t="s">
        <v>3085</v>
      </c>
      <c r="H22" s="3484" t="s">
        <v>3219</v>
      </c>
      <c r="I22" s="3484" t="s">
        <v>3119</v>
      </c>
      <c r="J22" s="3484">
        <v>63029.62</v>
      </c>
      <c r="K22" s="3484">
        <v>126059</v>
      </c>
      <c r="L22" s="3484">
        <v>2</v>
      </c>
      <c r="M22" s="3484" t="s">
        <v>2820</v>
      </c>
      <c r="N22" s="3484" t="s">
        <v>2820</v>
      </c>
      <c r="O22" s="3484" t="s">
        <v>2820</v>
      </c>
      <c r="P22" s="3484" t="s">
        <v>2820</v>
      </c>
      <c r="Q22" s="3484" t="s">
        <v>2820</v>
      </c>
      <c r="R22" s="3484" t="s">
        <v>2820</v>
      </c>
      <c r="S22" s="3484" t="s">
        <v>3220</v>
      </c>
      <c r="T22" s="3484" t="s">
        <v>3131</v>
      </c>
      <c r="U22" s="3484" t="s">
        <v>3131</v>
      </c>
      <c r="V22" s="3484" t="s">
        <v>2820</v>
      </c>
      <c r="W22" s="3484" t="s">
        <v>3137</v>
      </c>
      <c r="X22" s="3484" t="s">
        <v>3221</v>
      </c>
      <c r="Y22" s="3484" t="s">
        <v>3222</v>
      </c>
      <c r="Z22" s="3484" t="s">
        <v>3223</v>
      </c>
      <c r="AA22" s="3484" t="s">
        <v>3223</v>
      </c>
      <c r="AB22" s="3484" t="s">
        <v>3219</v>
      </c>
      <c r="AC22" s="3484" t="s">
        <v>3096</v>
      </c>
      <c r="AD22" s="3484" t="s">
        <v>3224</v>
      </c>
      <c r="AE22" s="3484">
        <v>72000</v>
      </c>
      <c r="AF22" s="3484">
        <v>240000</v>
      </c>
      <c r="AG22" s="3484">
        <v>380000</v>
      </c>
      <c r="AH22" s="3484">
        <v>2538.4899999999998</v>
      </c>
      <c r="AI22" s="3484">
        <v>4019.27</v>
      </c>
      <c r="AJ22" s="3484">
        <v>19038.7</v>
      </c>
      <c r="AK22" s="3484">
        <v>30144.61</v>
      </c>
      <c r="AL22" s="3484" t="s">
        <v>2820</v>
      </c>
      <c r="AM22" s="3484" t="s">
        <v>2820</v>
      </c>
      <c r="AN22" s="3484">
        <v>58.33</v>
      </c>
      <c r="AO22" s="3484" t="s">
        <v>3225</v>
      </c>
      <c r="AP22" s="3484" t="s">
        <v>2820</v>
      </c>
      <c r="AQ22" s="3484" t="s">
        <v>2820</v>
      </c>
      <c r="AR22" s="3484" t="s">
        <v>2820</v>
      </c>
    </row>
    <row r="23" spans="1:44" s="3485" customFormat="1">
      <c r="A23" s="3485" t="s">
        <v>3226</v>
      </c>
      <c r="B23" s="3485" t="s">
        <v>1948</v>
      </c>
      <c r="C23" s="3485" t="s">
        <v>3082</v>
      </c>
      <c r="D23" s="3485" t="s">
        <v>3083</v>
      </c>
      <c r="E23" s="3485" t="s">
        <v>2820</v>
      </c>
      <c r="F23" s="3485" t="s">
        <v>3227</v>
      </c>
      <c r="G23" s="3485" t="s">
        <v>3085</v>
      </c>
      <c r="H23" s="3485" t="s">
        <v>3228</v>
      </c>
      <c r="I23" s="3485" t="s">
        <v>3102</v>
      </c>
      <c r="J23" s="3485">
        <v>85956.89</v>
      </c>
      <c r="K23" s="3485">
        <v>182033</v>
      </c>
      <c r="L23" s="3485">
        <v>2.12</v>
      </c>
      <c r="M23" s="3485" t="s">
        <v>2820</v>
      </c>
      <c r="N23" s="3485" t="s">
        <v>2820</v>
      </c>
      <c r="O23" s="3485" t="s">
        <v>2820</v>
      </c>
      <c r="P23" s="3485" t="s">
        <v>2820</v>
      </c>
      <c r="Q23" s="3485" t="s">
        <v>2820</v>
      </c>
      <c r="R23" s="3485" t="s">
        <v>2820</v>
      </c>
      <c r="S23" s="3485" t="s">
        <v>2820</v>
      </c>
      <c r="T23" s="3485" t="s">
        <v>3090</v>
      </c>
      <c r="U23" s="3485" t="s">
        <v>3090</v>
      </c>
      <c r="V23" s="3485" t="s">
        <v>2820</v>
      </c>
      <c r="W23" s="3485" t="s">
        <v>3137</v>
      </c>
      <c r="X23" s="3485" t="s">
        <v>3229</v>
      </c>
      <c r="Y23" s="3485" t="s">
        <v>3221</v>
      </c>
      <c r="Z23" s="3485" t="s">
        <v>3230</v>
      </c>
      <c r="AA23" s="3485" t="s">
        <v>3230</v>
      </c>
      <c r="AB23" s="3485" t="s">
        <v>3228</v>
      </c>
      <c r="AC23" s="3485" t="s">
        <v>3096</v>
      </c>
      <c r="AD23" s="3485" t="s">
        <v>3231</v>
      </c>
      <c r="AE23" s="3485">
        <v>140000</v>
      </c>
      <c r="AF23" s="3485">
        <v>466000</v>
      </c>
      <c r="AG23" s="3485">
        <v>698000</v>
      </c>
      <c r="AH23" s="3485">
        <v>3614.21</v>
      </c>
      <c r="AI23" s="3485">
        <v>5413.57</v>
      </c>
      <c r="AJ23" s="3485">
        <v>25599.75</v>
      </c>
      <c r="AK23" s="3485">
        <v>38344.69</v>
      </c>
      <c r="AL23" s="3485" t="s">
        <v>2820</v>
      </c>
      <c r="AM23" s="3485" t="s">
        <v>2820</v>
      </c>
      <c r="AN23" s="3485">
        <v>49.79</v>
      </c>
      <c r="AO23" s="3485" t="s">
        <v>3098</v>
      </c>
      <c r="AP23" s="3485" t="s">
        <v>2820</v>
      </c>
      <c r="AQ23" s="3485">
        <v>70</v>
      </c>
      <c r="AR23" s="3485" t="s">
        <v>2820</v>
      </c>
    </row>
    <row r="24" spans="1:44" s="3485" customFormat="1">
      <c r="A24" s="3485" t="s">
        <v>3232</v>
      </c>
      <c r="B24" s="3485" t="s">
        <v>1948</v>
      </c>
      <c r="C24" s="3485" t="s">
        <v>3082</v>
      </c>
      <c r="D24" s="3485" t="s">
        <v>3083</v>
      </c>
      <c r="E24" s="3485" t="s">
        <v>2820</v>
      </c>
      <c r="F24" s="3485" t="s">
        <v>3227</v>
      </c>
      <c r="G24" s="3485" t="s">
        <v>3085</v>
      </c>
      <c r="H24" s="3485" t="s">
        <v>3233</v>
      </c>
      <c r="I24" s="3485" t="s">
        <v>3102</v>
      </c>
      <c r="J24" s="3485">
        <v>66379.53</v>
      </c>
      <c r="K24" s="3485">
        <v>146035</v>
      </c>
      <c r="L24" s="3485">
        <v>2.2000000000000002</v>
      </c>
      <c r="M24" s="3485" t="s">
        <v>2820</v>
      </c>
      <c r="N24" s="3485" t="s">
        <v>2820</v>
      </c>
      <c r="O24" s="3485" t="s">
        <v>2820</v>
      </c>
      <c r="P24" s="3485" t="s">
        <v>2820</v>
      </c>
      <c r="Q24" s="3485" t="s">
        <v>2820</v>
      </c>
      <c r="R24" s="3485" t="s">
        <v>2820</v>
      </c>
      <c r="S24" s="3485" t="s">
        <v>2820</v>
      </c>
      <c r="T24" s="3485" t="s">
        <v>3090</v>
      </c>
      <c r="U24" s="3485" t="s">
        <v>3090</v>
      </c>
      <c r="V24" s="3485" t="s">
        <v>2820</v>
      </c>
      <c r="W24" s="3485" t="s">
        <v>3137</v>
      </c>
      <c r="X24" s="3485" t="s">
        <v>3229</v>
      </c>
      <c r="Y24" s="3485" t="s">
        <v>3221</v>
      </c>
      <c r="Z24" s="3485" t="s">
        <v>3230</v>
      </c>
      <c r="AA24" s="3485" t="s">
        <v>3230</v>
      </c>
      <c r="AB24" s="3485" t="s">
        <v>3233</v>
      </c>
      <c r="AC24" s="3485" t="s">
        <v>3096</v>
      </c>
      <c r="AD24" s="3485" t="s">
        <v>3231</v>
      </c>
      <c r="AE24" s="3485">
        <v>115000</v>
      </c>
      <c r="AF24" s="3485">
        <v>383000</v>
      </c>
      <c r="AG24" s="3485">
        <v>574000</v>
      </c>
      <c r="AH24" s="3485">
        <v>3846.57</v>
      </c>
      <c r="AI24" s="3485">
        <v>5764.83</v>
      </c>
      <c r="AJ24" s="3485">
        <v>26226.59</v>
      </c>
      <c r="AK24" s="3485">
        <v>39305.65</v>
      </c>
      <c r="AL24" s="3485" t="s">
        <v>2820</v>
      </c>
      <c r="AM24" s="3485" t="s">
        <v>2820</v>
      </c>
      <c r="AN24" s="3485">
        <v>49.87</v>
      </c>
      <c r="AO24" s="3485" t="s">
        <v>3098</v>
      </c>
      <c r="AP24" s="3485" t="s">
        <v>2820</v>
      </c>
      <c r="AQ24" s="3485">
        <v>70</v>
      </c>
      <c r="AR24" s="3485" t="s">
        <v>2820</v>
      </c>
    </row>
    <row r="25" spans="1:44" s="3483" customFormat="1">
      <c r="A25" s="3483" t="s">
        <v>3234</v>
      </c>
      <c r="B25" s="3483" t="s">
        <v>1948</v>
      </c>
      <c r="C25" s="3483" t="s">
        <v>3082</v>
      </c>
      <c r="D25" s="3483" t="s">
        <v>3083</v>
      </c>
      <c r="E25" s="3483" t="s">
        <v>2820</v>
      </c>
      <c r="F25" s="3483" t="s">
        <v>3235</v>
      </c>
      <c r="G25" s="3483" t="s">
        <v>3085</v>
      </c>
      <c r="H25" s="3483" t="s">
        <v>3236</v>
      </c>
      <c r="I25" s="3483" t="s">
        <v>3087</v>
      </c>
      <c r="J25" s="3483">
        <v>51970.99</v>
      </c>
      <c r="K25" s="3483">
        <v>135275</v>
      </c>
      <c r="L25" s="3483">
        <v>2.6</v>
      </c>
      <c r="M25" s="3483" t="s">
        <v>2820</v>
      </c>
      <c r="N25" s="3483" t="s">
        <v>2820</v>
      </c>
      <c r="O25" s="3483" t="s">
        <v>2820</v>
      </c>
      <c r="P25" s="3483" t="s">
        <v>2820</v>
      </c>
      <c r="Q25" s="3483" t="s">
        <v>2820</v>
      </c>
      <c r="R25" s="3483" t="s">
        <v>2820</v>
      </c>
      <c r="S25" s="3483" t="s">
        <v>2820</v>
      </c>
      <c r="T25" s="3483" t="s">
        <v>3090</v>
      </c>
      <c r="U25" s="3483" t="s">
        <v>3090</v>
      </c>
      <c r="V25" s="3483" t="s">
        <v>2820</v>
      </c>
      <c r="W25" s="3483" t="s">
        <v>3137</v>
      </c>
      <c r="X25" s="3483" t="s">
        <v>3237</v>
      </c>
      <c r="Y25" s="3483" t="s">
        <v>3238</v>
      </c>
      <c r="Z25" s="3483" t="s">
        <v>3239</v>
      </c>
      <c r="AA25" s="3483" t="s">
        <v>3239</v>
      </c>
      <c r="AB25" s="3483" t="s">
        <v>3236</v>
      </c>
      <c r="AC25" s="3483" t="s">
        <v>3096</v>
      </c>
      <c r="AD25" s="3483" t="s">
        <v>3240</v>
      </c>
      <c r="AE25" s="3483">
        <v>75000</v>
      </c>
      <c r="AF25" s="3483">
        <v>248000</v>
      </c>
      <c r="AG25" s="3483">
        <v>367500</v>
      </c>
      <c r="AH25" s="3483">
        <v>3181.26</v>
      </c>
      <c r="AI25" s="3483">
        <v>4714.17</v>
      </c>
      <c r="AJ25" s="3483">
        <v>18333.02</v>
      </c>
      <c r="AK25" s="3483">
        <v>27166.880000000001</v>
      </c>
      <c r="AL25" s="3483" t="s">
        <v>2820</v>
      </c>
      <c r="AM25" s="3483" t="s">
        <v>2820</v>
      </c>
      <c r="AN25" s="3483">
        <v>48.19</v>
      </c>
      <c r="AO25" s="3483" t="s">
        <v>3098</v>
      </c>
      <c r="AP25" s="3483" t="s">
        <v>2820</v>
      </c>
      <c r="AQ25" s="3483">
        <v>100</v>
      </c>
      <c r="AR25" s="3483" t="s">
        <v>2820</v>
      </c>
    </row>
    <row r="26" spans="1:44" s="3484" customFormat="1" ht="12.75">
      <c r="A26" s="3484" t="s">
        <v>3241</v>
      </c>
      <c r="B26" s="3484" t="s">
        <v>1948</v>
      </c>
      <c r="C26" s="3484" t="s">
        <v>3100</v>
      </c>
      <c r="D26" s="3484" t="s">
        <v>3083</v>
      </c>
      <c r="E26" s="3484" t="s">
        <v>2820</v>
      </c>
      <c r="F26" s="3484" t="s">
        <v>3241</v>
      </c>
      <c r="G26" s="3484" t="s">
        <v>3085</v>
      </c>
      <c r="H26" s="3484" t="s">
        <v>3242</v>
      </c>
      <c r="I26" s="3484" t="s">
        <v>3102</v>
      </c>
      <c r="J26" s="3484">
        <v>50662.6</v>
      </c>
      <c r="K26" s="3484">
        <v>101325.2</v>
      </c>
      <c r="L26" s="3484">
        <v>2</v>
      </c>
      <c r="M26" s="3484" t="s">
        <v>2820</v>
      </c>
      <c r="N26" s="3484" t="s">
        <v>2820</v>
      </c>
      <c r="O26" s="3484" t="s">
        <v>2820</v>
      </c>
      <c r="P26" s="3484" t="s">
        <v>2820</v>
      </c>
      <c r="Q26" s="3484" t="s">
        <v>2820</v>
      </c>
      <c r="R26" s="3484" t="s">
        <v>2820</v>
      </c>
      <c r="S26" s="3484" t="s">
        <v>3243</v>
      </c>
      <c r="T26" s="3484" t="s">
        <v>2820</v>
      </c>
      <c r="U26" s="3484" t="s">
        <v>2820</v>
      </c>
      <c r="V26" s="3484" t="s">
        <v>2820</v>
      </c>
      <c r="W26" s="3484" t="s">
        <v>3137</v>
      </c>
      <c r="X26" s="3484" t="s">
        <v>3244</v>
      </c>
      <c r="Y26" s="3484" t="s">
        <v>3245</v>
      </c>
      <c r="Z26" s="3484" t="s">
        <v>3246</v>
      </c>
      <c r="AA26" s="3484" t="s">
        <v>3246</v>
      </c>
      <c r="AB26" s="3484" t="s">
        <v>3242</v>
      </c>
      <c r="AC26" s="3484" t="s">
        <v>3096</v>
      </c>
      <c r="AD26" s="3484" t="s">
        <v>3167</v>
      </c>
      <c r="AE26" s="3484">
        <v>45300</v>
      </c>
      <c r="AF26" s="3484">
        <v>151000</v>
      </c>
      <c r="AG26" s="3484">
        <v>211000</v>
      </c>
      <c r="AH26" s="3484">
        <v>1987</v>
      </c>
      <c r="AI26" s="3484">
        <v>2776.54</v>
      </c>
      <c r="AJ26" s="3484">
        <v>14902.51</v>
      </c>
      <c r="AK26" s="3484">
        <v>20824.04</v>
      </c>
      <c r="AL26" s="3484" t="s">
        <v>2820</v>
      </c>
      <c r="AM26" s="3484" t="s">
        <v>2820</v>
      </c>
      <c r="AN26" s="3484">
        <v>39.74</v>
      </c>
      <c r="AO26" s="3484" t="s">
        <v>3247</v>
      </c>
      <c r="AP26" s="3484" t="s">
        <v>2820</v>
      </c>
      <c r="AQ26" s="3484" t="s">
        <v>2820</v>
      </c>
      <c r="AR26" s="3484" t="s">
        <v>2820</v>
      </c>
    </row>
    <row r="27" spans="1:44" s="3484" customFormat="1" ht="12.75">
      <c r="A27" s="3484" t="s">
        <v>3248</v>
      </c>
      <c r="B27" s="3484" t="s">
        <v>1948</v>
      </c>
      <c r="C27" s="3484" t="s">
        <v>3082</v>
      </c>
      <c r="D27" s="3484" t="s">
        <v>3083</v>
      </c>
      <c r="E27" s="3484" t="s">
        <v>2820</v>
      </c>
      <c r="F27" s="3484" t="s">
        <v>3248</v>
      </c>
      <c r="G27" s="3484" t="s">
        <v>3085</v>
      </c>
      <c r="H27" s="3484" t="s">
        <v>3249</v>
      </c>
      <c r="I27" s="3484" t="s">
        <v>3250</v>
      </c>
      <c r="J27" s="3484">
        <v>45195.85</v>
      </c>
      <c r="K27" s="3484">
        <v>120599</v>
      </c>
      <c r="L27" s="3484">
        <v>2.67</v>
      </c>
      <c r="M27" s="3484" t="s">
        <v>2820</v>
      </c>
      <c r="N27" s="3484" t="s">
        <v>2820</v>
      </c>
      <c r="O27" s="3484" t="s">
        <v>2820</v>
      </c>
      <c r="P27" s="3484" t="s">
        <v>2820</v>
      </c>
      <c r="Q27" s="3484" t="s">
        <v>2820</v>
      </c>
      <c r="R27" s="3484" t="s">
        <v>2820</v>
      </c>
      <c r="S27" s="3484" t="s">
        <v>3251</v>
      </c>
      <c r="T27" s="3484" t="s">
        <v>2820</v>
      </c>
      <c r="U27" s="3484" t="s">
        <v>2820</v>
      </c>
      <c r="V27" s="3484" t="s">
        <v>2820</v>
      </c>
      <c r="W27" s="3484" t="s">
        <v>3137</v>
      </c>
      <c r="X27" s="3484" t="s">
        <v>3252</v>
      </c>
      <c r="Y27" s="3484" t="s">
        <v>3253</v>
      </c>
      <c r="Z27" s="3484" t="s">
        <v>3254</v>
      </c>
      <c r="AA27" s="3484" t="s">
        <v>3254</v>
      </c>
      <c r="AB27" s="3484" t="s">
        <v>3249</v>
      </c>
      <c r="AC27" s="3484" t="s">
        <v>3096</v>
      </c>
      <c r="AD27" s="3484" t="s">
        <v>3255</v>
      </c>
      <c r="AE27" s="3484">
        <v>78000</v>
      </c>
      <c r="AF27" s="3484">
        <v>260000</v>
      </c>
      <c r="AG27" s="3484">
        <v>390000</v>
      </c>
      <c r="AH27" s="3484">
        <v>3835.16</v>
      </c>
      <c r="AI27" s="3484">
        <v>5752.74</v>
      </c>
      <c r="AJ27" s="3484">
        <v>21559.040000000001</v>
      </c>
      <c r="AK27" s="3484">
        <v>32338.58</v>
      </c>
      <c r="AL27" s="3484" t="s">
        <v>2820</v>
      </c>
      <c r="AM27" s="3484" t="s">
        <v>2820</v>
      </c>
      <c r="AN27" s="3484">
        <v>50</v>
      </c>
      <c r="AO27" s="3484" t="s">
        <v>3098</v>
      </c>
      <c r="AP27" s="3484" t="s">
        <v>2820</v>
      </c>
      <c r="AQ27" s="3484" t="s">
        <v>2820</v>
      </c>
      <c r="AR27" s="3484" t="s">
        <v>2820</v>
      </c>
    </row>
    <row r="28" spans="1:44" s="3483" customFormat="1">
      <c r="A28" s="3483" t="s">
        <v>3256</v>
      </c>
      <c r="B28" s="3483" t="s">
        <v>1948</v>
      </c>
      <c r="C28" s="3483" t="s">
        <v>3082</v>
      </c>
      <c r="D28" s="3483" t="s">
        <v>3083</v>
      </c>
      <c r="E28" s="3483" t="s">
        <v>2820</v>
      </c>
      <c r="F28" s="3483" t="s">
        <v>3227</v>
      </c>
      <c r="G28" s="3483" t="s">
        <v>3085</v>
      </c>
      <c r="H28" s="3483" t="s">
        <v>3257</v>
      </c>
      <c r="I28" s="3483" t="s">
        <v>3258</v>
      </c>
      <c r="J28" s="3483">
        <v>77626.67</v>
      </c>
      <c r="K28" s="3483">
        <v>165765</v>
      </c>
      <c r="L28" s="3483">
        <v>2.14</v>
      </c>
      <c r="M28" s="3483" t="s">
        <v>2820</v>
      </c>
      <c r="N28" s="3483" t="s">
        <v>2820</v>
      </c>
      <c r="O28" s="3483" t="s">
        <v>2820</v>
      </c>
      <c r="P28" s="3483" t="s">
        <v>2820</v>
      </c>
      <c r="Q28" s="3483" t="s">
        <v>2820</v>
      </c>
      <c r="R28" s="3483" t="s">
        <v>2820</v>
      </c>
      <c r="S28" s="3483" t="s">
        <v>2820</v>
      </c>
      <c r="T28" s="3483" t="s">
        <v>2820</v>
      </c>
      <c r="U28" s="3483" t="s">
        <v>2820</v>
      </c>
      <c r="V28" s="3483" t="s">
        <v>2820</v>
      </c>
      <c r="W28" s="3483" t="s">
        <v>3259</v>
      </c>
      <c r="X28" s="3483" t="s">
        <v>3260</v>
      </c>
      <c r="Y28" s="3483" t="s">
        <v>3261</v>
      </c>
      <c r="Z28" s="3483" t="s">
        <v>3262</v>
      </c>
      <c r="AA28" s="3483" t="s">
        <v>3262</v>
      </c>
      <c r="AB28" s="3483" t="s">
        <v>3257</v>
      </c>
      <c r="AC28" s="3483" t="s">
        <v>3096</v>
      </c>
      <c r="AD28" s="3483" t="s">
        <v>3263</v>
      </c>
      <c r="AE28" s="3483">
        <v>82500</v>
      </c>
      <c r="AF28" s="3483">
        <v>275000</v>
      </c>
      <c r="AG28" s="3483">
        <v>442000</v>
      </c>
      <c r="AH28" s="3483">
        <v>2361.73</v>
      </c>
      <c r="AI28" s="3483">
        <v>3795.95</v>
      </c>
      <c r="AJ28" s="3483">
        <v>16589.75</v>
      </c>
      <c r="AK28" s="3483">
        <v>26664.25</v>
      </c>
      <c r="AL28" s="3483" t="s">
        <v>2820</v>
      </c>
      <c r="AM28" s="3483" t="s">
        <v>2820</v>
      </c>
      <c r="AN28" s="3483">
        <v>60.73</v>
      </c>
      <c r="AO28" s="3483" t="s">
        <v>3098</v>
      </c>
      <c r="AP28" s="3483" t="s">
        <v>2820</v>
      </c>
      <c r="AQ28" s="3483" t="s">
        <v>2820</v>
      </c>
      <c r="AR28" s="3483" t="s">
        <v>2820</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2040</v>
      </c>
      <c r="B1" s="3187"/>
      <c r="C1" s="3187"/>
      <c r="D1" s="3187"/>
      <c r="E1" s="3187"/>
      <c r="F1" s="3187"/>
      <c r="G1" s="3187"/>
      <c r="H1" s="3187"/>
      <c r="I1" s="3187"/>
      <c r="J1" s="3187"/>
      <c r="K1" s="3187"/>
      <c r="L1" s="3187"/>
      <c r="M1" s="3187"/>
      <c r="N1" s="3187"/>
      <c r="O1" s="3187"/>
      <c r="P1" s="3187"/>
      <c r="Q1" s="3187"/>
      <c r="R1" s="3187"/>
    </row>
    <row r="2" spans="1:18">
      <c r="A2" s="1808" t="s">
        <v>2042</v>
      </c>
      <c r="B2" s="1808"/>
      <c r="C2" s="1808"/>
      <c r="D2" s="1808"/>
      <c r="E2" s="1808"/>
      <c r="F2" s="1808"/>
      <c r="G2" s="1808"/>
      <c r="H2" s="1808"/>
      <c r="I2" s="1809"/>
      <c r="J2" s="1809"/>
      <c r="K2" s="1810" t="str">
        <f>"估价期日："&amp;TEXT(项目基本情况!D3,"yyyy年m月d日;;")</f>
        <v>估价期日：2018年9月4日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2031</v>
      </c>
      <c r="B3" s="3188" t="s">
        <v>2733</v>
      </c>
      <c r="C3" s="3189" t="s">
        <v>2032</v>
      </c>
      <c r="D3" s="3188" t="s">
        <v>2737</v>
      </c>
      <c r="E3" s="3191" t="s">
        <v>2033</v>
      </c>
      <c r="F3" s="3191"/>
      <c r="G3" s="3191"/>
      <c r="H3" s="3191" t="s">
        <v>2034</v>
      </c>
      <c r="I3" s="3191"/>
      <c r="J3" s="3191"/>
      <c r="K3" s="3189" t="s">
        <v>2035</v>
      </c>
      <c r="L3" s="3189" t="s">
        <v>2036</v>
      </c>
      <c r="M3" s="3188" t="s">
        <v>2734</v>
      </c>
      <c r="N3" s="3190" t="str">
        <f>"（分摊）"&amp;项目基本情况!B16&amp;"国有建设用地使用权面积/㎡"</f>
        <v>（分摊）出让国有建设用地使用权面积/㎡</v>
      </c>
      <c r="O3" s="3188" t="s">
        <v>2065</v>
      </c>
      <c r="P3" s="3189" t="s">
        <v>2045</v>
      </c>
      <c r="Q3" s="3189" t="s">
        <v>2066</v>
      </c>
      <c r="R3" s="3189" t="s">
        <v>2037</v>
      </c>
    </row>
    <row r="4" spans="1:18" ht="36.75" customHeight="1">
      <c r="A4" s="3188"/>
      <c r="B4" s="3188"/>
      <c r="C4" s="3189"/>
      <c r="D4" s="3188"/>
      <c r="E4" s="2650" t="s">
        <v>2044</v>
      </c>
      <c r="F4" s="2650" t="s">
        <v>2746</v>
      </c>
      <c r="G4" s="2650" t="s">
        <v>2038</v>
      </c>
      <c r="H4" s="2650" t="s">
        <v>2039</v>
      </c>
      <c r="I4" s="2650" t="s">
        <v>2747</v>
      </c>
      <c r="J4" s="2650" t="s">
        <v>2038</v>
      </c>
      <c r="K4" s="3189"/>
      <c r="L4" s="3189"/>
      <c r="M4" s="3188"/>
      <c r="N4" s="3190"/>
      <c r="O4" s="3188"/>
      <c r="P4" s="3189"/>
      <c r="Q4" s="3189"/>
      <c r="R4" s="3189"/>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75237.13</v>
      </c>
      <c r="O5" s="1811">
        <f>项目基本情况!C21</f>
        <v>265820.24</v>
      </c>
      <c r="P5" s="1811">
        <f ca="1">结果表!E42</f>
        <v>90977</v>
      </c>
      <c r="Q5" s="1811">
        <f ca="1">结果表!D42</f>
        <v>25750</v>
      </c>
      <c r="R5" s="1812">
        <f ca="1">结果表!C42</f>
        <v>684487</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3">
        <f ca="1">结果表!O39</f>
        <v>684487</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3" t="s">
        <v>2067</v>
      </c>
      <c r="B1" s="3193"/>
      <c r="C1" s="3193"/>
      <c r="D1" s="3193"/>
    </row>
    <row r="2" spans="1:4" ht="47.25" customHeight="1">
      <c r="A2" s="3194" t="str">
        <f>"1.权利限制："&amp;项目基本情况!L24&amp;"未设定租赁等其他他项权利。"</f>
        <v>1.权利限制：根据估价对象《不动产权证书》复印件、《国有土地使用权》复印件，截至估价期日，估价对象抵押权未见登记。未设定租赁等其他他项权利。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2068</v>
      </c>
      <c r="B5" s="3192"/>
      <c r="C5" s="3192"/>
      <c r="D5" s="3192"/>
    </row>
    <row r="6" spans="1:4">
      <c r="A6" s="3193" t="s">
        <v>2046</v>
      </c>
      <c r="B6" s="3193"/>
      <c r="C6" s="3193"/>
      <c r="D6" s="3193"/>
    </row>
    <row r="7" spans="1:4" ht="33" customHeight="1">
      <c r="A7" s="3193" t="s">
        <v>2577</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（1）根据估价对象《不动产权证书》复印件、《国有土地使用权》复印件，截至估价期日，估价对象抵押权未见登记。</v>
      </c>
      <c r="B11" s="3195"/>
      <c r="C11" s="3195"/>
      <c r="D11" s="3195"/>
    </row>
    <row r="12" spans="1:4" ht="168" customHeight="1">
      <c r="A12" s="3192" t="s">
        <v>2070</v>
      </c>
      <c r="B12" s="3192"/>
      <c r="C12" s="3192"/>
      <c r="D12" s="3192"/>
    </row>
    <row r="13" spans="1:4">
      <c r="A13" s="3196" t="s">
        <v>2748</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2704</v>
      </c>
      <c r="B17" s="3193"/>
      <c r="C17" s="3193"/>
      <c r="D17" s="3193"/>
    </row>
    <row r="18" spans="1:4">
      <c r="A18" s="3193" t="s">
        <v>2696</v>
      </c>
      <c r="B18" s="3193"/>
      <c r="C18" s="3193"/>
      <c r="D18" s="3193"/>
    </row>
    <row r="19" spans="1:4">
      <c r="A19" s="2869" t="s">
        <v>2697</v>
      </c>
      <c r="B19" s="2869" t="s">
        <v>2698</v>
      </c>
      <c r="C19" s="2869" t="s">
        <v>2699</v>
      </c>
      <c r="D19" s="2869" t="s">
        <v>2700</v>
      </c>
    </row>
    <row r="20" spans="1:4">
      <c r="A20" s="2869" t="str">
        <f>项目基本情况!B4</f>
        <v>崔锴</v>
      </c>
      <c r="B20" s="2869">
        <f ca="1">项目基本情况!C4</f>
        <v>2010110070</v>
      </c>
      <c r="C20" s="2871"/>
      <c r="D20" s="1801" t="s">
        <v>2705</v>
      </c>
    </row>
    <row r="21" spans="1:4">
      <c r="A21" s="2869" t="str">
        <f>项目基本情况!D4</f>
        <v>赵雯</v>
      </c>
      <c r="B21" s="2869">
        <f ca="1">项目基本情况!E4</f>
        <v>2011110090</v>
      </c>
      <c r="C21" s="2871"/>
      <c r="D21" s="1801" t="s">
        <v>2706</v>
      </c>
    </row>
    <row r="23" spans="1:4">
      <c r="A23" s="3193" t="s">
        <v>2701</v>
      </c>
      <c r="B23" s="3193"/>
      <c r="C23" s="3193"/>
      <c r="D23" s="3193"/>
    </row>
    <row r="24" spans="1:4">
      <c r="A24" s="2869" t="s">
        <v>2697</v>
      </c>
      <c r="B24" s="2869" t="s">
        <v>2702</v>
      </c>
      <c r="C24" s="2869" t="s">
        <v>2699</v>
      </c>
      <c r="D24" s="2869" t="s">
        <v>2700</v>
      </c>
    </row>
    <row r="25" spans="1:4">
      <c r="A25" s="2872" t="s">
        <v>2703</v>
      </c>
      <c r="B25" s="2869" t="s">
        <v>952</v>
      </c>
      <c r="C25" s="2871"/>
      <c r="D25" s="1801" t="s">
        <v>2706</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43347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6">
        <v>43849</v>
      </c>
      <c r="D4" s="2344" t="s">
        <v>1915</v>
      </c>
      <c r="E4" s="2344">
        <f ca="1">IF(F4&lt;B2,"已过期",96010014)</f>
        <v>96010014</v>
      </c>
      <c r="F4" s="3007">
        <v>47118</v>
      </c>
    </row>
    <row r="5" spans="1:6" ht="20.25" customHeight="1">
      <c r="A5" s="2344" t="s">
        <v>1916</v>
      </c>
      <c r="B5" s="2344">
        <f ca="1">IF(C5&lt;B2,"已过期",1119970074)</f>
        <v>1119970074</v>
      </c>
      <c r="C5" s="3006">
        <v>43849</v>
      </c>
      <c r="D5" s="2344" t="s">
        <v>1916</v>
      </c>
      <c r="E5" s="2344">
        <f ca="1">IF(F5&lt;B2,"已过期",2002110027)</f>
        <v>2002110027</v>
      </c>
      <c r="F5" s="3007">
        <v>46752</v>
      </c>
    </row>
    <row r="6" spans="1:6" ht="20.25" customHeight="1">
      <c r="A6" s="2344" t="s">
        <v>1917</v>
      </c>
      <c r="B6" s="2344">
        <f ca="1">IF(C6&lt;B2,"已过期",1119970111)</f>
        <v>1119970111</v>
      </c>
      <c r="C6" s="3006">
        <v>43849</v>
      </c>
      <c r="D6" s="2344" t="s">
        <v>1917</v>
      </c>
      <c r="E6" s="2344">
        <f ca="1">IF(F6&lt;B2,"已过期",94010078)</f>
        <v>94010078</v>
      </c>
      <c r="F6" s="3007">
        <v>46387</v>
      </c>
    </row>
    <row r="7" spans="1:6" ht="20.25" customHeight="1">
      <c r="A7" s="2344" t="s">
        <v>1918</v>
      </c>
      <c r="B7" s="2344">
        <f ca="1">IF(C7&lt;B2,"已过期",1120050019)</f>
        <v>1120050019</v>
      </c>
      <c r="C7" s="3006">
        <v>44395</v>
      </c>
      <c r="D7" s="2344" t="s">
        <v>1918</v>
      </c>
      <c r="E7" s="2344">
        <f ca="1">IF(F7&lt;B2,"已过期",2002110030)</f>
        <v>2002110030</v>
      </c>
      <c r="F7" s="3007">
        <v>46387</v>
      </c>
    </row>
    <row r="8" spans="1:6" ht="20.25" customHeight="1">
      <c r="A8" s="2344" t="s">
        <v>1919</v>
      </c>
      <c r="B8" s="2344">
        <f ca="1">IF(C8&lt;B2,"已过期",1120000080)</f>
        <v>1120000080</v>
      </c>
      <c r="C8" s="3006">
        <v>43849</v>
      </c>
      <c r="D8" s="2344" t="s">
        <v>1919</v>
      </c>
      <c r="E8" s="2344">
        <f ca="1">IF(F8&lt;B2,"已过期",2000110082)</f>
        <v>2000110082</v>
      </c>
      <c r="F8" s="3007">
        <v>46387</v>
      </c>
    </row>
    <row r="9" spans="1:6" ht="20.25" customHeight="1">
      <c r="A9" s="2344" t="s">
        <v>1920</v>
      </c>
      <c r="B9" s="2344">
        <f ca="1">IF(C9&lt;B2,"已过期",1419970001)</f>
        <v>1419970001</v>
      </c>
      <c r="C9" s="3006">
        <v>43867</v>
      </c>
      <c r="D9" s="2344" t="s">
        <v>1920</v>
      </c>
      <c r="E9" s="2344">
        <f ca="1">IF(F9&lt;B2,"已过期",2002110125)</f>
        <v>2002110125</v>
      </c>
      <c r="F9" s="3007">
        <v>47118</v>
      </c>
    </row>
    <row r="10" spans="1:6" ht="20.25" customHeight="1">
      <c r="A10" s="2344" t="s">
        <v>1921</v>
      </c>
      <c r="B10" s="2344">
        <f ca="1">IF(C10&lt;B2,"已过期",1120060040)</f>
        <v>1120060040</v>
      </c>
      <c r="C10" s="3006">
        <v>43483</v>
      </c>
      <c r="D10" s="2344" t="s">
        <v>1921</v>
      </c>
      <c r="E10" s="2344">
        <f ca="1">IF(F10&lt;B2,"已过期",2004110096)</f>
        <v>2004110096</v>
      </c>
      <c r="F10" s="3007">
        <v>47118</v>
      </c>
    </row>
    <row r="11" spans="1:6" ht="20.25" customHeight="1">
      <c r="A11" s="2344" t="s">
        <v>1922</v>
      </c>
      <c r="B11" s="2344">
        <f ca="1">IF(C11&lt;B2,"已过期",1120100036)</f>
        <v>1120100036</v>
      </c>
      <c r="C11" s="3006">
        <v>43622</v>
      </c>
      <c r="D11" s="2344" t="s">
        <v>1922</v>
      </c>
      <c r="E11" s="2344">
        <f ca="1">IF(F11&lt;B2,"已过期",2010110070)</f>
        <v>2010110070</v>
      </c>
      <c r="F11" s="3007">
        <v>47907</v>
      </c>
    </row>
    <row r="12" spans="1:6" ht="20.25" customHeight="1">
      <c r="A12" s="2344" t="s">
        <v>2978</v>
      </c>
      <c r="B12" s="2344">
        <v>1120110054</v>
      </c>
      <c r="C12" s="3006">
        <v>43937</v>
      </c>
      <c r="D12" s="2344" t="s">
        <v>2978</v>
      </c>
      <c r="E12" s="2344">
        <v>2008110060</v>
      </c>
      <c r="F12" s="3007">
        <v>47177</v>
      </c>
    </row>
    <row r="13" spans="1:6" ht="20.25" customHeight="1">
      <c r="A13" s="2344" t="s">
        <v>1923</v>
      </c>
      <c r="B13" s="2344">
        <f ca="1">IF(C13&lt;B2,"已过期",1120070131)</f>
        <v>1120070131</v>
      </c>
      <c r="C13" s="3006">
        <v>43814</v>
      </c>
      <c r="D13" s="2344" t="s">
        <v>1923</v>
      </c>
      <c r="E13" s="2344">
        <v>2014110011</v>
      </c>
      <c r="F13" s="3007">
        <v>49302</v>
      </c>
    </row>
    <row r="14" spans="1:6" ht="20.25" customHeight="1">
      <c r="A14" s="2344" t="s">
        <v>1924</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1925</v>
      </c>
      <c r="B16" s="2344">
        <f ca="1">IF(C16&lt;B2,"已过期",1120140022)</f>
        <v>1120140022</v>
      </c>
      <c r="C16" s="3006">
        <v>44029</v>
      </c>
      <c r="D16" s="2344" t="s">
        <v>1925</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1926</v>
      </c>
      <c r="E21" s="2344">
        <f ca="1">IF(F21&lt;B2,"已过期",2011110090)</f>
        <v>2011110090</v>
      </c>
      <c r="F21" s="3007">
        <v>48302</v>
      </c>
    </row>
    <row r="22" spans="1:7" ht="20.25" customHeight="1">
      <c r="A22" s="2344" t="s">
        <v>1927</v>
      </c>
      <c r="B22" s="2344">
        <f ca="1">IF(C22&lt;B2,"已过期",1120020033)</f>
        <v>1120020033</v>
      </c>
      <c r="C22" s="3006">
        <v>44339</v>
      </c>
      <c r="D22" s="2344" t="s">
        <v>1927</v>
      </c>
      <c r="E22" s="2344">
        <f ca="1">IF(F22&lt;B2,"已过期",2000110137)</f>
        <v>2000110137</v>
      </c>
      <c r="F22" s="3007">
        <v>46387</v>
      </c>
    </row>
    <row r="23" spans="1:7" ht="20.25" customHeight="1">
      <c r="A23" s="2344" t="s">
        <v>1928</v>
      </c>
      <c r="B23" s="2344">
        <f ca="1">IF(C23&lt;B2,"已过期",1120130048)</f>
        <v>1120130048</v>
      </c>
      <c r="C23" s="3006">
        <v>43686</v>
      </c>
      <c r="D23" s="2344"/>
      <c r="E23" s="2344"/>
      <c r="F23" s="2344"/>
    </row>
    <row r="24" spans="1:7" s="2348" customFormat="1" ht="20.25" customHeight="1">
      <c r="A24" s="2346" t="s">
        <v>2055</v>
      </c>
      <c r="B24" s="2346" t="s">
        <v>2055</v>
      </c>
      <c r="C24" s="3006"/>
      <c r="D24" s="3008" t="s">
        <v>2055</v>
      </c>
      <c r="E24" s="2346" t="s">
        <v>2055</v>
      </c>
      <c r="F24" s="2347"/>
    </row>
    <row r="25" spans="1:7" ht="20.25" customHeight="1">
      <c r="A25" s="3208" t="s">
        <v>1929</v>
      </c>
      <c r="B25" s="3208"/>
      <c r="C25" s="3208"/>
      <c r="D25" s="3208"/>
      <c r="E25" s="3208"/>
      <c r="F25" s="3208"/>
      <c r="G25" s="3208"/>
    </row>
    <row r="26" spans="1:7" ht="20.25" customHeight="1">
      <c r="A26" s="3209" t="s">
        <v>1930</v>
      </c>
      <c r="B26" s="3209"/>
      <c r="C26" s="3209"/>
      <c r="D26" s="3209" t="s">
        <v>1931</v>
      </c>
      <c r="E26" s="3209"/>
      <c r="F26" s="3209"/>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2956</v>
      </c>
      <c r="C18" s="1554"/>
    </row>
    <row r="19" spans="1:3">
      <c r="A19" s="8" t="s">
        <v>120</v>
      </c>
      <c r="B19" s="3111" t="s">
        <v>2964</v>
      </c>
      <c r="C19" s="1554"/>
    </row>
    <row r="20" spans="1:3">
      <c r="A20" s="8" t="s">
        <v>121</v>
      </c>
      <c r="B20" s="8" t="s">
        <v>3297</v>
      </c>
      <c r="C20" s="1554"/>
    </row>
    <row r="21" spans="1:3">
      <c r="A21" s="8" t="s">
        <v>122</v>
      </c>
      <c r="B21" s="8" t="s">
        <v>3299</v>
      </c>
      <c r="C21" s="1554"/>
    </row>
    <row r="22" spans="1:3">
      <c r="A22" s="8" t="s">
        <v>123</v>
      </c>
      <c r="B22" s="8" t="s">
        <v>3301</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1" t="s">
        <v>3007</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10"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4日，在规划利用条件下、设定土地开发程度为红线外“七通”、宗地内场地，设定用途为，剩余土地使用年限为的出让国有建设用地使用权价格。</v>
      </c>
      <c r="D53" s="1768"/>
      <c r="E53" s="1768"/>
    </row>
    <row r="54" spans="1:5">
      <c r="A54" s="3210"/>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不动产收益法-库房</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2018-09-04T09:24:51Z</dcterms:modified>
</cp:coreProperties>
</file>