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武哥中行询价\"/>
    </mc:Choice>
  </mc:AlternateContent>
  <xr:revisionPtr revIDLastSave="0" documentId="13_ncr:1_{3D43AA2F-4662-4141-A3A3-DF0FF1580ADF}" xr6:coauthVersionLast="47" xr6:coauthVersionMax="47" xr10:uidLastSave="{00000000-0000-0000-0000-000000000000}"/>
  <bookViews>
    <workbookView xWindow="-110" yWindow="-110" windowWidth="25820" windowHeight="14020" tabRatio="899"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收益法 (元)" sheetId="67" r:id="rId34"/>
    <sheet name="租金案例" sheetId="81" r:id="rId35"/>
    <sheet name="售价案例" sheetId="82" r:id="rId36"/>
    <sheet name="成本法 (元)" sheetId="69" r:id="rId37"/>
    <sheet name="基准地价修正" sheetId="43" r:id="rId38"/>
    <sheet name="Sheet1" sheetId="80"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3">'收益法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66" i="33" l="1"/>
  <c r="G66" i="33" s="1"/>
  <c r="F66" i="33" s="1"/>
  <c r="E66" i="33" s="1"/>
  <c r="D66" i="33" s="1"/>
  <c r="C66" i="33" s="1"/>
  <c r="I66" i="33"/>
  <c r="G47" i="33"/>
  <c r="G51" i="33"/>
  <c r="G50" i="33"/>
  <c r="I47" i="33"/>
  <c r="I33" i="33"/>
  <c r="B14" i="74"/>
  <c r="I14" i="33"/>
  <c r="D93" i="33"/>
  <c r="O50" i="33"/>
  <c r="N37" i="33" s="1"/>
  <c r="O37" i="33" s="1"/>
  <c r="E93" i="33" s="1"/>
  <c r="O47" i="33"/>
  <c r="O46" i="33"/>
  <c r="N36" i="33"/>
  <c r="O34" i="33" s="1"/>
  <c r="C93" i="33" s="1"/>
  <c r="C45" i="33"/>
  <c r="G33" i="33"/>
  <c r="E36" i="33"/>
  <c r="C36" i="33"/>
  <c r="E47" i="33"/>
  <c r="E33" i="33"/>
  <c r="C33" i="33"/>
  <c r="E5" i="33"/>
  <c r="P21" i="1"/>
  <c r="E104" i="33"/>
  <c r="F104" i="33" s="1"/>
  <c r="G104" i="33" s="1"/>
  <c r="H104" i="33" s="1"/>
  <c r="D104" i="33"/>
  <c r="E89" i="33"/>
  <c r="F89" i="33" s="1"/>
  <c r="G89" i="33" s="1"/>
  <c r="D89" i="33"/>
  <c r="I7" i="33"/>
  <c r="G7" i="33"/>
  <c r="E7" i="33"/>
  <c r="J49" i="67"/>
  <c r="U6" i="1"/>
  <c r="U19" i="1"/>
  <c r="U3" i="43"/>
  <c r="U2" i="43"/>
  <c r="Y6" i="1"/>
  <c r="N6" i="1"/>
  <c r="N21" i="1"/>
  <c r="N19" i="1"/>
  <c r="B21" i="1"/>
  <c r="B57" i="1"/>
  <c r="F19" i="6"/>
  <c r="E27" i="45"/>
  <c r="O35" i="33" l="1"/>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T40" i="79"/>
  <c r="U46" i="79"/>
  <c r="AI46" i="79" s="1"/>
  <c r="AD47" i="79"/>
  <c r="S48" i="79"/>
  <c r="AG48" i="79" s="1"/>
  <c r="U50" i="79"/>
  <c r="AI50" i="79" s="1"/>
  <c r="AD51" i="79"/>
  <c r="AR18" i="79"/>
  <c r="AR19" i="79" s="1"/>
  <c r="AR20" i="79" s="1"/>
  <c r="AR21" i="79" s="1"/>
  <c r="AR22" i="79" s="1"/>
  <c r="AR23" i="79" s="1"/>
  <c r="AR24" i="79" s="1"/>
  <c r="T33" i="79"/>
  <c r="T34" i="79"/>
  <c r="T35" i="79"/>
  <c r="S35" i="79"/>
  <c r="AG35" i="79" s="1"/>
  <c r="S33" i="79"/>
  <c r="AG33" i="79" s="1"/>
  <c r="S34" i="79"/>
  <c r="AG3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51" i="79" l="1"/>
  <c r="AK51" i="79" s="1"/>
  <c r="AH51" i="79"/>
  <c r="W44" i="79"/>
  <c r="AK44" i="79" s="1"/>
  <c r="AH44" i="79"/>
  <c r="W33" i="79"/>
  <c r="AK33" i="79" s="1"/>
  <c r="AH33" i="79"/>
  <c r="W15" i="79"/>
  <c r="AK15" i="79" s="1"/>
  <c r="AH15" i="79"/>
  <c r="W13" i="79"/>
  <c r="AK13" i="79" s="1"/>
  <c r="AH13" i="79"/>
  <c r="W48" i="79"/>
  <c r="AK48" i="79" s="1"/>
  <c r="AH48" i="79"/>
  <c r="W49" i="79"/>
  <c r="AK49" i="79" s="1"/>
  <c r="AH49" i="79"/>
  <c r="W43" i="79"/>
  <c r="AK43" i="79" s="1"/>
  <c r="AH43" i="79"/>
  <c r="W38" i="79"/>
  <c r="AK38" i="79" s="1"/>
  <c r="AH38" i="79"/>
  <c r="W19" i="79"/>
  <c r="AK19" i="79" s="1"/>
  <c r="AH19" i="79"/>
  <c r="W23" i="79"/>
  <c r="AK23" i="79" s="1"/>
  <c r="AH23" i="79"/>
  <c r="W12" i="79"/>
  <c r="AK12" i="79" s="1"/>
  <c r="AH12" i="79"/>
  <c r="W21" i="79"/>
  <c r="AK21" i="79" s="1"/>
  <c r="AH21" i="79"/>
  <c r="W47" i="79"/>
  <c r="AK47" i="79" s="1"/>
  <c r="AH47" i="79"/>
  <c r="W45" i="79"/>
  <c r="AK45" i="79" s="1"/>
  <c r="AH45" i="79"/>
  <c r="W35" i="79"/>
  <c r="AK35" i="79" s="1"/>
  <c r="AH35" i="79"/>
  <c r="W14" i="79"/>
  <c r="AK14" i="79" s="1"/>
  <c r="AH14" i="79"/>
  <c r="W16" i="79"/>
  <c r="AK16" i="79" s="1"/>
  <c r="AH16" i="79"/>
  <c r="W50" i="79"/>
  <c r="AK50" i="79" s="1"/>
  <c r="AH50" i="79"/>
  <c r="W41" i="79"/>
  <c r="AK41" i="79" s="1"/>
  <c r="AH41" i="79"/>
  <c r="W46" i="79"/>
  <c r="AK46" i="79" s="1"/>
  <c r="AH46" i="79"/>
  <c r="W11" i="79"/>
  <c r="AK11" i="79" s="1"/>
  <c r="AH11" i="79"/>
  <c r="W39" i="79"/>
  <c r="AK39" i="79" s="1"/>
  <c r="W17" i="79"/>
  <c r="AK17" i="79" s="1"/>
  <c r="AH17" i="79"/>
  <c r="W10" i="79"/>
  <c r="AK10" i="79" s="1"/>
  <c r="AH10" i="79"/>
  <c r="W18" i="79"/>
  <c r="AK18" i="79" s="1"/>
  <c r="AH18" i="79"/>
  <c r="W20" i="79"/>
  <c r="AK20" i="79" s="1"/>
  <c r="AH20"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C59" i="71"/>
  <c r="D58" i="71"/>
  <c r="D62" i="71"/>
  <c r="B66" i="71"/>
  <c r="N65" i="71" s="1"/>
  <c r="T68" i="71"/>
  <c r="D68" i="71"/>
  <c r="Q68" i="71"/>
  <c r="E71" i="71"/>
  <c r="E70" i="71" s="1"/>
  <c r="D72" i="71"/>
  <c r="E75" i="71"/>
  <c r="E74" i="71" s="1"/>
  <c r="D76" i="71"/>
  <c r="E79" i="71"/>
  <c r="E78" i="71" s="1"/>
  <c r="D80" i="71"/>
  <c r="C87" i="71"/>
  <c r="C86" i="71" s="1"/>
  <c r="D86" i="71" s="1"/>
  <c r="F28" i="71"/>
  <c r="F27" i="71" s="1"/>
  <c r="F26" i="71" s="1"/>
  <c r="AB27" i="71"/>
  <c r="AA28" i="71"/>
  <c r="N66" i="71"/>
  <c r="C60" i="71"/>
  <c r="D59" i="71"/>
  <c r="P67" i="71"/>
  <c r="E66" i="71"/>
  <c r="P65" i="71" s="1"/>
  <c r="D43"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W18" i="35" s="1"/>
  <c r="H21" i="37"/>
  <c r="AB21" i="37" s="1"/>
  <c r="F21" i="37"/>
  <c r="AA21" i="37" s="1"/>
  <c r="H21" i="34"/>
  <c r="AB21" i="34" s="1"/>
  <c r="H21" i="33"/>
  <c r="U21" i="33" s="1"/>
  <c r="F21" i="33"/>
  <c r="AA21" i="33" s="1"/>
  <c r="E83" i="21"/>
  <c r="F83" i="21" s="1"/>
  <c r="H1" i="69"/>
  <c r="AC25" i="40"/>
  <c r="W25" i="40"/>
  <c r="U29" i="39"/>
  <c r="W29" i="39"/>
  <c r="W18" i="36"/>
  <c r="S21" i="37"/>
  <c r="U21" i="34"/>
  <c r="AC18" i="35"/>
  <c r="J21" i="37"/>
  <c r="W21" i="37" s="1"/>
  <c r="J21" i="34"/>
  <c r="W21" i="34" s="1"/>
  <c r="J21" i="33"/>
  <c r="W21" i="33" s="1"/>
  <c r="H21" i="21"/>
  <c r="U21" i="21" s="1"/>
  <c r="F38" i="69"/>
  <c r="E37" i="69"/>
  <c r="F36" i="69"/>
  <c r="F35" i="69"/>
  <c r="F21" i="69"/>
  <c r="F40" i="69" s="1"/>
  <c r="F20" i="69"/>
  <c r="F39" i="69" s="1"/>
  <c r="E10" i="69"/>
  <c r="E9" i="69"/>
  <c r="AC21" i="37"/>
  <c r="G83" i="21"/>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D54" i="43"/>
  <c r="M53" i="43"/>
  <c r="N53" i="43" s="1"/>
  <c r="K53" i="43"/>
  <c r="J53" i="43" s="1"/>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K6" i="1" s="1"/>
  <c r="AP6"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5" i="3" s="1"/>
  <c r="G29" i="6" s="1"/>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C5" i="3" s="1"/>
  <c r="BD13" i="3"/>
  <c r="BE13" i="3"/>
  <c r="BF13" i="3"/>
  <c r="BF5" i="3" s="1"/>
  <c r="BG13" i="3"/>
  <c r="BH13" i="3"/>
  <c r="BI13" i="3"/>
  <c r="BJ13" i="3"/>
  <c r="BK13" i="3"/>
  <c r="BK5" i="3" s="1"/>
  <c r="BB14" i="3"/>
  <c r="BC14" i="3"/>
  <c r="BD14" i="3"/>
  <c r="BD5" i="3" s="1"/>
  <c r="BE14" i="3"/>
  <c r="BF14" i="3"/>
  <c r="BG14" i="3"/>
  <c r="BH14" i="3"/>
  <c r="BH5" i="3" s="1"/>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AB26" i="37" s="1"/>
  <c r="Q25" i="37"/>
  <c r="Z25" i="37"/>
  <c r="J25" i="37"/>
  <c r="AC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S31" i="35"/>
  <c r="U34" i="35"/>
  <c r="F36" i="34"/>
  <c r="J35" i="34"/>
  <c r="U34" i="34"/>
  <c r="H39" i="33"/>
  <c r="U39" i="33" s="1"/>
  <c r="AB39" i="33"/>
  <c r="F26" i="33"/>
  <c r="AA26" i="33" s="1"/>
  <c r="U35" i="33"/>
  <c r="S40" i="33"/>
  <c r="H39" i="37"/>
  <c r="AB39" i="37" s="1"/>
  <c r="S27" i="35"/>
  <c r="F11" i="40"/>
  <c r="AA11" i="40" s="1"/>
  <c r="H11" i="40"/>
  <c r="AB11" i="40" s="1"/>
  <c r="W8" i="40"/>
  <c r="AB39"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C15" i="39"/>
  <c r="H32" i="33"/>
  <c r="AB32" i="33" s="1"/>
  <c r="H11" i="21"/>
  <c r="U11" i="21" s="1"/>
  <c r="J11" i="21"/>
  <c r="W11" i="21" s="1"/>
  <c r="H37" i="40"/>
  <c r="U37" i="40"/>
  <c r="H36" i="40"/>
  <c r="AB36" i="40" s="1"/>
  <c r="F35" i="40"/>
  <c r="AA35" i="40" s="1"/>
  <c r="H23" i="40"/>
  <c r="AB23" i="40" s="1"/>
  <c r="H17" i="40"/>
  <c r="U17" i="40" s="1"/>
  <c r="J15" i="40"/>
  <c r="W15" i="40" s="1"/>
  <c r="J11" i="40"/>
  <c r="W11" i="40"/>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113" i="33" s="1"/>
  <c r="G113" i="33" s="1"/>
  <c r="H113" i="33" s="1"/>
  <c r="I113" i="33" s="1"/>
  <c r="J113" i="33" s="1"/>
  <c r="K113" i="33" s="1"/>
  <c r="L113" i="33" s="1"/>
  <c r="M113" i="33" s="1"/>
  <c r="F32" i="33"/>
  <c r="AA32" i="33" s="1"/>
  <c r="J19" i="33"/>
  <c r="AC19" i="33" s="1"/>
  <c r="J15" i="33"/>
  <c r="W15" i="33" s="1"/>
  <c r="F11" i="33"/>
  <c r="AA11" i="33" s="1"/>
  <c r="U40" i="33"/>
  <c r="W40" i="33"/>
  <c r="F37" i="40"/>
  <c r="AA37" i="40" s="1"/>
  <c r="F36" i="40"/>
  <c r="AA36" i="40"/>
  <c r="H28" i="40"/>
  <c r="U28" i="40" s="1"/>
  <c r="F23" i="40"/>
  <c r="AA23" i="40"/>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AA44" i="34"/>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AC13" i="33" s="1"/>
  <c r="H13" i="33"/>
  <c r="U13" i="33" s="1"/>
  <c r="F13" i="33"/>
  <c r="S13" i="33" s="1"/>
  <c r="J29" i="33"/>
  <c r="H29" i="33"/>
  <c r="U29" i="33" s="1"/>
  <c r="F29" i="33"/>
  <c r="S29" i="33" s="1"/>
  <c r="J31" i="33"/>
  <c r="W31" i="33"/>
  <c r="H31" i="33"/>
  <c r="F31" i="33"/>
  <c r="H45" i="33"/>
  <c r="U45" i="33" s="1"/>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J14" i="33"/>
  <c r="AC14" i="33" s="1"/>
  <c r="H30" i="33"/>
  <c r="AB30" i="33"/>
  <c r="F30" i="33"/>
  <c r="J30" i="33"/>
  <c r="H44" i="33"/>
  <c r="J44" i="33"/>
  <c r="AC44" i="33" s="1"/>
  <c r="F44" i="33"/>
  <c r="S44" i="33" s="1"/>
  <c r="J46" i="33"/>
  <c r="AC46" i="33"/>
  <c r="F46" i="33"/>
  <c r="AA46" i="33" s="1"/>
  <c r="H46" i="33"/>
  <c r="AB46" i="33"/>
  <c r="H13" i="34"/>
  <c r="U13" i="34" s="1"/>
  <c r="J13" i="34"/>
  <c r="W13" i="34" s="1"/>
  <c r="F13" i="34"/>
  <c r="AA13" i="34" s="1"/>
  <c r="J29" i="34"/>
  <c r="F29" i="34"/>
  <c r="S29" i="34" s="1"/>
  <c r="H29" i="34"/>
  <c r="AB29" i="34" s="1"/>
  <c r="J31" i="34"/>
  <c r="AC31" i="34" s="1"/>
  <c r="H31" i="34"/>
  <c r="F31" i="34"/>
  <c r="S31" i="34"/>
  <c r="H45" i="34"/>
  <c r="U45" i="34" s="1"/>
  <c r="J45" i="34"/>
  <c r="W45" i="34"/>
  <c r="F45" i="34"/>
  <c r="S45" i="34" s="1"/>
  <c r="H47" i="34"/>
  <c r="U47" i="34" s="1"/>
  <c r="F47" i="34"/>
  <c r="S47" i="34" s="1"/>
  <c r="J47" i="34"/>
  <c r="AC47" i="34" s="1"/>
  <c r="F13" i="35"/>
  <c r="J13" i="35"/>
  <c r="AC13" i="35"/>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s="1"/>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AA14" i="37" s="1"/>
  <c r="S14" i="37"/>
  <c r="F27" i="37"/>
  <c r="AA27" i="37" s="1"/>
  <c r="F13" i="39"/>
  <c r="J13" i="39"/>
  <c r="W13" i="39" s="1"/>
  <c r="H13" i="39"/>
  <c r="H14" i="40"/>
  <c r="AB14" i="40"/>
  <c r="J14" i="40"/>
  <c r="W14" i="40" s="1"/>
  <c r="F14" i="40"/>
  <c r="AA14" i="40" s="1"/>
  <c r="J14" i="37"/>
  <c r="J27" i="37"/>
  <c r="AC27" i="37" s="1"/>
  <c r="AA44" i="33"/>
  <c r="U46" i="33"/>
  <c r="AA14" i="33"/>
  <c r="J36" i="37"/>
  <c r="AC36" i="37" s="1"/>
  <c r="J10" i="36"/>
  <c r="AC10" i="36" s="1"/>
  <c r="AB30" i="21"/>
  <c r="S11" i="36"/>
  <c r="AB46"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AZ556" i="3" s="1"/>
  <c r="BA554" i="3"/>
  <c r="AZ554" i="3"/>
  <c r="BA552" i="3"/>
  <c r="AZ552" i="3" s="1"/>
  <c r="BA548" i="3"/>
  <c r="BA546" i="3"/>
  <c r="AZ546" i="3" s="1"/>
  <c r="BA544" i="3"/>
  <c r="AZ544" i="3" s="1"/>
  <c r="BA542" i="3"/>
  <c r="AZ542" i="3"/>
  <c r="BA540" i="3"/>
  <c r="BA538" i="3"/>
  <c r="AZ538" i="3"/>
  <c r="BA536" i="3"/>
  <c r="AZ536" i="3" s="1"/>
  <c r="BA534" i="3"/>
  <c r="BA532" i="3"/>
  <c r="AZ532" i="3" s="1"/>
  <c r="BA530" i="3"/>
  <c r="BA528" i="3"/>
  <c r="BA526" i="3"/>
  <c r="AZ526" i="3" s="1"/>
  <c r="BA524" i="3"/>
  <c r="AZ524" i="3" s="1"/>
  <c r="BA522" i="3"/>
  <c r="BA520" i="3"/>
  <c r="BA518" i="3"/>
  <c r="AZ518" i="3" s="1"/>
  <c r="BA516" i="3"/>
  <c r="BA514" i="3"/>
  <c r="BA512" i="3"/>
  <c r="AZ512" i="3"/>
  <c r="BA510" i="3"/>
  <c r="AZ510" i="3" s="1"/>
  <c r="BA508" i="3"/>
  <c r="AZ508" i="3" s="1"/>
  <c r="BA506" i="3"/>
  <c r="BA504" i="3"/>
  <c r="AZ504" i="3" s="1"/>
  <c r="BA502" i="3"/>
  <c r="BA500" i="3"/>
  <c r="AZ500" i="3" s="1"/>
  <c r="BA498" i="3"/>
  <c r="AZ498" i="3" s="1"/>
  <c r="BA496" i="3"/>
  <c r="BA494" i="3"/>
  <c r="AZ494" i="3" s="1"/>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s="1"/>
  <c r="BQ535" i="3"/>
  <c r="BL535" i="3" s="1"/>
  <c r="AZ535" i="3" s="1"/>
  <c r="BQ533" i="3"/>
  <c r="BL533" i="3" s="1"/>
  <c r="AZ533" i="3" s="1"/>
  <c r="BQ531" i="3"/>
  <c r="BL531" i="3" s="1"/>
  <c r="BQ529" i="3"/>
  <c r="BL529" i="3"/>
  <c r="BQ527" i="3"/>
  <c r="BL527" i="3" s="1"/>
  <c r="BQ525" i="3"/>
  <c r="BL525" i="3"/>
  <c r="AZ525" i="3" s="1"/>
  <c r="BQ523" i="3"/>
  <c r="BL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14" i="40"/>
  <c r="W23" i="35"/>
  <c r="U39" i="37"/>
  <c r="U26" i="37"/>
  <c r="AC36" i="34"/>
  <c r="AA13" i="33"/>
  <c r="AC31" i="33"/>
  <c r="AC45" i="33"/>
  <c r="U19"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W11" i="39"/>
  <c r="F11" i="39"/>
  <c r="S11" i="39" s="1"/>
  <c r="G4" i="4"/>
  <c r="I4" i="4"/>
  <c r="F61" i="43"/>
  <c r="H64" i="43" s="1"/>
  <c r="AZ497"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G125" i="3"/>
  <c r="BA127" i="3"/>
  <c r="AZ127" i="3" s="1"/>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68" i="3"/>
  <c r="AZ9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AZ339" i="3" s="1"/>
  <c r="G340" i="3"/>
  <c r="BL343" i="3"/>
  <c r="G344" i="3"/>
  <c r="G348" i="3"/>
  <c r="G355" i="3"/>
  <c r="AZ214" i="3"/>
  <c r="AZ335" i="3"/>
  <c r="G342" i="3"/>
  <c r="BL345" i="3"/>
  <c r="AZ345" i="3" s="1"/>
  <c r="G346" i="3"/>
  <c r="BL349" i="3"/>
  <c r="BL352" i="3"/>
  <c r="G353" i="3"/>
  <c r="BA357" i="3"/>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AZ392" i="3" s="1"/>
  <c r="G393" i="3"/>
  <c r="BJ5" i="3"/>
  <c r="AZ325" i="3"/>
  <c r="AZ506" i="3"/>
  <c r="AZ496" i="3"/>
  <c r="G548" i="3"/>
  <c r="G538" i="3"/>
  <c r="G520" i="3"/>
  <c r="G502" i="3"/>
  <c r="BS5" i="3"/>
  <c r="BP5" i="3"/>
  <c r="BG5" i="3"/>
  <c r="BE5" i="3"/>
  <c r="G17" i="3"/>
  <c r="BA17" i="3"/>
  <c r="BT5" i="3"/>
  <c r="AZ350" i="3"/>
  <c r="AZ356" i="3"/>
  <c r="BA15" i="3"/>
  <c r="BR5" i="3"/>
  <c r="AZ509" i="3"/>
  <c r="G509" i="3"/>
  <c r="BL493" i="3"/>
  <c r="AZ493" i="3" s="1"/>
  <c r="U36" i="40"/>
  <c r="F83" i="43"/>
  <c r="H85" i="43" s="1"/>
  <c r="F50" i="43"/>
  <c r="H54" i="43" s="1"/>
  <c r="F72" i="43"/>
  <c r="H75" i="43" s="1"/>
  <c r="U17" i="39"/>
  <c r="S14" i="35"/>
  <c r="U43" i="21"/>
  <c r="U35" i="21"/>
  <c r="AC35" i="21"/>
  <c r="AC11" i="39"/>
  <c r="AZ563" i="3"/>
  <c r="AZ501"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271" i="3"/>
  <c r="AZ13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W27" i="34"/>
  <c r="AC27" i="34"/>
  <c r="AB34" i="36"/>
  <c r="U34" i="36"/>
  <c r="AB33" i="36"/>
  <c r="U33" i="36"/>
  <c r="AC12" i="39"/>
  <c r="W12" i="39"/>
  <c r="AC39" i="40"/>
  <c r="W39" i="40"/>
  <c r="W12" i="33"/>
  <c r="AC12" i="33"/>
  <c r="AA32" i="36"/>
  <c r="S32" i="36"/>
  <c r="U30" i="33"/>
  <c r="AC13" i="34"/>
  <c r="AA47" i="34"/>
  <c r="W28" i="37"/>
  <c r="S19" i="39"/>
  <c r="F12" i="33"/>
  <c r="H12" i="39"/>
  <c r="AB12" i="39"/>
  <c r="F39" i="40"/>
  <c r="AA39" i="40" s="1"/>
  <c r="AZ254" i="3"/>
  <c r="AZ286"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W38" i="33"/>
  <c r="H41" i="33"/>
  <c r="F121" i="33"/>
  <c r="G121" i="33" s="1"/>
  <c r="H121" i="33" s="1"/>
  <c r="I121" i="33" s="1"/>
  <c r="J121" i="33" s="1"/>
  <c r="K121" i="33" s="1"/>
  <c r="L121" i="33" s="1"/>
  <c r="M121" i="33" s="1"/>
  <c r="F36" i="33"/>
  <c r="AA36" i="33" s="1"/>
  <c r="G111" i="33"/>
  <c r="H111" i="33" s="1"/>
  <c r="I111" i="33" s="1"/>
  <c r="J111" i="33" s="1"/>
  <c r="K111" i="33" s="1"/>
  <c r="L111" i="33" s="1"/>
  <c r="M111" i="33" s="1"/>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F91" i="33"/>
  <c r="H27" i="33"/>
  <c r="AB27" i="33" s="1"/>
  <c r="F87" i="33"/>
  <c r="H25" i="33"/>
  <c r="AB25" i="33" s="1"/>
  <c r="F25" i="33"/>
  <c r="S25" i="33" s="1"/>
  <c r="J23" i="33"/>
  <c r="AC23" i="33" s="1"/>
  <c r="F85" i="33"/>
  <c r="H23" i="33"/>
  <c r="U23" i="33" s="1"/>
  <c r="F81" i="33"/>
  <c r="F19" i="33"/>
  <c r="S19" i="33" s="1"/>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W46" i="33"/>
  <c r="U38" i="33"/>
  <c r="U44" i="33"/>
  <c r="AB44" i="33"/>
  <c r="S30" i="33"/>
  <c r="AA30" i="33"/>
  <c r="W14" i="33"/>
  <c r="AC30" i="33"/>
  <c r="W30" i="33"/>
  <c r="S31" i="33"/>
  <c r="AA31" i="33"/>
  <c r="W13" i="33"/>
  <c r="W9"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M18" i="67"/>
  <c r="S39" i="40"/>
  <c r="S12" i="33"/>
  <c r="AA12" i="33"/>
  <c r="J32" i="39"/>
  <c r="AC32" i="39" s="1"/>
  <c r="H32" i="39"/>
  <c r="AB32" i="39" s="1"/>
  <c r="AA32" i="39"/>
  <c r="S32" i="39"/>
  <c r="AB21" i="39"/>
  <c r="U21" i="39"/>
  <c r="AA21" i="39"/>
  <c r="S21" i="39"/>
  <c r="AC17" i="37"/>
  <c r="S17" i="37"/>
  <c r="J19" i="37"/>
  <c r="W19" i="37" s="1"/>
  <c r="G75" i="37"/>
  <c r="AA19" i="37"/>
  <c r="J23" i="37"/>
  <c r="G79" i="37"/>
  <c r="J10" i="37"/>
  <c r="W10" i="37" s="1"/>
  <c r="G63" i="37"/>
  <c r="H63" i="37" s="1"/>
  <c r="I63" i="37" s="1"/>
  <c r="H11" i="37"/>
  <c r="AB11" i="37" s="1"/>
  <c r="G70" i="34"/>
  <c r="H11" i="34"/>
  <c r="U11" i="34" s="1"/>
  <c r="J10" i="34"/>
  <c r="AC10" i="34" s="1"/>
  <c r="AB41" i="33"/>
  <c r="U41" i="33"/>
  <c r="W35" i="33"/>
  <c r="AC35" i="33"/>
  <c r="J36" i="33"/>
  <c r="W36" i="33" s="1"/>
  <c r="H36" i="33"/>
  <c r="U36" i="33" s="1"/>
  <c r="S36" i="33"/>
  <c r="G91" i="33"/>
  <c r="H91" i="33" s="1"/>
  <c r="I91" i="33" s="1"/>
  <c r="J91" i="33" s="1"/>
  <c r="K91" i="33" s="1"/>
  <c r="L91" i="33" s="1"/>
  <c r="M91" i="33" s="1"/>
  <c r="J27" i="33"/>
  <c r="AC27" i="33" s="1"/>
  <c r="G87" i="33"/>
  <c r="H87" i="33" s="1"/>
  <c r="I87" i="33" s="1"/>
  <c r="J87" i="33" s="1"/>
  <c r="K87" i="33" s="1"/>
  <c r="L87" i="33" s="1"/>
  <c r="M87" i="33" s="1"/>
  <c r="J25" i="33"/>
  <c r="W25" i="33" s="1"/>
  <c r="F23" i="33"/>
  <c r="G85" i="33"/>
  <c r="H19" i="33"/>
  <c r="U19" i="33" s="1"/>
  <c r="G81" i="33"/>
  <c r="J23" i="21"/>
  <c r="F85" i="21"/>
  <c r="G85" i="21" s="1"/>
  <c r="H23" i="21"/>
  <c r="S13" i="21"/>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20" i="31"/>
  <c r="M8" i="15"/>
  <c r="B10" i="76"/>
  <c r="F3" i="73"/>
  <c r="E8" i="76"/>
  <c r="F37" i="15"/>
  <c r="F5" i="73"/>
  <c r="F26" i="15"/>
  <c r="M29" i="15"/>
  <c r="F9" i="15"/>
  <c r="F6" i="73"/>
  <c r="E2" i="68"/>
  <c r="F36" i="15"/>
  <c r="F7" i="15"/>
  <c r="M6" i="15"/>
  <c r="F38" i="15"/>
  <c r="B9" i="76"/>
  <c r="E13" i="76"/>
  <c r="B11" i="76"/>
  <c r="E12" i="76"/>
  <c r="B13" i="76"/>
  <c r="F13" i="15"/>
  <c r="J15" i="15"/>
  <c r="M26" i="15"/>
  <c r="B12" i="76"/>
  <c r="B7" i="76"/>
  <c r="F42" i="15"/>
  <c r="E10" i="76"/>
  <c r="F6" i="15"/>
  <c r="B8" i="76"/>
  <c r="M28" i="15"/>
  <c r="E2" i="69"/>
  <c r="E9" i="76"/>
  <c r="F43" i="15"/>
  <c r="L47" i="15"/>
  <c r="F4" i="73"/>
  <c r="L48" i="15"/>
  <c r="C76" i="15"/>
  <c r="E7" i="76"/>
  <c r="M22" i="15"/>
  <c r="E11" i="76"/>
  <c r="M9" i="15"/>
  <c r="F40" i="15"/>
  <c r="M23" i="15"/>
  <c r="F7" i="73"/>
  <c r="D6" i="73"/>
  <c r="F8" i="15"/>
  <c r="M24" i="15"/>
  <c r="AO13" i="1"/>
  <c r="F16" i="15"/>
  <c r="A24" i="51" l="1"/>
  <c r="B18" i="72" s="1"/>
  <c r="AC15" i="33"/>
  <c r="W33" i="33"/>
  <c r="W32" i="33"/>
  <c r="U32" i="33"/>
  <c r="AB28" i="33"/>
  <c r="S28" i="33"/>
  <c r="AC28" i="33"/>
  <c r="AB45" i="33"/>
  <c r="W27" i="33"/>
  <c r="AC21" i="33"/>
  <c r="S42" i="33"/>
  <c r="W42" i="33"/>
  <c r="U42" i="33"/>
  <c r="S33" i="33"/>
  <c r="U33" i="33"/>
  <c r="AB26" i="33"/>
  <c r="S26" i="33"/>
  <c r="AC25" i="33"/>
  <c r="U25" i="33"/>
  <c r="S11" i="33"/>
  <c r="AC11" i="33"/>
  <c r="U11" i="33"/>
  <c r="W8" i="33"/>
  <c r="W43" i="33"/>
  <c r="S43" i="33"/>
  <c r="S39" i="33"/>
  <c r="W39" i="33"/>
  <c r="AC37" i="33"/>
  <c r="U37" i="33"/>
  <c r="AB34" i="33"/>
  <c r="AC34" i="33"/>
  <c r="S32" i="33"/>
  <c r="W26" i="33"/>
  <c r="U27" i="33"/>
  <c r="S27" i="33"/>
  <c r="AA25" i="33"/>
  <c r="AB23" i="33"/>
  <c r="F17" i="33"/>
  <c r="S17" i="33" s="1"/>
  <c r="H17" i="33"/>
  <c r="U17" i="33" s="1"/>
  <c r="J17" i="33"/>
  <c r="W17" i="33" s="1"/>
  <c r="S21" i="33"/>
  <c r="W19" i="33"/>
  <c r="S15" i="33"/>
  <c r="U15" i="33"/>
  <c r="U9" i="33"/>
  <c r="D53" i="43"/>
  <c r="D52" i="43"/>
  <c r="D56" i="43"/>
  <c r="F30" i="11"/>
  <c r="C48" i="11" s="1"/>
  <c r="D93" i="9"/>
  <c r="M18" i="15"/>
  <c r="F32" i="15"/>
  <c r="F60" i="15" s="1"/>
  <c r="F30" i="68"/>
  <c r="F48" i="68" s="1"/>
  <c r="F54" i="9"/>
  <c r="F30" i="69"/>
  <c r="F48" i="69" s="1"/>
  <c r="F31" i="12"/>
  <c r="F52" i="9"/>
  <c r="D68" i="9"/>
  <c r="F28" i="15"/>
  <c r="F32" i="67"/>
  <c r="F60" i="67" s="1"/>
  <c r="F28" i="67"/>
  <c r="C21" i="68"/>
  <c r="G1" i="68"/>
  <c r="G1" i="67"/>
  <c r="BA14" i="3"/>
  <c r="BA13" i="3"/>
  <c r="BO5" i="3"/>
  <c r="F29" i="6" s="1"/>
  <c r="E29" i="6" s="1"/>
  <c r="K15" i="1" s="1"/>
  <c r="A4" i="52"/>
  <c r="B41" i="72" s="1"/>
  <c r="A118" i="9"/>
  <c r="A2" i="9"/>
  <c r="AZ115" i="3"/>
  <c r="AZ370" i="3"/>
  <c r="AZ155" i="3"/>
  <c r="AZ529" i="3"/>
  <c r="AZ537" i="3"/>
  <c r="W32" i="39"/>
  <c r="AA23" i="21"/>
  <c r="AA19" i="33"/>
  <c r="AC15" i="21"/>
  <c r="AZ15" i="3"/>
  <c r="AZ391" i="3"/>
  <c r="AZ364" i="3"/>
  <c r="AZ346" i="3"/>
  <c r="AZ329" i="3"/>
  <c r="AZ306" i="3"/>
  <c r="AZ513" i="3"/>
  <c r="AZ575" i="3"/>
  <c r="AZ528" i="3"/>
  <c r="AZ574" i="3"/>
  <c r="AZ502" i="3"/>
  <c r="W31" i="34"/>
  <c r="AB19" i="33"/>
  <c r="AB15" i="21"/>
  <c r="U13" i="37"/>
  <c r="AC5" i="3"/>
  <c r="AZ357" i="3"/>
  <c r="AZ322" i="3"/>
  <c r="AZ313" i="3"/>
  <c r="AZ394" i="3"/>
  <c r="W44" i="33"/>
  <c r="AZ519" i="3"/>
  <c r="AZ531" i="3"/>
  <c r="AZ573" i="3"/>
  <c r="AZ583" i="3"/>
  <c r="AZ568" i="3"/>
  <c r="AZ576" i="3"/>
  <c r="AA14" i="34"/>
  <c r="AB36" i="33"/>
  <c r="S37" i="21"/>
  <c r="D6" i="52"/>
  <c r="AA23" i="37"/>
  <c r="W27" i="40"/>
  <c r="U32" i="37"/>
  <c r="AZ14" i="3"/>
  <c r="AZ334" i="3"/>
  <c r="AZ347" i="3"/>
  <c r="AA11" i="39"/>
  <c r="W44" i="21"/>
  <c r="W47" i="34"/>
  <c r="AZ523" i="3"/>
  <c r="AZ547" i="3"/>
  <c r="AZ571" i="3"/>
  <c r="AZ579" i="3"/>
  <c r="AZ516" i="3"/>
  <c r="AC11" i="35"/>
  <c r="G551" i="3"/>
  <c r="BL550" i="3"/>
  <c r="G542" i="3"/>
  <c r="BL15" i="3"/>
  <c r="BA398" i="3"/>
  <c r="BA399" i="3"/>
  <c r="AZ399" i="3" s="1"/>
  <c r="BL401" i="3"/>
  <c r="BL404" i="3"/>
  <c r="BL405" i="3"/>
  <c r="BL407" i="3"/>
  <c r="AZ407" i="3" s="1"/>
  <c r="BA412" i="3"/>
  <c r="AZ412" i="3" s="1"/>
  <c r="BA414" i="3"/>
  <c r="BA415" i="3"/>
  <c r="BA416" i="3"/>
  <c r="AZ416" i="3" s="1"/>
  <c r="BA418" i="3"/>
  <c r="AZ418" i="3" s="1"/>
  <c r="BA421" i="3"/>
  <c r="BA423" i="3"/>
  <c r="AZ423" i="3" s="1"/>
  <c r="BA425" i="3"/>
  <c r="BA426" i="3"/>
  <c r="BA427" i="3"/>
  <c r="AZ427" i="3" s="1"/>
  <c r="BA433" i="3"/>
  <c r="AZ433" i="3" s="1"/>
  <c r="BA435" i="3"/>
  <c r="BL437" i="3"/>
  <c r="AZ437" i="3" s="1"/>
  <c r="G440" i="3"/>
  <c r="BL441" i="3"/>
  <c r="BL442" i="3"/>
  <c r="BL444" i="3"/>
  <c r="AZ444" i="3" s="1"/>
  <c r="G447" i="3"/>
  <c r="BL448" i="3"/>
  <c r="AZ448" i="3" s="1"/>
  <c r="G451" i="3"/>
  <c r="BA454" i="3"/>
  <c r="AZ454" i="3" s="1"/>
  <c r="BA457" i="3"/>
  <c r="AZ457" i="3" s="1"/>
  <c r="BA459" i="3"/>
  <c r="BA460" i="3"/>
  <c r="AZ460" i="3" s="1"/>
  <c r="BA461" i="3"/>
  <c r="AZ461" i="3" s="1"/>
  <c r="BL464" i="3"/>
  <c r="BL466" i="3"/>
  <c r="AZ466" i="3" s="1"/>
  <c r="G469" i="3"/>
  <c r="BL476" i="3"/>
  <c r="AZ476" i="3" s="1"/>
  <c r="BL477" i="3"/>
  <c r="BL478" i="3"/>
  <c r="BL317" i="3"/>
  <c r="J33" i="36"/>
  <c r="AC33" i="36" s="1"/>
  <c r="G585" i="3"/>
  <c r="BL587" i="3"/>
  <c r="AZ587" i="3" s="1"/>
  <c r="BL586" i="3"/>
  <c r="AZ586" i="3" s="1"/>
  <c r="J9" i="34"/>
  <c r="H12" i="34"/>
  <c r="G574" i="3"/>
  <c r="BL16" i="3"/>
  <c r="AZ16" i="3" s="1"/>
  <c r="BA401" i="3"/>
  <c r="BA403" i="3"/>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AZ450" i="3" s="1"/>
  <c r="BL452" i="3"/>
  <c r="G454" i="3"/>
  <c r="G455" i="3"/>
  <c r="BL456" i="3"/>
  <c r="AZ456" i="3" s="1"/>
  <c r="BA464" i="3"/>
  <c r="AZ464" i="3" s="1"/>
  <c r="BL467" i="3"/>
  <c r="BL468" i="3"/>
  <c r="BL470" i="3"/>
  <c r="G472" i="3"/>
  <c r="G473" i="3"/>
  <c r="BL473" i="3"/>
  <c r="AZ473" i="3" s="1"/>
  <c r="BL474" i="3"/>
  <c r="G475" i="3"/>
  <c r="BA480" i="3"/>
  <c r="AZ480" i="3" s="1"/>
  <c r="BA481" i="3"/>
  <c r="G484" i="3"/>
  <c r="F25" i="37"/>
  <c r="BA551" i="3"/>
  <c r="AZ551" i="3" s="1"/>
  <c r="BA550" i="3"/>
  <c r="AZ550" i="3" s="1"/>
  <c r="BL548" i="3"/>
  <c r="AZ548" i="3" s="1"/>
  <c r="BL435" i="3"/>
  <c r="BL436" i="3"/>
  <c r="BA439" i="3"/>
  <c r="BA440" i="3"/>
  <c r="AZ440" i="3" s="1"/>
  <c r="BA442" i="3"/>
  <c r="BA445" i="3"/>
  <c r="BA447" i="3"/>
  <c r="AZ447" i="3" s="1"/>
  <c r="BA449" i="3"/>
  <c r="BL453" i="3"/>
  <c r="AZ453" i="3" s="1"/>
  <c r="BL454" i="3"/>
  <c r="BL459" i="3"/>
  <c r="G461" i="3"/>
  <c r="BA465" i="3"/>
  <c r="AZ465" i="3" s="1"/>
  <c r="BA467" i="3"/>
  <c r="BA468" i="3"/>
  <c r="AZ468" i="3" s="1"/>
  <c r="BL471" i="3"/>
  <c r="BL585" i="3"/>
  <c r="AZ585" i="3" s="1"/>
  <c r="B75" i="4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AZ443" i="3"/>
  <c r="AZ471" i="3"/>
  <c r="BL480" i="3"/>
  <c r="BA483"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AZ243" i="3" s="1"/>
  <c r="BL248" i="3"/>
  <c r="AZ248" i="3" s="1"/>
  <c r="BL250" i="3"/>
  <c r="AZ250" i="3" s="1"/>
  <c r="BA259" i="3"/>
  <c r="AZ259" i="3" s="1"/>
  <c r="BL261" i="3"/>
  <c r="BA263" i="3"/>
  <c r="BA267" i="3"/>
  <c r="AZ267" i="3" s="1"/>
  <c r="BA269" i="3"/>
  <c r="AZ269" i="3" s="1"/>
  <c r="BA121" i="3"/>
  <c r="AZ121" i="3" s="1"/>
  <c r="BL121" i="3"/>
  <c r="BA124" i="3"/>
  <c r="AZ124" i="3" s="1"/>
  <c r="BA126" i="3"/>
  <c r="BA129" i="3"/>
  <c r="BL133" i="3"/>
  <c r="AZ133" i="3" s="1"/>
  <c r="BL137" i="3"/>
  <c r="BA146" i="3"/>
  <c r="BL154" i="3"/>
  <c r="BL157" i="3"/>
  <c r="AZ157" i="3" s="1"/>
  <c r="BL159" i="3"/>
  <c r="AZ159" i="3" s="1"/>
  <c r="G160" i="3"/>
  <c r="BL483" i="3"/>
  <c r="BA486" i="3"/>
  <c r="BL489" i="3"/>
  <c r="AZ489" i="3" s="1"/>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A482" i="3"/>
  <c r="BA484" i="3"/>
  <c r="AZ484" i="3" s="1"/>
  <c r="G491" i="3"/>
  <c r="BA303" i="3"/>
  <c r="AZ303" i="3" s="1"/>
  <c r="BA307" i="3"/>
  <c r="AZ307" i="3" s="1"/>
  <c r="G311" i="3"/>
  <c r="BL314" i="3"/>
  <c r="AZ314" i="3" s="1"/>
  <c r="G315" i="3"/>
  <c r="BA332" i="3"/>
  <c r="AZ332" i="3" s="1"/>
  <c r="BL332" i="3"/>
  <c r="G339" i="3"/>
  <c r="G364" i="3"/>
  <c r="BA367" i="3"/>
  <c r="AZ367" i="3" s="1"/>
  <c r="BA37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BA118" i="3"/>
  <c r="AZ118" i="3" s="1"/>
  <c r="BL118" i="3"/>
  <c r="BA122" i="3"/>
  <c r="AZ122" i="3" s="1"/>
  <c r="BL125" i="3"/>
  <c r="BL126" i="3"/>
  <c r="G130" i="3"/>
  <c r="G136" i="3"/>
  <c r="BA137" i="3"/>
  <c r="BL138" i="3"/>
  <c r="BA140" i="3"/>
  <c r="AZ140" i="3" s="1"/>
  <c r="BL146" i="3"/>
  <c r="G147" i="3"/>
  <c r="BA150" i="3"/>
  <c r="BL161"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AZ125" i="3"/>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AZ30" i="3" s="1"/>
  <c r="BL31" i="3"/>
  <c r="G35" i="3"/>
  <c r="G36" i="3"/>
  <c r="G37" i="3"/>
  <c r="G40" i="3"/>
  <c r="BL40" i="3"/>
  <c r="BL41" i="3"/>
  <c r="G45" i="3"/>
  <c r="BL45" i="3"/>
  <c r="AZ45" i="3" s="1"/>
  <c r="BA48" i="3"/>
  <c r="BA49" i="3"/>
  <c r="BL64" i="3"/>
  <c r="G65" i="3"/>
  <c r="BL65" i="3"/>
  <c r="AZ65" i="3" s="1"/>
  <c r="BL66" i="3"/>
  <c r="BL67" i="3"/>
  <c r="AZ67" i="3" s="1"/>
  <c r="G72" i="3"/>
  <c r="BL73" i="3"/>
  <c r="BA74" i="3"/>
  <c r="AZ74" i="3" s="1"/>
  <c r="G78" i="3"/>
  <c r="BA80" i="3"/>
  <c r="BL84" i="3"/>
  <c r="BA91" i="3"/>
  <c r="AZ91" i="3" s="1"/>
  <c r="BL93" i="3"/>
  <c r="G95" i="3"/>
  <c r="G96" i="3"/>
  <c r="D44" i="71"/>
  <c r="T44" i="71"/>
  <c r="C55" i="71"/>
  <c r="D54" i="71"/>
  <c r="D67" i="71"/>
  <c r="C66" i="71"/>
  <c r="O67" i="71"/>
  <c r="G29" i="3"/>
  <c r="BL29" i="3"/>
  <c r="AZ29" i="3" s="1"/>
  <c r="BA37" i="3"/>
  <c r="AZ52" i="3"/>
  <c r="BL68" i="3"/>
  <c r="AZ68" i="3" s="1"/>
  <c r="BA69" i="3"/>
  <c r="BA73" i="3"/>
  <c r="B13" i="1"/>
  <c r="E13" i="1" s="1"/>
  <c r="K13" i="1"/>
  <c r="M13" i="1" s="1"/>
  <c r="O13" i="1" s="1"/>
  <c r="P13" i="1" s="1"/>
  <c r="C64" i="71"/>
  <c r="D63" i="71"/>
  <c r="BL167" i="3"/>
  <c r="AZ167" i="3" s="1"/>
  <c r="BL178" i="3"/>
  <c r="BA180" i="3"/>
  <c r="AZ180" i="3" s="1"/>
  <c r="BL182" i="3"/>
  <c r="BA185" i="3"/>
  <c r="BL191" i="3"/>
  <c r="AZ191" i="3" s="1"/>
  <c r="BA193" i="3"/>
  <c r="BA196" i="3"/>
  <c r="AZ196" i="3" s="1"/>
  <c r="G203" i="3"/>
  <c r="BA205" i="3"/>
  <c r="AZ205" i="3" s="1"/>
  <c r="BL20" i="3"/>
  <c r="BA21" i="3"/>
  <c r="AZ21" i="3" s="1"/>
  <c r="BL38" i="3"/>
  <c r="AZ38" i="3" s="1"/>
  <c r="BA39" i="3"/>
  <c r="AZ39" i="3" s="1"/>
  <c r="BL47" i="3"/>
  <c r="AZ47" i="3" s="1"/>
  <c r="G49" i="3"/>
  <c r="BL54" i="3"/>
  <c r="AZ54" i="3" s="1"/>
  <c r="BL55" i="3"/>
  <c r="AZ55" i="3" s="1"/>
  <c r="G57" i="3"/>
  <c r="G58" i="3"/>
  <c r="BA59" i="3"/>
  <c r="AZ59" i="3" s="1"/>
  <c r="G61" i="3"/>
  <c r="BL61" i="3"/>
  <c r="G64" i="3"/>
  <c r="BA64" i="3"/>
  <c r="AZ64" i="3" s="1"/>
  <c r="BA68" i="3"/>
  <c r="BL74" i="3"/>
  <c r="G75" i="3"/>
  <c r="BL75" i="3"/>
  <c r="AZ75" i="3" s="1"/>
  <c r="BA77" i="3"/>
  <c r="BA87" i="3"/>
  <c r="BA104" i="3"/>
  <c r="D31" i="71"/>
  <c r="C32" i="71"/>
  <c r="D50" i="71"/>
  <c r="C51" i="71"/>
  <c r="BA144" i="3"/>
  <c r="AZ144" i="3" s="1"/>
  <c r="G152" i="3"/>
  <c r="BA153" i="3"/>
  <c r="BL155" i="3"/>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AZ207" i="3" s="1"/>
  <c r="BL18" i="3"/>
  <c r="G19" i="3"/>
  <c r="BL19" i="3"/>
  <c r="BA20" i="3"/>
  <c r="AZ20" i="3" s="1"/>
  <c r="BL25" i="3"/>
  <c r="AZ25" i="3" s="1"/>
  <c r="BL27" i="3"/>
  <c r="AZ27" i="3" s="1"/>
  <c r="BA28" i="3"/>
  <c r="AZ28" i="3" s="1"/>
  <c r="BA31" i="3"/>
  <c r="AZ31" i="3" s="1"/>
  <c r="BA32" i="3"/>
  <c r="G38" i="3"/>
  <c r="BA38" i="3"/>
  <c r="BA41" i="3"/>
  <c r="AZ41" i="3" s="1"/>
  <c r="BA42" i="3"/>
  <c r="BA51" i="3"/>
  <c r="AZ51" i="3" s="1"/>
  <c r="BL56" i="3"/>
  <c r="BA58" i="3"/>
  <c r="BL59" i="3"/>
  <c r="BL60" i="3"/>
  <c r="BA61" i="3"/>
  <c r="BL69" i="3"/>
  <c r="G70" i="3"/>
  <c r="BL70" i="3"/>
  <c r="AZ70" i="3" s="1"/>
  <c r="BL72" i="3"/>
  <c r="AZ72" i="3" s="1"/>
  <c r="BA86" i="3"/>
  <c r="AZ86" i="3" s="1"/>
  <c r="G89" i="3"/>
  <c r="G103" i="3"/>
  <c r="BA103" i="3"/>
  <c r="AZ103" i="3" s="1"/>
  <c r="G106" i="3"/>
  <c r="F66" i="71"/>
  <c r="Q67" i="71"/>
  <c r="V24" i="71"/>
  <c r="E23" i="71"/>
  <c r="E22" i="71" s="1"/>
  <c r="E21" i="71" s="1"/>
  <c r="E20" i="71" s="1"/>
  <c r="V20" i="71" s="1"/>
  <c r="BL106" i="3"/>
  <c r="BA108" i="3"/>
  <c r="AZ108" i="3" s="1"/>
  <c r="BA110" i="3"/>
  <c r="AZ110" i="3" s="1"/>
  <c r="F3" i="35"/>
  <c r="U21" i="37"/>
  <c r="P66" i="71"/>
  <c r="AA27" i="71"/>
  <c r="AB26" i="71"/>
  <c r="S28" i="71"/>
  <c r="C83" i="71"/>
  <c r="C79" i="71"/>
  <c r="C75" i="71"/>
  <c r="C71" i="71"/>
  <c r="O68" i="71"/>
  <c r="D46" i="71"/>
  <c r="C39" i="71"/>
  <c r="Y28" i="71"/>
  <c r="Z28" i="71" s="1"/>
  <c r="C28" i="71"/>
  <c r="X35" i="71"/>
  <c r="C34" i="71"/>
  <c r="Y30" i="71"/>
  <c r="Z30" i="71" s="1"/>
  <c r="X28" i="71"/>
  <c r="X32" i="71"/>
  <c r="F38" i="71"/>
  <c r="F39" i="71" s="1"/>
  <c r="F40" i="71" s="1"/>
  <c r="V40" i="71" s="1"/>
  <c r="AB38" i="71"/>
  <c r="F75" i="71"/>
  <c r="F74" i="71" s="1"/>
  <c r="B79" i="71"/>
  <c r="B78" i="71" s="1"/>
  <c r="BA46" i="3"/>
  <c r="AZ46" i="3" s="1"/>
  <c r="BL49" i="3"/>
  <c r="BL50" i="3"/>
  <c r="AZ50" i="3" s="1"/>
  <c r="BL51" i="3"/>
  <c r="G53" i="3"/>
  <c r="BL53" i="3"/>
  <c r="AZ53" i="3" s="1"/>
  <c r="BA56" i="3"/>
  <c r="AZ56" i="3" s="1"/>
  <c r="BA57" i="3"/>
  <c r="AZ57" i="3" s="1"/>
  <c r="BL58" i="3"/>
  <c r="G60" i="3"/>
  <c r="BA60" i="3"/>
  <c r="BA63" i="3"/>
  <c r="AZ63" i="3" s="1"/>
  <c r="BA66" i="3"/>
  <c r="AZ66" i="3" s="1"/>
  <c r="BA71" i="3"/>
  <c r="AZ71" i="3" s="1"/>
  <c r="G76" i="3"/>
  <c r="BL77" i="3"/>
  <c r="BA79" i="3"/>
  <c r="AZ79" i="3" s="1"/>
  <c r="G82" i="3"/>
  <c r="G83" i="3"/>
  <c r="BA84" i="3"/>
  <c r="AZ84" i="3" s="1"/>
  <c r="BL88" i="3"/>
  <c r="AZ88" i="3" s="1"/>
  <c r="G90" i="3"/>
  <c r="BL90" i="3"/>
  <c r="AZ90" i="3" s="1"/>
  <c r="BL92" i="3"/>
  <c r="G101" i="3"/>
  <c r="BA101" i="3"/>
  <c r="AZ101" i="3" s="1"/>
  <c r="G108" i="3"/>
  <c r="G109" i="3"/>
  <c r="BL112" i="3"/>
  <c r="AB21" i="33"/>
  <c r="U25" i="40"/>
  <c r="S21" i="34"/>
  <c r="B88" i="43"/>
  <c r="AA3" i="71"/>
  <c r="X34" i="71"/>
  <c r="X31" i="71"/>
  <c r="F35" i="71"/>
  <c r="F36" i="71" s="1"/>
  <c r="V36" i="71" s="1"/>
  <c r="AA34" i="71"/>
  <c r="AB35" i="71"/>
  <c r="G79" i="3"/>
  <c r="BL81" i="3"/>
  <c r="BA82" i="3"/>
  <c r="AZ82" i="3" s="1"/>
  <c r="BL83" i="3"/>
  <c r="G86" i="3"/>
  <c r="G87" i="3"/>
  <c r="BA90" i="3"/>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67" i="3"/>
  <c r="AZ470" i="3"/>
  <c r="W35" i="39"/>
  <c r="F27" i="34"/>
  <c r="C21" i="39"/>
  <c r="U9" i="36"/>
  <c r="U14" i="37"/>
  <c r="H12" i="21"/>
  <c r="G526" i="3"/>
  <c r="AZ420" i="3"/>
  <c r="AZ424" i="3"/>
  <c r="AZ434" i="3"/>
  <c r="AZ436" i="3"/>
  <c r="AZ438" i="3"/>
  <c r="AZ446" i="3"/>
  <c r="G28" i="6"/>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193" i="3"/>
  <c r="BL202" i="3"/>
  <c r="AZ202" i="3" s="1"/>
  <c r="BL36" i="3"/>
  <c r="AZ36" i="3" s="1"/>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92" i="3"/>
  <c r="BL78" i="3"/>
  <c r="BA83" i="3"/>
  <c r="AZ83" i="3" s="1"/>
  <c r="G91" i="3"/>
  <c r="BL95" i="3"/>
  <c r="AZ95" i="3" s="1"/>
  <c r="BL98" i="3"/>
  <c r="AZ98" i="3" s="1"/>
  <c r="BL109" i="3"/>
  <c r="AZ109" i="3" s="1"/>
  <c r="AB21" i="2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M7" i="15"/>
  <c r="J6" i="15" s="1"/>
  <c r="F50" i="15"/>
  <c r="F51" i="15"/>
  <c r="F71" i="15"/>
  <c r="C6" i="15"/>
  <c r="L59" i="15"/>
  <c r="N59" i="15"/>
  <c r="L58" i="15"/>
  <c r="M59" i="15"/>
  <c r="F66" i="15"/>
  <c r="F64" i="15"/>
  <c r="C27" i="15"/>
  <c r="F65" i="15"/>
  <c r="B13" i="70"/>
  <c r="F68" i="15"/>
  <c r="C36" i="68"/>
  <c r="D9" i="68"/>
  <c r="C36" i="69"/>
  <c r="D9" i="69"/>
  <c r="M9" i="67"/>
  <c r="M29" i="67"/>
  <c r="M8" i="67"/>
  <c r="J15" i="67"/>
  <c r="M26" i="67"/>
  <c r="F9" i="67"/>
  <c r="F42" i="67"/>
  <c r="F7" i="67"/>
  <c r="M23" i="67"/>
  <c r="C76" i="67"/>
  <c r="F36" i="67"/>
  <c r="F38" i="67"/>
  <c r="M6" i="67"/>
  <c r="F40" i="67"/>
  <c r="L48" i="67"/>
  <c r="D4" i="73"/>
  <c r="D7" i="73"/>
  <c r="F43" i="67"/>
  <c r="F16" i="67"/>
  <c r="F37" i="67"/>
  <c r="D3" i="73"/>
  <c r="M22" i="67"/>
  <c r="F13" i="67"/>
  <c r="M28" i="67"/>
  <c r="L47" i="67"/>
  <c r="D5" i="73"/>
  <c r="M24" i="67"/>
  <c r="F6" i="67"/>
  <c r="F26" i="67"/>
  <c r="F8" i="67"/>
  <c r="C16" i="15"/>
  <c r="AC17" i="33" l="1"/>
  <c r="AA17" i="33"/>
  <c r="C31" i="12"/>
  <c r="F64" i="67"/>
  <c r="Q71" i="67"/>
  <c r="M7" i="67"/>
  <c r="M17" i="67" s="1"/>
  <c r="F50" i="67"/>
  <c r="G26" i="43"/>
  <c r="N370" i="46"/>
  <c r="F26" i="43"/>
  <c r="D26" i="43" s="1"/>
  <c r="C25" i="43" s="1"/>
  <c r="E59" i="40"/>
  <c r="K16" i="1"/>
  <c r="J7" i="36"/>
  <c r="F51" i="67"/>
  <c r="C27" i="67"/>
  <c r="F31" i="67"/>
  <c r="C6" i="67"/>
  <c r="M59" i="67"/>
  <c r="L58" i="67"/>
  <c r="Q73" i="67" s="1"/>
  <c r="N59" i="67"/>
  <c r="L59" i="67"/>
  <c r="Q74" i="67" s="1"/>
  <c r="F65" i="67"/>
  <c r="F71" i="67"/>
  <c r="I54" i="67"/>
  <c r="J53" i="67"/>
  <c r="Q52" i="67" s="1"/>
  <c r="J57" i="67"/>
  <c r="J55" i="67" s="1"/>
  <c r="J58" i="67" s="1"/>
  <c r="Q50" i="67" s="1"/>
  <c r="L56" i="67"/>
  <c r="F68" i="67"/>
  <c r="F66" i="67"/>
  <c r="G5" i="3"/>
  <c r="B3" i="3" s="1"/>
  <c r="E517" i="3" s="1"/>
  <c r="D34" i="71"/>
  <c r="C35" i="71"/>
  <c r="C40" i="71"/>
  <c r="D39" i="71"/>
  <c r="D75" i="71"/>
  <c r="C74" i="71"/>
  <c r="D74" i="71" s="1"/>
  <c r="AZ58" i="3"/>
  <c r="J6" i="67"/>
  <c r="J18" i="67" s="1"/>
  <c r="N94" i="46"/>
  <c r="J26" i="43"/>
  <c r="P6" i="1"/>
  <c r="C13" i="12" s="1"/>
  <c r="Q16" i="1"/>
  <c r="AZ292" i="3"/>
  <c r="D79" i="71"/>
  <c r="C78" i="71"/>
  <c r="D78" i="71" s="1"/>
  <c r="AZ61" i="3"/>
  <c r="C52" i="71"/>
  <c r="D51" i="71"/>
  <c r="AZ49" i="3"/>
  <c r="AZ154" i="3"/>
  <c r="AZ297" i="3"/>
  <c r="AZ249" i="3"/>
  <c r="AZ263" i="3"/>
  <c r="AZ223" i="3"/>
  <c r="AZ435" i="3"/>
  <c r="AZ425" i="3"/>
  <c r="B20" i="31"/>
  <c r="B21" i="31" s="1"/>
  <c r="AZ117" i="3"/>
  <c r="T28" i="71"/>
  <c r="D28" i="71"/>
  <c r="U28" i="71" s="1"/>
  <c r="C27" i="71"/>
  <c r="D83" i="71"/>
  <c r="C82" i="71"/>
  <c r="D82" i="71" s="1"/>
  <c r="AZ178" i="3"/>
  <c r="C56" i="71"/>
  <c r="D55" i="71"/>
  <c r="AZ150" i="3"/>
  <c r="AZ273" i="3"/>
  <c r="AZ483" i="3"/>
  <c r="AA25" i="37"/>
  <c r="S25" i="37"/>
  <c r="AZ403" i="3"/>
  <c r="AB12" i="34"/>
  <c r="U12" i="34"/>
  <c r="AZ459" i="3"/>
  <c r="AZ415" i="3"/>
  <c r="AZ398" i="3"/>
  <c r="AZ174" i="3"/>
  <c r="D17" i="53"/>
  <c r="B36" i="72" s="1"/>
  <c r="E26" i="43"/>
  <c r="AZ81" i="3"/>
  <c r="AZ474" i="3"/>
  <c r="AZ333" i="3"/>
  <c r="C70" i="71"/>
  <c r="D70" i="71" s="1"/>
  <c r="D71" i="71"/>
  <c r="T32" i="71"/>
  <c r="D32" i="71"/>
  <c r="AZ77" i="3"/>
  <c r="AZ69" i="3"/>
  <c r="O65" i="71"/>
  <c r="D66" i="71"/>
  <c r="O66" i="71"/>
  <c r="AZ137" i="3"/>
  <c r="AZ251" i="3"/>
  <c r="AZ247" i="3"/>
  <c r="AZ294" i="3"/>
  <c r="AZ146" i="3"/>
  <c r="AZ126" i="3"/>
  <c r="AZ238" i="3"/>
  <c r="AZ401" i="3"/>
  <c r="AC9" i="34"/>
  <c r="W9" i="34"/>
  <c r="AZ421" i="3"/>
  <c r="AZ414" i="3"/>
  <c r="G16" i="1"/>
  <c r="F10" i="39" s="1"/>
  <c r="AA10" i="39" s="1"/>
  <c r="J7" i="37"/>
  <c r="K1" i="73"/>
  <c r="E502" i="3"/>
  <c r="E449" i="3"/>
  <c r="E258" i="3"/>
  <c r="E389" i="3"/>
  <c r="E160" i="3"/>
  <c r="E267" i="3"/>
  <c r="E67" i="3"/>
  <c r="E184" i="3"/>
  <c r="E283" i="3"/>
  <c r="E494" i="3"/>
  <c r="E482" i="3"/>
  <c r="E18" i="3"/>
  <c r="E383" i="3"/>
  <c r="E86" i="3"/>
  <c r="E102" i="3"/>
  <c r="E308" i="3"/>
  <c r="E173" i="3"/>
  <c r="E525" i="3"/>
  <c r="E512" i="3"/>
  <c r="E408" i="3"/>
  <c r="E13" i="3"/>
  <c r="E420" i="3"/>
  <c r="E225" i="3"/>
  <c r="E356" i="3"/>
  <c r="E220" i="3"/>
  <c r="E324" i="3"/>
  <c r="E80" i="3"/>
  <c r="E326" i="3"/>
  <c r="E116" i="3"/>
  <c r="E105" i="3"/>
  <c r="E427" i="3"/>
  <c r="E507" i="3"/>
  <c r="AH6" i="3"/>
  <c r="E419" i="3"/>
  <c r="E108" i="3"/>
  <c r="E178" i="3"/>
  <c r="E372" i="3"/>
  <c r="L6" i="3"/>
  <c r="E15" i="3"/>
  <c r="E38" i="3"/>
  <c r="E299" i="3"/>
  <c r="E325" i="3"/>
  <c r="E112" i="3"/>
  <c r="E123" i="3"/>
  <c r="E20" i="3"/>
  <c r="E176" i="3"/>
  <c r="E165" i="3"/>
  <c r="E141" i="3"/>
  <c r="E90" i="3"/>
  <c r="E348" i="3"/>
  <c r="E24" i="3"/>
  <c r="E222" i="3"/>
  <c r="E500" i="3"/>
  <c r="E520" i="3"/>
  <c r="E354" i="3"/>
  <c r="E48" i="3"/>
  <c r="E464" i="3"/>
  <c r="E297" i="3"/>
  <c r="E341" i="3"/>
  <c r="E542" i="3"/>
  <c r="E163" i="3"/>
  <c r="E66" i="3"/>
  <c r="E195" i="3"/>
  <c r="E154" i="3"/>
  <c r="E307" i="3"/>
  <c r="E127" i="3"/>
  <c r="E82" i="3"/>
  <c r="E352" i="3"/>
  <c r="E157" i="3"/>
  <c r="E313" i="3"/>
  <c r="E474" i="3"/>
  <c r="W6" i="3"/>
  <c r="E537" i="3"/>
  <c r="E168" i="3"/>
  <c r="E208" i="3"/>
  <c r="E357" i="3"/>
  <c r="E196" i="3"/>
  <c r="E207" i="3"/>
  <c r="U6" i="3"/>
  <c r="E548" i="3"/>
  <c r="E547" i="3"/>
  <c r="E403" i="3"/>
  <c r="E126" i="3"/>
  <c r="E291" i="3"/>
  <c r="E317" i="3"/>
  <c r="E319" i="3"/>
  <c r="E501" i="3"/>
  <c r="E328" i="3"/>
  <c r="E359" i="3"/>
  <c r="E97" i="3"/>
  <c r="S6" i="3"/>
  <c r="E338" i="3"/>
  <c r="E321" i="3"/>
  <c r="E298" i="3"/>
  <c r="E565" i="3"/>
  <c r="E17" i="3"/>
  <c r="E221" i="3"/>
  <c r="E303" i="3"/>
  <c r="E353" i="3"/>
  <c r="E280" i="3"/>
  <c r="E238" i="3"/>
  <c r="E434" i="3"/>
  <c r="E128" i="3"/>
  <c r="E177" i="3"/>
  <c r="E330" i="3"/>
  <c r="E437" i="3"/>
  <c r="E424" i="3"/>
  <c r="AE6" i="3"/>
  <c r="E429" i="3"/>
  <c r="E73" i="3"/>
  <c r="E203" i="3"/>
  <c r="E256" i="3"/>
  <c r="E580" i="3"/>
  <c r="E32" i="3"/>
  <c r="E236" i="3"/>
  <c r="E164" i="3"/>
  <c r="AG6" i="3"/>
  <c r="E448" i="3"/>
  <c r="E558" i="3"/>
  <c r="E581" i="3"/>
  <c r="E444" i="3"/>
  <c r="E121" i="3"/>
  <c r="E166" i="3"/>
  <c r="E316" i="3"/>
  <c r="E30" i="3"/>
  <c r="E125" i="3"/>
  <c r="E366" i="3"/>
  <c r="N6" i="3"/>
  <c r="E239" i="3"/>
  <c r="E516" i="3"/>
  <c r="E229" i="3"/>
  <c r="E151" i="3"/>
  <c r="E559" i="3"/>
  <c r="E551" i="3"/>
  <c r="V6" i="3"/>
  <c r="E320" i="3"/>
  <c r="E294" i="3"/>
  <c r="E230" i="3"/>
  <c r="E114" i="3"/>
  <c r="E415" i="3"/>
  <c r="E395" i="3"/>
  <c r="E550" i="3"/>
  <c r="E117" i="3"/>
  <c r="E290" i="3"/>
  <c r="E245" i="3"/>
  <c r="E382" i="3"/>
  <c r="E578" i="3"/>
  <c r="E293" i="3"/>
  <c r="E336" i="3"/>
  <c r="E583" i="3"/>
  <c r="E453" i="3"/>
  <c r="E85" i="3"/>
  <c r="E314" i="3"/>
  <c r="E99" i="3"/>
  <c r="E45" i="3"/>
  <c r="E193" i="3"/>
  <c r="E573" i="3"/>
  <c r="E458" i="3"/>
  <c r="E527" i="3"/>
  <c r="E562" i="3"/>
  <c r="E571" i="3"/>
  <c r="E450" i="3"/>
  <c r="E72" i="3"/>
  <c r="E111" i="3"/>
  <c r="E150"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AE7" i="1"/>
  <c r="AE8" i="1"/>
  <c r="AE12" i="1"/>
  <c r="AE10" i="1"/>
  <c r="F27" i="69"/>
  <c r="G1" i="73"/>
  <c r="C16" i="67"/>
  <c r="C47" i="69" l="1"/>
  <c r="D45" i="69" s="1"/>
  <c r="Q60" i="67"/>
  <c r="H10" i="39"/>
  <c r="U10" i="39" s="1"/>
  <c r="F10" i="40"/>
  <c r="S10" i="40" s="1"/>
  <c r="Q61" i="67"/>
  <c r="F1" i="67"/>
  <c r="F59" i="67"/>
  <c r="S10" i="39"/>
  <c r="H10" i="40"/>
  <c r="AB10" i="40" s="1"/>
  <c r="F27" i="68"/>
  <c r="F45" i="68" s="1"/>
  <c r="J10" i="40"/>
  <c r="AC10" i="40" s="1"/>
  <c r="C49" i="67"/>
  <c r="J10" i="39"/>
  <c r="W10" i="39" s="1"/>
  <c r="F28" i="12"/>
  <c r="C29" i="12" s="1"/>
  <c r="D28" i="12" s="1"/>
  <c r="E413" i="3"/>
  <c r="AD6" i="3"/>
  <c r="E374" i="3"/>
  <c r="E375" i="3"/>
  <c r="E323" i="3"/>
  <c r="E110" i="3"/>
  <c r="E244" i="3"/>
  <c r="E521" i="3"/>
  <c r="E552" i="3"/>
  <c r="E265" i="3"/>
  <c r="E340" i="3"/>
  <c r="E392" i="3"/>
  <c r="E170" i="3"/>
  <c r="E540" i="3"/>
  <c r="E226" i="3"/>
  <c r="E401" i="3"/>
  <c r="E440" i="3"/>
  <c r="E393" i="3"/>
  <c r="E329" i="3"/>
  <c r="E49" i="3"/>
  <c r="E428" i="3"/>
  <c r="E26" i="3"/>
  <c r="E556" i="3"/>
  <c r="T6" i="3"/>
  <c r="E22" i="3"/>
  <c r="E206" i="3"/>
  <c r="E96" i="3"/>
  <c r="E198" i="3"/>
  <c r="E68" i="3"/>
  <c r="E371" i="3"/>
  <c r="E544" i="3"/>
  <c r="E212" i="3"/>
  <c r="E554" i="3"/>
  <c r="E241" i="3"/>
  <c r="E467" i="3"/>
  <c r="E310" i="3"/>
  <c r="E233" i="3"/>
  <c r="E309" i="3"/>
  <c r="AL6"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396" i="3"/>
  <c r="E553" i="3"/>
  <c r="E334" i="3"/>
  <c r="E88" i="3"/>
  <c r="P6" i="3"/>
  <c r="E252" i="3"/>
  <c r="E394" i="3"/>
  <c r="E496" i="3"/>
  <c r="E481" i="3"/>
  <c r="E120" i="3"/>
  <c r="AA6" i="3"/>
  <c r="E159" i="3"/>
  <c r="E304" i="3"/>
  <c r="E523" i="3"/>
  <c r="O6" i="3"/>
  <c r="E53" i="3"/>
  <c r="E71" i="3"/>
  <c r="E411" i="3"/>
  <c r="E93" i="3"/>
  <c r="E471" i="3"/>
  <c r="E529" i="3"/>
  <c r="E136" i="3"/>
  <c r="E187" i="3"/>
  <c r="E459" i="3"/>
  <c r="E462" i="3"/>
  <c r="E266" i="3"/>
  <c r="E149" i="3"/>
  <c r="E138" i="3"/>
  <c r="E312" i="3"/>
  <c r="E386" i="3"/>
  <c r="E460" i="3"/>
  <c r="E365" i="3"/>
  <c r="E364" i="3"/>
  <c r="E36" i="3"/>
  <c r="E194" i="3"/>
  <c r="E473" i="3"/>
  <c r="E346" i="3"/>
  <c r="E463" i="3"/>
  <c r="E376" i="3"/>
  <c r="E543" i="3"/>
  <c r="E16" i="3"/>
  <c r="E232" i="3"/>
  <c r="E190" i="3"/>
  <c r="E41" i="3"/>
  <c r="E497" i="3"/>
  <c r="E456" i="3"/>
  <c r="E205" i="3"/>
  <c r="AF6" i="3"/>
  <c r="E235" i="3"/>
  <c r="E391" i="3"/>
  <c r="E63" i="3"/>
  <c r="E84" i="3"/>
  <c r="E484" i="3"/>
  <c r="E37" i="3"/>
  <c r="E499" i="3"/>
  <c r="E510" i="3"/>
  <c r="E539" i="3"/>
  <c r="E575" i="3"/>
  <c r="E466" i="3"/>
  <c r="AP6" i="3"/>
  <c r="E417" i="3"/>
  <c r="E152" i="3"/>
  <c r="E349" i="3"/>
  <c r="E409" i="3"/>
  <c r="E46"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H6" i="3" s="1"/>
  <c r="E488" i="3"/>
  <c r="E167" i="3"/>
  <c r="E98" i="3"/>
  <c r="E122" i="3"/>
  <c r="E306" i="3"/>
  <c r="E532" i="3"/>
  <c r="E288" i="3"/>
  <c r="E475" i="3"/>
  <c r="E257" i="3"/>
  <c r="E397" i="3"/>
  <c r="E379" i="3"/>
  <c r="E432" i="3"/>
  <c r="E546" i="3"/>
  <c r="E272" i="3"/>
  <c r="E29" i="3"/>
  <c r="E153" i="3"/>
  <c r="E574" i="3"/>
  <c r="E390" i="3"/>
  <c r="E418" i="3"/>
  <c r="E169" i="3"/>
  <c r="E213" i="3"/>
  <c r="E254" i="3"/>
  <c r="AN6" i="3"/>
  <c r="E286" i="3"/>
  <c r="E442" i="3"/>
  <c r="E255" i="3"/>
  <c r="E491" i="3"/>
  <c r="E95" i="3"/>
  <c r="E292" i="3"/>
  <c r="E59" i="3"/>
  <c r="E64" i="3"/>
  <c r="E249" i="3"/>
  <c r="E492" i="3"/>
  <c r="E33" i="3"/>
  <c r="E355" i="3"/>
  <c r="E81" i="3"/>
  <c r="E513" i="3"/>
  <c r="E281" i="3"/>
  <c r="E42" i="3"/>
  <c r="E479" i="3"/>
  <c r="E430" i="3"/>
  <c r="E536" i="3"/>
  <c r="F27" i="11"/>
  <c r="C29" i="11" s="1"/>
  <c r="D27" i="11" s="1"/>
  <c r="F45" i="69"/>
  <c r="J5" i="67"/>
  <c r="J24" i="67" s="1"/>
  <c r="C29" i="69"/>
  <c r="D27" i="69" s="1"/>
  <c r="R36" i="36"/>
  <c r="E103" i="3"/>
  <c r="E425" i="3"/>
  <c r="E76" i="3"/>
  <c r="E363" i="3"/>
  <c r="E192" i="3"/>
  <c r="E56" i="3"/>
  <c r="E435" i="3"/>
  <c r="I3" i="6"/>
  <c r="E541" i="3"/>
  <c r="R6" i="3"/>
  <c r="E199" i="3"/>
  <c r="C36" i="71"/>
  <c r="D35" i="71"/>
  <c r="T52" i="71"/>
  <c r="D52" i="71"/>
  <c r="E3" i="6"/>
  <c r="D56" i="71"/>
  <c r="T56" i="71"/>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F41" i="67" s="1"/>
  <c r="F41" i="15"/>
  <c r="M27" i="15"/>
  <c r="M27" i="67"/>
  <c r="W10" i="40" l="1"/>
  <c r="AB10" i="39"/>
  <c r="AA10" i="40"/>
  <c r="V2" i="43"/>
  <c r="C6" i="69"/>
  <c r="C7" i="69" s="1"/>
  <c r="F69" i="67"/>
  <c r="U10" i="40"/>
  <c r="AC10" i="39"/>
  <c r="C48" i="67"/>
  <c r="C66" i="67" s="1"/>
  <c r="F25" i="12"/>
  <c r="C26" i="12" s="1"/>
  <c r="D25" i="12" s="1"/>
  <c r="C29" i="68"/>
  <c r="D27" i="68" s="1"/>
  <c r="C47" i="68"/>
  <c r="D45" i="68" s="1"/>
  <c r="AC6" i="3"/>
  <c r="E6" i="3" s="1"/>
  <c r="D116" i="43"/>
  <c r="T36" i="71"/>
  <c r="D36" i="71"/>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0" i="67"/>
  <c r="D10" i="68"/>
  <c r="D10" i="69"/>
  <c r="C34" i="69"/>
  <c r="C14" i="67"/>
  <c r="C17" i="67"/>
  <c r="C17" i="15"/>
  <c r="C44" i="11" l="1"/>
  <c r="D41" i="11" s="1"/>
  <c r="C26" i="68"/>
  <c r="D22" i="68" s="1"/>
  <c r="F41" i="68"/>
  <c r="C26" i="11"/>
  <c r="D22" i="11" s="1"/>
  <c r="C25" i="11"/>
  <c r="C24" i="11"/>
  <c r="C44" i="69"/>
  <c r="D41" i="69"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19" i="9"/>
  <c r="L51" i="15"/>
  <c r="D2" i="36"/>
  <c r="D2" i="37"/>
  <c r="D2" i="35"/>
  <c r="D2" i="34"/>
  <c r="C102" i="9" l="1"/>
  <c r="C21" i="9"/>
  <c r="B3" i="33"/>
  <c r="D102" i="9"/>
  <c r="G19" i="9"/>
  <c r="G21" i="9" s="1"/>
  <c r="D2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7" i="1"/>
  <c r="AO10" i="1"/>
  <c r="AO12" i="1"/>
  <c r="AO8" i="1"/>
  <c r="AO6" i="1"/>
  <c r="AO9" i="1"/>
  <c r="AO11" i="1"/>
  <c r="C103" i="9" l="1"/>
  <c r="G20" i="9"/>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F118" i="9"/>
  <c r="F4" i="52" s="1"/>
  <c r="B51" i="72" s="1"/>
  <c r="I118" i="9"/>
  <c r="E118" i="9" l="1"/>
  <c r="E14" i="74"/>
  <c r="H118" i="9"/>
  <c r="H4" i="52" s="1"/>
  <c r="I4" i="52"/>
  <c r="H102" i="9"/>
  <c r="F119" i="9"/>
  <c r="F5" i="52" s="1"/>
  <c r="B53" i="72" s="1"/>
  <c r="D118" i="9"/>
  <c r="E4" i="52"/>
  <c r="B48" i="72" s="1"/>
  <c r="C105" i="9"/>
  <c r="H101" i="9" l="1"/>
  <c r="M48" i="9" s="1"/>
  <c r="H119" i="9"/>
  <c r="H5" i="52" s="1"/>
  <c r="C104" i="9"/>
  <c r="D14" i="74"/>
  <c r="G14" i="74" s="1"/>
  <c r="B6" i="74" s="1"/>
  <c r="D6" i="74" s="1"/>
  <c r="H107" i="9"/>
  <c r="D122" i="9" s="1"/>
  <c r="D7" i="53"/>
  <c r="B21" i="72" s="1"/>
  <c r="D5" i="53"/>
  <c r="D45" i="9"/>
  <c r="D119" i="9"/>
  <c r="D5" i="52" s="1"/>
  <c r="B49" i="72" s="1"/>
  <c r="D4" i="52"/>
  <c r="B47" i="72" s="1"/>
  <c r="D13" i="53"/>
  <c r="M49" i="9"/>
  <c r="F14" i="74" l="1"/>
  <c r="B5" i="74"/>
  <c r="H108" i="9"/>
  <c r="C6" i="74" s="1"/>
  <c r="D55" i="9"/>
  <c r="M53" i="9" s="1"/>
  <c r="C64" i="9"/>
  <c r="C63" i="9" s="1"/>
  <c r="C67" i="9" s="1"/>
  <c r="C78" i="9"/>
  <c r="C73" i="9" s="1"/>
  <c r="D53" i="9"/>
  <c r="D52" i="9"/>
  <c r="C93" i="9"/>
  <c r="C86" i="9" s="1"/>
  <c r="C72" i="9"/>
  <c r="C79" i="9" s="1"/>
  <c r="C85" i="9"/>
  <c r="D6" i="53"/>
  <c r="B22" i="72" s="1"/>
  <c r="B20" i="72"/>
  <c r="D123" i="9"/>
  <c r="D9" i="52" s="1"/>
  <c r="D8" i="52"/>
  <c r="L68" i="9"/>
  <c r="M68" i="9" s="1"/>
  <c r="L63" i="9"/>
  <c r="M63" i="9" s="1"/>
  <c r="L64" i="9"/>
  <c r="M64" i="9" s="1"/>
  <c r="L66" i="9"/>
  <c r="M66" i="9" s="1"/>
  <c r="L67" i="9"/>
  <c r="M67" i="9" s="1"/>
  <c r="L65" i="9"/>
  <c r="M65" i="9" s="1"/>
  <c r="B30" i="72"/>
  <c r="D14" i="53"/>
  <c r="B32" i="72" s="1"/>
  <c r="C80" i="9"/>
  <c r="E80" i="9" s="1"/>
  <c r="E81" i="9" s="1"/>
  <c r="C95" i="9" l="1"/>
  <c r="C96" i="9" s="1"/>
  <c r="E96" i="9" s="1"/>
  <c r="E97" i="9" s="1"/>
  <c r="D15" i="53"/>
  <c r="B31" i="72" s="1"/>
  <c r="D5" i="74"/>
  <c r="C5" i="74"/>
  <c r="C81" i="9"/>
  <c r="C68" i="9"/>
  <c r="D54" i="9" s="1"/>
  <c r="D59" i="9"/>
  <c r="M55" i="9" s="1"/>
  <c r="M69" i="9"/>
  <c r="N69" i="9" s="1"/>
  <c r="C97" i="9" l="1"/>
  <c r="D58" i="9" s="1"/>
  <c r="D56" i="9" s="1"/>
  <c r="M54" i="9" s="1"/>
  <c r="N57" i="9" s="1"/>
  <c r="N59" i="9" s="1"/>
  <c r="N61" i="9" s="1"/>
  <c r="N58" i="9" l="1"/>
  <c r="N60"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<sst xmlns="http://schemas.openxmlformats.org/spreadsheetml/2006/main" count="8038" uniqueCount="3532">
  <si>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</si>
  <si>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</si>
  <si>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</si>
  <si>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</si>
  <si>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</si>
  <si>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</si>
  <si>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</si>
  <si>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</si>
  <si>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</si>
  <si>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</si>
  <si>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</si>
  <si>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</si>
  <si>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</si>
  <si>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</si>
  <si>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</si>
  <si>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</si>
  <si>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</si>
  <si>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</si>
  <si>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</si>
  <si>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</si>
  <si>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</si>
  <si>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</si>
  <si>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</si>
  <si>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</si>
  <si>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</si>
  <si>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</si>
  <si>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</si>
  <si>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</si>
  <si>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</si>
  <si>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</si>
  <si>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</si>
  <si>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</si>
  <si>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</si>
  <si>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</si>
  <si>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</si>
  <si>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</si>
  <si>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</si>
  <si>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</si>
  <si>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</si>
  <si>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</si>
  <si>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</si>
  <si>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</si>
  <si>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</si>
  <si>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</si>
  <si>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</si>
  <si>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</si>
  <si>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</si>
  <si>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</si>
  <si>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</si>
  <si>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</si>
  <si>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</si>
  <si>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</si>
  <si>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</si>
  <si>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</si>
  <si>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</si>
  <si>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</si>
  <si>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</si>
  <si>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</si>
  <si>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</si>
  <si>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</si>
  <si>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</si>
  <si>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</si>
  <si>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</si>
  <si>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</si>
  <si>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</si>
  <si>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</si>
  <si>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</si>
  <si>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</si>
  <si>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</si>
  <si>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</si>
  <si>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</si>
  <si>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</si>
  <si>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</si>
  <si>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</si>
  <si>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</si>
  <si>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</si>
  <si>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</si>
  <si>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</si>
  <si>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</si>
  <si>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</si>
  <si>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</si>
  <si>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</si>
  <si>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</si>
  <si>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</si>
  <si>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</si>
  <si>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</si>
  <si>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</si>
  <si>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</si>
  <si>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</si>
  <si>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</si>
  <si>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</si>
  <si>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</si>
  <si>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</si>
  <si>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</si>
  <si>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</si>
  <si>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</si>
  <si>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</si>
  <si>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</si>
  <si>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</si>
  <si>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</si>
  <si>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</si>
  <si>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</si>
  <si>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</si>
  <si>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</si>
  <si>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</si>
  <si>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</si>
  <si>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</si>
  <si>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</si>
  <si>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</si>
  <si>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</si>
  <si>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</si>
  <si>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</si>
  <si>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</si>
  <si>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</si>
  <si>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</si>
  <si>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</si>
  <si>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</si>
  <si>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</si>
  <si>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</si>
  <si>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</si>
  <si>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</si>
  <si>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</si>
  <si>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</si>
  <si>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</si>
  <si>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</si>
  <si>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</si>
  <si>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</si>
  <si>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</si>
  <si>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</si>
  <si>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</si>
  <si>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</si>
  <si>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</si>
  <si>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</si>
  <si>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</si>
  <si>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</si>
  <si>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</si>
  <si>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</si>
  <si>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</si>
  <si>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</si>
  <si>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</si>
  <si>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</si>
  <si>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</si>
  <si>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</si>
  <si>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</si>
  <si>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</si>
  <si>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</si>
  <si>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</si>
  <si>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</si>
  <si>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</si>
  <si>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</si>
  <si>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</si>
  <si>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</si>
  <si>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</si>
  <si>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</si>
  <si>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</si>
  <si>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</si>
  <si>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</si>
  <si>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</si>
  <si>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</si>
  <si>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</si>
  <si>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</si>
  <si>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</si>
  <si>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</si>
  <si>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</si>
  <si>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</si>
  <si>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</si>
  <si>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</si>
  <si>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</si>
  <si>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</si>
  <si>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</si>
  <si>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</si>
  <si>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</si>
  <si>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</si>
  <si>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</si>
  <si>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</si>
  <si>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</si>
  <si>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</si>
  <si>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</si>
  <si>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</si>
  <si>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</si>
  <si>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</si>
  <si>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</si>
  <si>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</si>
  <si>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</si>
  <si>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</si>
  <si>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</si>
  <si>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</si>
  <si>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</si>
  <si>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</si>
  <si>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</si>
  <si>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</si>
  <si>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</si>
  <si>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</si>
  <si>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</si>
  <si>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</si>
  <si>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</si>
  <si>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</si>
  <si>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</si>
  <si>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</si>
  <si>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</si>
  <si>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</si>
  <si>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</si>
  <si>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</si>
  <si>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</si>
  <si>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</si>
  <si>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</si>
  <si>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</si>
  <si>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</si>
  <si>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</si>
  <si>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</si>
  <si>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</si>
  <si>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</si>
  <si>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</si>
  <si>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</si>
  <si>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</si>
  <si>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</si>
  <si>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</si>
  <si>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</si>
  <si>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</si>
  <si>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</si>
  <si>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</si>
  <si>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</si>
  <si>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</si>
  <si>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</si>
  <si>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</si>
  <si>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</si>
  <si>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</si>
  <si>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</si>
  <si>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</si>
  <si>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</si>
  <si>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</si>
  <si>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</si>
  <si>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</si>
  <si>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</si>
  <si>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</si>
  <si>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</si>
  <si>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</si>
  <si>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</si>
  <si>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</si>
  <si>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</si>
  <si>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</si>
  <si>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</si>
  <si>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</si>
  <si>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</si>
  <si>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</si>
  <si>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</si>
  <si>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</si>
  <si>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</si>
  <si>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</si>
  <si>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</si>
  <si>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</si>
  <si>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</si>
  <si>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</si>
  <si>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</si>
  <si>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</si>
  <si>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</si>
  <si>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</si>
  <si>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</si>
  <si>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</si>
  <si>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</si>
  <si>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</si>
  <si>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</si>
  <si>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</si>
  <si>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</si>
  <si>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</si>
  <si>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</si>
  <si>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</si>
  <si>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</si>
  <si>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</si>
  <si>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</si>
  <si>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</si>
  <si>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</si>
  <si>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</si>
  <si>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</si>
  <si>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</si>
  <si>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</si>
  <si>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</si>
  <si>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</si>
  <si>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</si>
  <si>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</si>
  <si>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</si>
  <si>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</si>
  <si>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</si>
  <si>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</si>
  <si>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</si>
  <si>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</si>
  <si>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</si>
  <si>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</si>
  <si>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</si>
  <si>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</si>
  <si>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</si>
  <si>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</si>
  <si>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</si>
  <si>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</si>
  <si>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</si>
  <si>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</si>
  <si>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</si>
  <si>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</si>
  <si>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</si>
  <si>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</si>
  <si>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</si>
  <si>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</si>
  <si>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</si>
  <si>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</si>
  <si>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</si>
  <si>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</si>
  <si>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</si>
  <si>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</si>
  <si>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</si>
  <si>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</si>
  <si>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</si>
  <si>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</si>
  <si>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</si>
  <si>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</si>
  <si>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</si>
  <si>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</si>
  <si>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</si>
  <si>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</si>
  <si>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</si>
  <si>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</si>
  <si>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</si>
  <si>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</si>
  <si>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</si>
  <si>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</si>
  <si>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</si>
  <si>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</si>
  <si>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</si>
  <si>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</si>
  <si>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</si>
  <si>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</si>
  <si>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</si>
  <si>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</si>
  <si>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</si>
  <si>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</si>
  <si>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</si>
  <si>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</si>
  <si>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</si>
  <si>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</si>
  <si>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</si>
  <si>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</si>
  <si>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</si>
  <si>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</si>
  <si>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</si>
  <si>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</si>
  <si>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</si>
  <si>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</si>
  <si>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</si>
  <si>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</si>
  <si>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</si>
  <si>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</si>
  <si>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</si>
  <si>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</si>
  <si>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</si>
  <si>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</si>
  <si>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</si>
  <si>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</si>
  <si>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</si>
  <si>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</si>
  <si>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</si>
  <si>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</si>
  <si>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</si>
  <si>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</si>
  <si>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</si>
  <si>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</si>
  <si>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</si>
  <si>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</si>
  <si>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</si>
  <si>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</si>
  <si>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</si>
  <si>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</si>
  <si>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</si>
  <si>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</si>
  <si>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</si>
  <si>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</si>
  <si>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</si>
  <si>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</si>
  <si>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</si>
  <si>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</si>
  <si>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</si>
  <si>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</si>
  <si>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</si>
  <si>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</si>
  <si>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</si>
  <si>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</si>
  <si>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</si>
  <si>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</si>
  <si>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</si>
  <si>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</si>
  <si>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</si>
  <si>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</si>
  <si>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</si>
  <si>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</si>
  <si>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</si>
  <si>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</si>
  <si>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</si>
  <si>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</si>
  <si>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</si>
  <si>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</si>
  <si>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</si>
  <si>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</si>
  <si>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</si>
  <si>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</si>
  <si>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</si>
  <si>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</si>
  <si>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</si>
  <si>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</si>
  <si>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</si>
  <si>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</si>
  <si>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</si>
  <si>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</si>
  <si>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</si>
  <si>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</si>
  <si>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</si>
  <si>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</si>
  <si>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</si>
  <si>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</si>
  <si>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</si>
  <si>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</si>
  <si>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</si>
  <si>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</si>
  <si>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</si>
  <si>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</si>
  <si>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</si>
  <si>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</si>
  <si>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</si>
  <si>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</si>
  <si>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</si>
  <si>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</si>
  <si>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</si>
  <si>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</si>
  <si>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</si>
  <si>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</si>
  <si>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</si>
  <si>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</si>
  <si>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</si>
  <si>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</si>
  <si>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</si>
  <si>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</si>
  <si>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</si>
  <si>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</si>
  <si>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</si>
  <si>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</si>
  <si>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</si>
  <si>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</si>
  <si>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</si>
  <si>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</si>
  <si>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</si>
  <si>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</si>
  <si>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</si>
  <si>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</si>
  <si>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</si>
  <si>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</si>
  <si>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</si>
  <si>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</si>
  <si>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</si>
  <si>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</si>
  <si>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</si>
  <si>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</si>
  <si>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</si>
  <si>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</si>
  <si>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</si>
  <si>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</si>
  <si>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</si>
  <si>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</si>
  <si>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</si>
  <si>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</si>
  <si>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</si>
  <si>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</si>
  <si>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</si>
  <si>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</si>
  <si>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</si>
  <si>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</si>
  <si>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</si>
  <si>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</si>
  <si>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</si>
  <si>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</si>
  <si>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</si>
  <si>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</si>
  <si>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</si>
  <si>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</si>
  <si>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</si>
  <si>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</si>
  <si>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</si>
  <si>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</si>
  <si>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</si>
  <si>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</si>
  <si>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</si>
  <si>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</si>
  <si>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</si>
  <si>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</si>
  <si>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</si>
  <si>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</si>
  <si>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</si>
  <si>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</si>
  <si>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</si>
  <si>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</si>
  <si>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</si>
  <si>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</si>
  <si>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</si>
  <si>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</si>
  <si>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</si>
  <si>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</si>
  <si>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</si>
  <si>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</si>
  <si>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</si>
  <si>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</si>
  <si>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</si>
  <si>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</si>
  <si>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</si>
  <si>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</si>
  <si>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</si>
  <si>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</si>
  <si>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</si>
  <si>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</si>
  <si>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</si>
  <si>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</si>
  <si>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</si>
  <si>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</si>
  <si>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</si>
  <si>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</si>
  <si>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</si>
  <si>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</si>
  <si>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</si>
  <si>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</si>
  <si>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</si>
  <si>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</si>
  <si>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</si>
  <si>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</si>
  <si>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</si>
  <si>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</si>
  <si>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</si>
  <si>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</si>
  <si>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</si>
  <si>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</si>
  <si>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</si>
  <si>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</si>
  <si>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</si>
  <si>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</si>
  <si>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</si>
  <si>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</si>
  <si>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</si>
  <si>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</si>
  <si>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</si>
  <si>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</si>
  <si>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</si>
  <si>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</si>
  <si>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</si>
  <si>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</si>
  <si>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</si>
  <si>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</si>
  <si>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</si>
  <si>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</si>
  <si>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</si>
  <si>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</si>
  <si>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</si>
  <si>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</si>
  <si>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</si>
  <si>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</si>
  <si>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</si>
  <si>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</si>
  <si>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</si>
  <si>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</si>
  <si>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</si>
  <si>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</si>
  <si>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</si>
  <si>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</si>
  <si>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</si>
  <si>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</si>
  <si>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</si>
  <si>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</si>
  <si>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</si>
  <si>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</si>
  <si>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</si>
  <si>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</si>
  <si>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</si>
  <si>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</si>
  <si>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</si>
  <si>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</si>
  <si>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</si>
  <si>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</si>
  <si>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</si>
  <si>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</si>
  <si>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</si>
  <si>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</si>
  <si>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</si>
  <si>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</si>
  <si>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</si>
  <si>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</si>
  <si>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</si>
  <si>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</si>
  <si>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</si>
  <si>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</si>
  <si>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</si>
  <si>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</si>
  <si>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</si>
  <si>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</si>
  <si>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</si>
  <si>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</si>
  <si>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</si>
  <si>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</si>
  <si>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</si>
  <si>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</si>
  <si>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</si>
  <si>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</si>
  <si>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</si>
  <si>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</si>
  <si>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</si>
  <si>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</si>
  <si>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</si>
  <si>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</si>
  <si>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</si>
  <si>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</si>
  <si>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</si>
  <si>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</si>
  <si>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</si>
  <si>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</si>
  <si>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</si>
  <si>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</si>
  <si>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</si>
  <si>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</si>
  <si>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</si>
  <si>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</si>
  <si>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</si>
  <si>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</si>
  <si>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</si>
  <si>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</si>
  <si>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</si>
  <si>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</si>
  <si>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</si>
  <si>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</si>
  <si>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</si>
  <si>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</si>
  <si>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</si>
  <si>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</si>
  <si>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</si>
  <si>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</si>
  <si>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</si>
  <si>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</si>
  <si>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</si>
  <si>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</si>
  <si>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</si>
  <si>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</si>
  <si>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</si>
  <si>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</si>
  <si>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</si>
  <si>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</si>
  <si>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</si>
  <si>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</si>
  <si>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</si>
  <si>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</si>
  <si>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</si>
  <si>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</si>
  <si>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</si>
  <si>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</si>
  <si>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</si>
  <si>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</si>
  <si>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</si>
  <si>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</si>
  <si>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</si>
  <si>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</si>
  <si>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</si>
  <si>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</si>
  <si>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</si>
  <si>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</si>
  <si>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</si>
  <si>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</si>
  <si>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</si>
  <si>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</si>
  <si>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</si>
  <si>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</si>
  <si>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</si>
  <si>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</si>
  <si>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</si>
  <si>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</si>
  <si>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</si>
  <si>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</si>
  <si>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</si>
  <si>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</si>
  <si>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</si>
  <si>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</si>
  <si>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</si>
  <si>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</si>
  <si>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</si>
  <si>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</si>
  <si>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</si>
  <si>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</si>
  <si>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</si>
  <si>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</si>
  <si>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</si>
  <si>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</si>
  <si>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</si>
  <si>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</si>
  <si>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</si>
  <si>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</si>
  <si>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</si>
  <si>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</si>
  <si>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</si>
  <si>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</si>
  <si>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</si>
  <si>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</si>
  <si>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</si>
  <si>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</si>
  <si>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</si>
  <si>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</si>
  <si>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</si>
  <si>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</si>
  <si>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</si>
  <si>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</si>
  <si>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</si>
  <si>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</si>
  <si>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</si>
  <si>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</si>
  <si>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</si>
  <si>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</si>
  <si>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</si>
  <si>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</si>
  <si>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</si>
  <si>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</si>
  <si>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</si>
  <si>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</si>
  <si>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</si>
  <si>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</si>
  <si>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</si>
  <si>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</si>
  <si>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</si>
  <si>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</si>
  <si>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</si>
  <si>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</si>
  <si>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</si>
  <si>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</si>
  <si>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</si>
  <si>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</si>
  <si>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</si>
  <si>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</si>
  <si>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</si>
  <si>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</si>
  <si>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</si>
  <si>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</si>
  <si>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</si>
  <si>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</si>
  <si>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</si>
  <si>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</si>
  <si>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</si>
  <si>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</si>
  <si>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</si>
  <si>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</si>
  <si>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</si>
  <si>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</si>
  <si>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</si>
  <si>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</si>
  <si>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</si>
  <si>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</si>
  <si>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</si>
  <si>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</si>
  <si>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</si>
  <si>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</si>
  <si>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</si>
  <si>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</si>
  <si>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</si>
  <si>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</si>
  <si>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</si>
  <si>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</si>
  <si>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</si>
  <si>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</si>
  <si>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</si>
  <si>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</si>
  <si>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</si>
  <si>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</si>
  <si>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</si>
  <si>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</si>
  <si>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</si>
  <si>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</si>
  <si>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</si>
  <si>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</si>
  <si>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</si>
  <si>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</si>
  <si>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</si>
  <si>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</si>
  <si>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</si>
  <si>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</si>
  <si>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</si>
  <si>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</si>
  <si>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</si>
  <si>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</si>
  <si>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</si>
  <si>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</si>
  <si>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</si>
  <si>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</si>
  <si>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</si>
  <si>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</si>
  <si>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</si>
  <si>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</si>
  <si>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</si>
  <si>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</si>
  <si>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</si>
  <si>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</si>
  <si>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</si>
  <si>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</si>
  <si>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</si>
  <si>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</si>
  <si>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</si>
  <si>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</si>
  <si>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</si>
  <si>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</si>
  <si>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</si>
  <si>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</si>
  <si>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</si>
  <si>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</si>
  <si>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</si>
  <si>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</si>
  <si>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</si>
  <si>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</si>
  <si>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</si>
  <si>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</si>
  <si>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</si>
  <si>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</si>
  <si>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</si>
  <si>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</si>
  <si>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</si>
  <si>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</si>
  <si>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</si>
  <si>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</si>
  <si>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</si>
  <si>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</si>
  <si>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</si>
  <si>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</si>
  <si>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</si>
  <si>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</si>
  <si>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</si>
  <si>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</si>
  <si>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</si>
  <si>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</si>
  <si>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</si>
  <si>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</si>
  <si>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</si>
  <si>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</si>
  <si>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</si>
  <si>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</si>
  <si>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</si>
  <si>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</si>
  <si>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</si>
  <si>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</si>
  <si>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</si>
  <si>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</si>
  <si>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</si>
  <si>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</si>
  <si>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</si>
  <si>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</si>
  <si>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</si>
  <si>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</si>
  <si>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</si>
  <si>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</si>
  <si>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</si>
  <si>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</si>
  <si>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</si>
  <si>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</si>
  <si>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</si>
  <si>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</si>
  <si>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</si>
  <si>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</si>
  <si>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</si>
  <si>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</si>
  <si>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</si>
  <si>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</si>
  <si>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</si>
  <si>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</si>
  <si>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</si>
  <si>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</si>
  <si>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</si>
  <si>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</si>
  <si>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</si>
  <si>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</si>
  <si>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</si>
  <si>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</si>
  <si>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</si>
  <si>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</si>
  <si>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</si>
  <si>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</si>
  <si>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</si>
  <si>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</si>
  <si>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</si>
  <si>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</si>
  <si>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</si>
  <si>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</si>
  <si>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</si>
  <si>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</si>
  <si>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</si>
  <si>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</si>
  <si>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</si>
  <si>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</si>
  <si>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</si>
  <si>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</si>
  <si>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</si>
  <si>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</si>
  <si>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</si>
  <si>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</si>
  <si>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</si>
  <si>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</si>
  <si>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</si>
  <si>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</si>
  <si>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</si>
  <si>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</si>
  <si>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</si>
  <si>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</si>
  <si>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</si>
  <si>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</si>
  <si>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</si>
  <si>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</si>
  <si>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</si>
  <si>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</si>
  <si>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</si>
  <si>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</si>
  <si>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</si>
  <si>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</si>
  <si>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</si>
  <si>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</si>
  <si>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</si>
  <si>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</si>
  <si>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</si>
  <si>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</si>
  <si>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</si>
  <si>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</si>
  <si>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</si>
  <si>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</si>
  <si>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</si>
  <si>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</si>
  <si>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</si>
  <si>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</si>
  <si>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</si>
  <si>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</si>
  <si>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</si>
  <si>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</si>
  <si>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</si>
  <si>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</si>
  <si>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</si>
  <si>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</si>
  <si>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</si>
  <si>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</si>
  <si>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</si>
  <si>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</si>
  <si>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</si>
  <si>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</si>
  <si>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</si>
  <si>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</si>
  <si>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</si>
  <si>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</si>
  <si>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</si>
  <si>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</si>
  <si>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</si>
  <si>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</si>
  <si>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</si>
  <si>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</si>
  <si>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</si>
  <si>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</si>
  <si>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</si>
  <si>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</si>
  <si>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</si>
  <si>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</si>
  <si>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</si>
  <si>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</si>
  <si>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</si>
  <si>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</si>
  <si>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</si>
  <si>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</si>
  <si>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</si>
  <si>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</si>
  <si>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</si>
  <si>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</si>
  <si>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</si>
  <si>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</si>
  <si>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</si>
  <si>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</si>
  <si>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</si>
  <si>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</si>
  <si>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</si>
  <si>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</si>
  <si>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</si>
  <si>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</si>
  <si>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</si>
  <si>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</si>
  <si>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</si>
  <si>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</si>
  <si>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</si>
  <si>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</si>
  <si>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</si>
  <si>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</si>
  <si>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</si>
  <si>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</si>
  <si>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</si>
  <si>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</si>
  <si>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</si>
  <si>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</si>
  <si>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</si>
  <si>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</si>
  <si>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</si>
  <si>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</si>
  <si>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</si>
  <si>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</si>
  <si>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</si>
  <si>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</si>
  <si>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</si>
  <si>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</si>
  <si>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</si>
  <si>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</si>
  <si>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</si>
  <si>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</si>
  <si>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</si>
  <si>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</si>
  <si>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</si>
  <si>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</si>
  <si>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</si>
  <si>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</si>
  <si>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</si>
  <si>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</si>
  <si>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</si>
  <si>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</si>
  <si>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</si>
  <si>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</si>
  <si>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</si>
  <si>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</si>
  <si>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</si>
  <si>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</si>
  <si>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</si>
  <si>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</si>
  <si>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</si>
  <si>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</si>
  <si>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</si>
  <si>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</si>
  <si>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</si>
  <si>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</si>
  <si>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</si>
  <si>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</si>
  <si>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</si>
  <si>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</si>
  <si>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</si>
  <si>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</si>
  <si>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</si>
  <si>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</si>
  <si>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</si>
  <si>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</si>
  <si>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</si>
  <si>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</si>
  <si>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</si>
  <si>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</si>
  <si>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</si>
  <si>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</si>
  <si>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</si>
  <si>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</si>
  <si>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</si>
  <si>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</si>
  <si>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</si>
  <si>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</si>
  <si>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</si>
  <si>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</si>
  <si>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</si>
  <si>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</si>
  <si>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</si>
  <si>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</si>
  <si>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</si>
  <si>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</si>
  <si>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</si>
  <si>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</si>
  <si>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</si>
  <si>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</si>
  <si>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</si>
  <si>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</si>
  <si>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</si>
  <si>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</si>
  <si>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</si>
  <si>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</si>
  <si>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</si>
  <si>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</si>
  <si>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</si>
  <si>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</si>
  <si>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</si>
  <si>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</si>
  <si>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</si>
  <si>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</si>
  <si>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</si>
  <si>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</si>
  <si>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</si>
  <si>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</si>
  <si>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</si>
  <si>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</si>
  <si>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</si>
  <si>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</si>
  <si>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</si>
  <si>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</si>
  <si>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</si>
  <si>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</si>
  <si>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</si>
  <si>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</si>
  <si>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</si>
  <si>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</si>
  <si>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</si>
  <si>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</si>
  <si>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</si>
  <si>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</si>
  <si>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</si>
  <si>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</si>
  <si>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</si>
  <si>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</si>
  <si>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</si>
  <si>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</si>
  <si>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</si>
  <si>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</si>
  <si>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</si>
  <si>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</si>
  <si>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</si>
  <si>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</si>
  <si>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</si>
  <si>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</si>
  <si>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</si>
  <si>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</si>
  <si>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</si>
  <si>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</si>
  <si>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</si>
  <si>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</si>
  <si>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</si>
  <si>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</si>
  <si>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</si>
  <si>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</si>
  <si>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</si>
  <si>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</si>
  <si>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</si>
  <si>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</si>
  <si>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</si>
  <si>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</si>
  <si>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</si>
  <si>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</si>
  <si>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</si>
  <si>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</si>
  <si>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</si>
  <si>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</si>
  <si>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</si>
  <si>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</si>
  <si>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</si>
  <si>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</si>
  <si>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</si>
  <si>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</si>
  <si>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</si>
  <si>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</si>
  <si>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</si>
  <si>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</si>
  <si>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</si>
  <si>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</si>
  <si>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</si>
  <si>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</si>
  <si>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</si>
  <si>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</si>
  <si>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</si>
  <si>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</si>
  <si>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</si>
  <si>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</si>
  <si>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</si>
  <si>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</si>
  <si>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</si>
  <si>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</si>
  <si>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</si>
  <si>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</si>
  <si>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</si>
  <si>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</si>
  <si>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</si>
  <si>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</si>
  <si>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</si>
  <si>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</si>
  <si>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</si>
  <si>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</si>
  <si>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</si>
  <si>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</si>
  <si>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</si>
  <si>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</si>
  <si>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</si>
  <si>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</si>
  <si>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</si>
  <si>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</si>
  <si>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</si>
  <si>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</si>
  <si>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</si>
  <si>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</si>
  <si>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</si>
  <si>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</si>
  <si>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</si>
  <si>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</si>
  <si>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</si>
  <si>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</si>
  <si>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</si>
  <si>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</si>
  <si>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</si>
  <si>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</si>
  <si>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</si>
  <si>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</si>
  <si>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</si>
  <si>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</si>
  <si>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</si>
  <si>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</si>
  <si>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</si>
  <si>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</si>
  <si>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</si>
  <si>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</si>
  <si>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</si>
  <si>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</si>
  <si>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</si>
  <si>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</si>
  <si>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</si>
  <si>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</si>
  <si>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</si>
  <si>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</si>
  <si>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</si>
  <si>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</si>
  <si>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</si>
  <si>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</si>
  <si>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</si>
  <si>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</si>
  <si>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</si>
  <si>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</si>
  <si>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</si>
  <si>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</si>
  <si>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</si>
  <si>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</si>
  <si>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</si>
  <si>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</si>
  <si>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</si>
  <si>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</si>
  <si>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</si>
  <si>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</si>
  <si>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</si>
  <si>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</si>
  <si>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</si>
  <si>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</si>
  <si>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</si>
  <si>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</si>
  <si>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</si>
  <si>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</si>
  <si>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</si>
  <si>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</si>
  <si>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</si>
  <si>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</si>
  <si>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</si>
  <si>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</si>
  <si>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</si>
  <si>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</si>
  <si>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</si>
  <si>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</si>
  <si>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</si>
  <si>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</si>
  <si>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</si>
  <si>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</si>
  <si>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</si>
  <si>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</si>
  <si>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</si>
  <si>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</si>
  <si>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</si>
  <si>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</si>
  <si>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</si>
  <si>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</si>
  <si>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</si>
  <si>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</si>
  <si>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</si>
  <si>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</si>
  <si>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</si>
  <si>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</si>
  <si>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</si>
  <si>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</si>
  <si>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</si>
  <si>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</si>
  <si>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</si>
  <si>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</si>
  <si>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</si>
  <si>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</si>
  <si>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</si>
  <si>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</si>
  <si>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</si>
  <si>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</si>
  <si>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</si>
  <si>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</si>
  <si>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</si>
  <si>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</si>
  <si>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</si>
  <si>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</si>
  <si>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</si>
  <si>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</si>
  <si>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</si>
  <si>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</si>
  <si>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</si>
  <si>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</si>
  <si>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</si>
  <si>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</si>
  <si>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</si>
  <si>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</si>
  <si>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</si>
  <si>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</si>
  <si>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</si>
  <si>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</si>
  <si>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</si>
  <si>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</si>
  <si>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</si>
  <si>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</si>
  <si>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</si>
  <si>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</si>
  <si>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</si>
  <si>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</si>
  <si>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</si>
  <si>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</si>
  <si>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</si>
  <si>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</si>
  <si>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</si>
  <si>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</si>
  <si>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</si>
  <si>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</si>
  <si>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</si>
  <si>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</si>
  <si>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</si>
  <si>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</si>
  <si>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</si>
  <si>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</si>
  <si>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</si>
  <si>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</si>
  <si>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</si>
  <si>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</si>
  <si>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</si>
  <si>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</si>
  <si>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</si>
  <si>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</si>
  <si>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</si>
  <si>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</si>
  <si>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</si>
  <si>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</si>
  <si>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</si>
  <si>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</si>
  <si>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</si>
  <si>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</si>
  <si>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</si>
  <si>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</si>
  <si>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</si>
  <si>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</si>
  <si>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</si>
  <si>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</si>
  <si>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</si>
  <si>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</si>
  <si>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</si>
  <si>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</si>
  <si>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</si>
  <si>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</si>
  <si>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</si>
  <si>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</si>
  <si>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</si>
  <si>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</si>
  <si>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</si>
  <si>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</si>
  <si>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</si>
  <si>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</si>
  <si>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</si>
  <si>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</si>
  <si>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</si>
  <si>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</si>
  <si>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</si>
  <si>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</si>
  <si>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</si>
  <si>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</si>
  <si>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</si>
  <si>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</si>
  <si>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</si>
  <si>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</si>
  <si>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</si>
  <si>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</si>
  <si>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</si>
  <si>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</si>
  <si>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</si>
  <si>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</si>
  <si>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</si>
  <si>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</si>
  <si>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</si>
  <si>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</si>
  <si>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</si>
  <si>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</si>
  <si>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</si>
  <si>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</si>
  <si>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</si>
  <si>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</si>
  <si>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</si>
  <si>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</si>
  <si>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</si>
  <si>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</si>
  <si>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</si>
  <si>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</si>
  <si>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</si>
  <si>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</si>
  <si>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</si>
  <si>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</si>
  <si>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</si>
  <si>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</si>
  <si>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</si>
  <si>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</si>
  <si>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</si>
  <si>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</si>
  <si>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</si>
  <si>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</si>
  <si>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</si>
  <si>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</si>
  <si>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</si>
  <si>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</si>
  <si>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</si>
  <si>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</si>
  <si>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</si>
  <si>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</si>
  <si>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</si>
  <si>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</si>
  <si>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</si>
  <si>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</si>
  <si>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</si>
  <si>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</si>
  <si>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</si>
  <si>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</si>
  <si>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</si>
  <si>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</si>
  <si>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</si>
  <si>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</si>
  <si>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</si>
  <si>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</si>
  <si>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</si>
  <si>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</si>
  <si>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</si>
  <si>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</si>
  <si>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</si>
  <si>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</si>
  <si>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</si>
  <si>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</si>
  <si>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</si>
  <si>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</si>
  <si>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</si>
  <si>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</si>
  <si>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</si>
  <si>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</si>
  <si>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</si>
  <si>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</si>
  <si>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</si>
  <si>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</si>
  <si>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</si>
  <si>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</si>
  <si>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</si>
  <si>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</si>
  <si>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</si>
  <si>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</si>
  <si>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</si>
  <si>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</si>
  <si>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</si>
  <si>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</si>
  <si>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</si>
  <si>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</si>
  <si>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</si>
  <si>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</si>
  <si>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</si>
  <si>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</si>
  <si>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</si>
  <si>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</si>
  <si>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</si>
  <si>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</si>
  <si>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</si>
  <si>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</si>
  <si>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</si>
  <si>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</si>
  <si>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</si>
  <si>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</si>
  <si>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</si>
  <si>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</si>
  <si>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</si>
  <si>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</si>
  <si>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</si>
  <si>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</si>
  <si>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</si>
  <si>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</si>
  <si>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</si>
  <si>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</si>
  <si>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</si>
  <si>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</si>
  <si>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</si>
  <si>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</si>
  <si>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</si>
  <si>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</si>
  <si>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</si>
  <si>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</si>
  <si>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</si>
  <si>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</si>
  <si>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</si>
  <si>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</si>
  <si>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</si>
  <si>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</si>
  <si>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</si>
  <si>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</si>
  <si>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</si>
  <si>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</si>
  <si>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</si>
  <si>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</si>
  <si>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</si>
  <si>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</si>
  <si>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</si>
  <si>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</si>
  <si>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</si>
  <si>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</si>
  <si>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</si>
  <si>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</si>
  <si>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</si>
  <si>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</si>
  <si>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</si>
  <si>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</si>
  <si>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</si>
  <si>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</si>
  <si>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</si>
  <si>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</si>
  <si>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</si>
  <si>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</si>
  <si>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</si>
  <si>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</si>
  <si>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</si>
  <si>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</si>
  <si>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</si>
  <si>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</si>
  <si>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</si>
  <si>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</si>
  <si>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</si>
  <si>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</si>
  <si>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</si>
  <si>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</si>
  <si>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</si>
  <si>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</si>
  <si>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</si>
  <si>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</si>
  <si>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</si>
  <si>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</si>
  <si>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</si>
  <si>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</si>
  <si>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</si>
  <si>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</si>
  <si>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</si>
  <si>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</si>
  <si>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</si>
  <si>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</si>
  <si>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</si>
  <si>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</si>
  <si>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</si>
  <si>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</si>
  <si>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</si>
  <si>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</si>
  <si>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</si>
  <si>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</si>
  <si>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</si>
  <si>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</si>
  <si>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</si>
  <si>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</si>
  <si>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</si>
  <si>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</si>
  <si>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</si>
  <si>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</si>
  <si>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</si>
  <si>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</si>
  <si>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</si>
  <si>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</si>
  <si>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</si>
  <si>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</si>
  <si>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</si>
  <si>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</si>
  <si>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</si>
  <si>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</si>
  <si>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</si>
  <si>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</si>
  <si>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</si>
  <si>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</si>
  <si>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</si>
  <si>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</si>
  <si>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</si>
  <si>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</si>
  <si>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</si>
  <si>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</si>
  <si>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</si>
  <si>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</si>
  <si>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</si>
  <si>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</si>
  <si>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</si>
  <si>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</si>
  <si>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</si>
  <si>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</si>
  <si>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</si>
  <si>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</si>
  <si>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</si>
  <si>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</si>
  <si>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</si>
  <si>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</si>
  <si>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</si>
  <si>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</si>
  <si>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</si>
  <si>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</si>
  <si>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</si>
  <si>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</si>
  <si>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</si>
  <si>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</si>
  <si>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</si>
  <si>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</si>
  <si>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</si>
  <si>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</si>
  <si>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</si>
  <si>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</si>
  <si>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</si>
  <si>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</si>
  <si>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</si>
  <si>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</si>
  <si>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</si>
  <si>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</si>
  <si>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</si>
  <si>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</si>
  <si>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</si>
  <si>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</si>
  <si>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</si>
  <si>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</si>
  <si>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</si>
  <si>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</si>
  <si>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</si>
  <si>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</si>
  <si>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</si>
  <si>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</si>
  <si>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</si>
  <si>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</si>
  <si>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</si>
  <si>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</si>
  <si>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</si>
  <si>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</si>
  <si>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</si>
  <si>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</si>
  <si>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</si>
  <si>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</si>
  <si>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</si>
  <si>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</si>
  <si>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</si>
  <si>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</si>
  <si>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</si>
  <si>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</si>
  <si>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</si>
  <si>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</si>
  <si>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</si>
  <si>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</si>
  <si>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</si>
  <si>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</si>
  <si>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</si>
  <si>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</si>
  <si>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</si>
  <si>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</si>
  <si>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</si>
  <si>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</si>
  <si>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</si>
  <si>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</si>
  <si>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</si>
  <si>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</si>
  <si>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</si>
  <si>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</si>
  <si>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</si>
  <si>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</si>
  <si>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</si>
  <si>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</si>
  <si>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</si>
  <si>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</si>
  <si>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</si>
  <si>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</si>
  <si>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</si>
  <si>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</si>
  <si>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</si>
  <si>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</si>
  <si>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</si>
  <si>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</si>
  <si>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</si>
  <si>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</si>
  <si>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</si>
  <si>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</si>
  <si>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</si>
  <si>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</si>
  <si>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</si>
  <si>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</si>
  <si>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</si>
  <si>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</si>
  <si>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</si>
  <si>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</si>
  <si>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</si>
  <si>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</si>
  <si>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</si>
  <si>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</si>
  <si>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</si>
  <si>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</si>
  <si>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</si>
  <si>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</si>
  <si>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</si>
  <si>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</si>
  <si>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</si>
  <si>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</si>
  <si>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</si>
  <si>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</si>
  <si>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</si>
  <si>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</si>
  <si>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</si>
  <si>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</si>
  <si>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</si>
  <si>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</si>
  <si>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</si>
  <si>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</si>
  <si>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</si>
  <si>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</si>
  <si>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</si>
  <si>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</si>
  <si>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</si>
  <si>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</si>
  <si>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</si>
  <si>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</si>
  <si>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</si>
  <si>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</si>
  <si>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</si>
  <si>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</si>
  <si>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</si>
  <si>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</si>
  <si>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</si>
  <si>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</si>
  <si>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</si>
  <si>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</si>
  <si>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</si>
  <si>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</si>
  <si>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</si>
  <si>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</si>
  <si>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</si>
  <si>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</si>
  <si>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</si>
  <si>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</si>
  <si>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</si>
  <si>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</si>
  <si>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</si>
  <si>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</si>
  <si>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</si>
  <si>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</si>
  <si>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</si>
  <si>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</si>
  <si>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</si>
  <si>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</si>
  <si>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</si>
  <si>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</si>
  <si>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</si>
  <si>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</si>
  <si>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</si>
  <si>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</si>
  <si>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</si>
  <si>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</si>
  <si>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</si>
  <si>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</si>
  <si>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</si>
  <si>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</si>
  <si>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</si>
  <si>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</si>
  <si>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</si>
  <si>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</si>
  <si>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</si>
  <si>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</si>
  <si>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</si>
  <si>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</si>
  <si>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</si>
  <si>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</si>
  <si>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</si>
  <si>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</si>
  <si>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</si>
  <si>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</si>
  <si>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</si>
  <si>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</si>
  <si>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</si>
  <si>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</si>
  <si>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</si>
  <si>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</si>
  <si>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</si>
  <si>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</si>
  <si>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</si>
  <si>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</si>
  <si>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</si>
  <si>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</si>
  <si>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</si>
  <si>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</si>
  <si>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</si>
  <si>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</si>
  <si>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</si>
  <si>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</si>
  <si>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</si>
  <si>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</si>
  <si>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</si>
  <si>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</si>
  <si>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</si>
  <si>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</si>
  <si>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</si>
  <si>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</si>
  <si>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</si>
  <si>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</si>
  <si>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</si>
  <si>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</si>
  <si>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</si>
  <si>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</si>
  <si>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</si>
  <si>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</si>
  <si>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</si>
  <si>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</si>
  <si>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</si>
  <si>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</si>
  <si>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</si>
  <si>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</si>
  <si>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</si>
  <si>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</si>
  <si>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</si>
  <si>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</si>
  <si>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</si>
  <si>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</si>
  <si>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</si>
  <si>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</si>
  <si>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</si>
  <si>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</si>
  <si>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</si>
  <si>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</si>
  <si>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</si>
  <si>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</si>
  <si>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</si>
  <si>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</si>
  <si>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</si>
  <si>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</si>
  <si>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</si>
  <si>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</si>
  <si>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</si>
  <si>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</si>
  <si>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</si>
  <si>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</si>
  <si>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</si>
  <si>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</si>
  <si>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</si>
  <si>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</si>
  <si>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</si>
  <si>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</si>
  <si>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</si>
  <si>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</si>
  <si>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</si>
  <si>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</si>
  <si>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</si>
  <si>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</si>
  <si>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</si>
  <si>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</si>
  <si>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</si>
  <si>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</si>
  <si>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</si>
  <si>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</si>
  <si>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</si>
  <si>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</si>
  <si>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</si>
  <si>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</si>
  <si>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</si>
  <si>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</si>
  <si>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</si>
  <si>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</si>
  <si>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</si>
  <si>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</si>
  <si>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</si>
  <si>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</si>
  <si>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</si>
  <si>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</si>
  <si>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</si>
  <si>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</si>
  <si>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</si>
  <si>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</si>
  <si>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</si>
  <si>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</si>
  <si>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</si>
  <si>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</si>
  <si>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</si>
  <si>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</si>
  <si>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</si>
  <si>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</si>
  <si>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</si>
  <si>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</si>
  <si>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</si>
  <si>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</si>
  <si>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</si>
  <si>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</si>
  <si>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</si>
  <si>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</si>
  <si>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</si>
  <si>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</si>
  <si>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</si>
  <si>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</si>
  <si>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</si>
  <si>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</si>
  <si>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</si>
  <si>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</si>
  <si>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</si>
  <si>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</si>
  <si>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</si>
  <si>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</si>
  <si>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</si>
  <si>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</si>
  <si>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</si>
  <si>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</si>
  <si>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</si>
  <si>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</si>
  <si>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</si>
  <si>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</si>
  <si>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</si>
  <si>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</si>
  <si>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</si>
  <si>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</si>
  <si>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</si>
  <si>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</si>
  <si>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</si>
  <si>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</si>
  <si>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</si>
  <si>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</si>
  <si>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</si>
  <si>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</si>
  <si>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</si>
  <si>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</si>
  <si>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</si>
  <si>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</si>
  <si>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</si>
  <si>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</si>
  <si>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</si>
  <si>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</si>
  <si>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</si>
  <si>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</si>
  <si>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</si>
  <si>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</si>
  <si>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</si>
  <si>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</si>
  <si>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</si>
  <si>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</si>
  <si>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</si>
  <si>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</si>
  <si>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</si>
  <si>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</si>
  <si>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</si>
  <si>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</si>
  <si>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</si>
  <si>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</si>
  <si>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</si>
  <si>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</si>
  <si>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</si>
  <si>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</si>
  <si>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</si>
  <si>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</si>
  <si>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</si>
  <si>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</si>
  <si>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</si>
  <si>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</si>
  <si>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</si>
  <si>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</si>
  <si>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</si>
  <si>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</si>
  <si>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</si>
  <si>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</si>
  <si>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</si>
  <si>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</si>
  <si>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</si>
  <si>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</si>
  <si>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</si>
  <si>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</si>
  <si>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</si>
  <si>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</si>
  <si>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</si>
  <si>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</si>
  <si>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</si>
  <si>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</si>
  <si>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</si>
  <si>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</si>
  <si>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</si>
  <si>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</si>
  <si>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</si>
  <si>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</si>
  <si>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</si>
  <si>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</si>
  <si>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</si>
  <si>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</si>
  <si>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</si>
  <si>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</si>
  <si>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</si>
  <si>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</si>
  <si>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</si>
  <si>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</si>
  <si>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</si>
  <si>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</si>
  <si>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</si>
  <si>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</si>
  <si>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</si>
  <si>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</si>
  <si>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</si>
  <si>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</si>
  <si>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</si>
  <si>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</si>
  <si>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</si>
  <si>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</si>
  <si>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</si>
  <si>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</si>
  <si>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</si>
  <si>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</si>
  <si>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</si>
  <si>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</si>
  <si>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</si>
  <si>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</si>
  <si>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</si>
  <si>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</si>
  <si>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</si>
  <si>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</si>
  <si>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</si>
  <si>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</si>
  <si>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</si>
  <si>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</si>
  <si>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</si>
  <si>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</si>
  <si>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</si>
  <si>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</si>
  <si>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</si>
  <si>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</si>
  <si>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</si>
  <si>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</si>
  <si>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</si>
  <si>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</si>
  <si>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</si>
  <si>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</si>
  <si>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</si>
  <si>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</si>
  <si>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</si>
  <si>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</si>
  <si>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</si>
  <si>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</si>
  <si>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</si>
  <si>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</si>
  <si>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</si>
  <si>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</si>
  <si>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</si>
  <si>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</si>
  <si>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</si>
  <si>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</si>
  <si>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</si>
  <si>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</si>
  <si>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</si>
  <si>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</si>
  <si>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</si>
  <si>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</si>
  <si>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</si>
  <si>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</si>
  <si>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</si>
  <si>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</si>
  <si>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</si>
  <si>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</si>
  <si>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</si>
  <si>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</si>
  <si>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</si>
  <si>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</si>
  <si>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</si>
  <si>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</si>
  <si>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</si>
  <si>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</si>
  <si>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</si>
  <si>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</si>
  <si>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</si>
  <si>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</si>
  <si>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</si>
  <si>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</si>
  <si>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</si>
  <si>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</si>
  <si>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</si>
  <si>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</si>
  <si>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</si>
  <si>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</si>
  <si>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</si>
  <si>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</si>
  <si>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</si>
  <si>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</si>
  <si>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</si>
  <si>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</si>
  <si>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</si>
  <si>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</si>
  <si>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</si>
  <si>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</si>
  <si>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</si>
  <si>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</si>
  <si>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</si>
  <si>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</si>
  <si>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</si>
  <si>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</si>
  <si>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</si>
  <si>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</si>
  <si>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</si>
  <si>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</si>
  <si>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</si>
  <si>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</si>
  <si>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</si>
  <si>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</si>
  <si>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</si>
  <si>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</si>
  <si>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</si>
  <si>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</si>
  <si>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</si>
  <si>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</si>
  <si>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</si>
  <si>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</si>
  <si>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</si>
  <si>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</si>
  <si>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</si>
  <si>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</si>
  <si>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</si>
  <si>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</si>
  <si>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</si>
  <si>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</si>
  <si>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</si>
  <si>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</si>
  <si>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</si>
  <si>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</si>
  <si>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</si>
  <si>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</si>
  <si>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</si>
  <si>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</si>
  <si>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</si>
  <si>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</si>
  <si>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</si>
  <si>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</si>
  <si>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</si>
  <si>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</si>
  <si>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</si>
  <si>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</si>
  <si>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</si>
  <si>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</si>
  <si>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</si>
  <si>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</si>
  <si>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</si>
  <si>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</si>
  <si>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</si>
  <si>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</si>
  <si>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</si>
  <si>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</si>
  <si>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</si>
  <si>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</si>
  <si>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</si>
  <si>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</si>
  <si>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</si>
  <si>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</si>
  <si>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</si>
  <si>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</si>
  <si>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</si>
  <si>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</si>
  <si>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</si>
  <si>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</si>
  <si>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</si>
  <si>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</si>
  <si>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</si>
  <si>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</si>
  <si>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</si>
  <si>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</si>
  <si>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</si>
  <si>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</si>
  <si>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</si>
  <si>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</si>
  <si>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</si>
  <si>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</si>
  <si>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</si>
  <si>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</si>
  <si>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</si>
  <si>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</si>
  <si>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</si>
  <si>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</si>
  <si>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</si>
  <si>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</si>
  <si>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</si>
  <si>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</si>
  <si>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</si>
  <si>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</si>
  <si>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</si>
  <si>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</si>
  <si>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</si>
  <si>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</si>
  <si>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</si>
  <si>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</si>
  <si>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</si>
  <si>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</si>
  <si>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</si>
  <si>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</si>
  <si>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</si>
  <si>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</si>
  <si>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</si>
  <si>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</si>
  <si>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</si>
  <si>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</si>
  <si>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</si>
  <si>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</si>
  <si>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</si>
  <si>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</si>
  <si>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</si>
  <si>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</si>
  <si>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</si>
  <si>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</si>
  <si>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</si>
  <si>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</si>
  <si>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</si>
  <si>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</si>
  <si>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</si>
  <si>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</si>
  <si>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</si>
  <si>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</si>
  <si>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</si>
  <si>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</si>
  <si>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</si>
  <si>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</si>
  <si>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</si>
  <si>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</si>
  <si>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</si>
  <si>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</si>
  <si>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</si>
  <si>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</si>
  <si>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</si>
  <si>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</si>
  <si>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</si>
  <si>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</si>
  <si>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</si>
  <si>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</si>
  <si>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</si>
  <si>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</si>
  <si>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</si>
  <si>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</si>
  <si>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</si>
  <si>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</si>
  <si>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</si>
  <si>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</si>
  <si>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</si>
  <si>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</si>
  <si>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</si>
  <si>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</si>
  <si>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</si>
  <si>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</si>
  <si>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</si>
  <si>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</si>
  <si>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</si>
  <si>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</si>
  <si>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</si>
  <si>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</si>
  <si>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</si>
  <si>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</si>
  <si>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</si>
  <si>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</si>
  <si>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</si>
  <si>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</si>
  <si>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</si>
  <si>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</si>
  <si>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</si>
  <si>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</si>
  <si>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</si>
  <si>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</si>
  <si>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</si>
  <si>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</si>
  <si>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</si>
  <si>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</si>
  <si>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</si>
  <si>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</si>
  <si>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</si>
  <si>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</si>
  <si>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</si>
  <si>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</si>
  <si>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</si>
  <si>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</si>
  <si>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</si>
  <si>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</si>
  <si>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</si>
  <si>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</si>
  <si>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</si>
  <si>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</si>
  <si>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</si>
  <si>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</si>
  <si>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</si>
  <si>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</si>
  <si>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</si>
  <si>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</si>
  <si>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</si>
  <si>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</si>
  <si>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</si>
  <si>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</si>
  <si>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</si>
  <si>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</si>
  <si>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</si>
  <si>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</si>
  <si>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</si>
  <si>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</si>
  <si>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</si>
  <si>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</si>
  <si>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</si>
  <si>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</si>
  <si>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</si>
  <si>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</si>
  <si>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</si>
  <si>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</si>
  <si>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</si>
  <si>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</si>
  <si>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</si>
  <si>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</si>
  <si>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</si>
  <si>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</si>
  <si>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</si>
  <si>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</si>
  <si>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</si>
  <si>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</si>
  <si>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</si>
  <si>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</si>
  <si>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</si>
  <si>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</si>
  <si>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</si>
  <si>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</si>
  <si>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</si>
  <si>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</si>
  <si>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</si>
  <si>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</si>
  <si>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</si>
  <si>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</si>
  <si>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</si>
  <si>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</si>
  <si>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</si>
  <si>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</si>
  <si>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</si>
  <si>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</si>
  <si>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</si>
  <si>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</si>
  <si>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</si>
  <si>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</si>
  <si>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</si>
  <si>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</si>
  <si>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</si>
  <si>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</si>
  <si>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</si>
  <si>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</si>
  <si>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</si>
  <si>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</si>
  <si>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</si>
  <si>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</si>
  <si>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</si>
  <si>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</si>
  <si>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</si>
  <si>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</si>
  <si>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</si>
  <si>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</si>
  <si>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</si>
  <si>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</si>
  <si>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</si>
  <si>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</si>
  <si>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</si>
  <si>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</si>
  <si>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</si>
  <si>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</si>
  <si>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</si>
  <si>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</si>
  <si>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</si>
  <si>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</si>
  <si>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</si>
  <si>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</si>
  <si>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</si>
  <si>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</si>
  <si>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</si>
  <si>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</si>
  <si>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</si>
  <si>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</si>
  <si>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</si>
  <si>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</si>
  <si>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</si>
  <si>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</si>
  <si>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</si>
  <si>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</si>
  <si>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</si>
  <si>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</si>
  <si>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</si>
  <si>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</si>
  <si>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</si>
  <si>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</si>
  <si>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</si>
  <si>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</si>
  <si>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</si>
  <si>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</si>
  <si>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</si>
  <si>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</si>
  <si>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</si>
  <si>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</si>
  <si>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</si>
  <si>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</si>
  <si>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</si>
  <si>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</si>
  <si>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</si>
  <si>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</si>
  <si>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</si>
  <si>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</si>
  <si>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</si>
  <si>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</si>
  <si>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</si>
  <si>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</si>
  <si>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</si>
  <si>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</si>
  <si>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</si>
  <si>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</si>
  <si>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</si>
  <si>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</si>
  <si>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</si>
  <si>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</si>
  <si>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</si>
  <si>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</si>
  <si>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</si>
  <si>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</si>
  <si>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</si>
  <si>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</si>
  <si>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</si>
  <si>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</si>
  <si>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</si>
  <si>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</si>
  <si>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</si>
  <si>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</si>
  <si>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</si>
  <si>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</si>
  <si>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</si>
  <si>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</si>
  <si>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</si>
  <si>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</si>
  <si>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</si>
  <si>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</si>
  <si>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</si>
  <si>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</si>
  <si>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</si>
  <si>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</si>
  <si>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</si>
  <si>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</si>
  <si>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</si>
  <si>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</si>
  <si>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</si>
  <si>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</si>
  <si>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</si>
  <si>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</si>
  <si>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</si>
  <si>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</si>
  <si>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</si>
  <si>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</si>
  <si>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</si>
  <si>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</si>
  <si>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</si>
  <si>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</si>
  <si>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</si>
  <si>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</si>
  <si>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</si>
  <si>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</si>
  <si>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</si>
  <si>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</si>
  <si>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</si>
  <si>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</si>
  <si>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</si>
  <si>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</si>
  <si>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</si>
  <si>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</si>
  <si>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</si>
  <si>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</si>
  <si>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</si>
  <si>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</si>
  <si>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</si>
  <si>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</si>
  <si>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</si>
  <si>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</si>
  <si>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</si>
  <si>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</si>
  <si>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</si>
  <si>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</si>
  <si>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</si>
  <si>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</si>
  <si>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</si>
  <si>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</si>
  <si>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</si>
  <si>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</si>
  <si>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</si>
  <si>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</si>
  <si>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</si>
  <si>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</si>
  <si>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</si>
  <si>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</si>
  <si>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</si>
  <si>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</si>
  <si>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</si>
  <si>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</si>
  <si>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</si>
  <si>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</si>
  <si>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</si>
  <si>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</si>
  <si>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</si>
  <si>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</si>
  <si>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</si>
  <si>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</si>
  <si>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</si>
  <si>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</si>
  <si>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</si>
  <si>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</si>
  <si>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</si>
  <si>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</si>
  <si>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</si>
  <si>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</si>
  <si>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</si>
  <si>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</si>
  <si>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</si>
  <si>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</si>
  <si>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</si>
  <si>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</si>
  <si>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</si>
  <si>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</si>
  <si>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</si>
  <si>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</si>
  <si>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</si>
  <si>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</si>
  <si>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</si>
  <si>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</si>
  <si>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</si>
  <si>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</si>
  <si>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</si>
  <si>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</si>
  <si>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</si>
  <si>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</si>
  <si>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</si>
  <si>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</si>
  <si>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</si>
  <si>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</si>
  <si>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</si>
  <si>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</si>
  <si>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</si>
  <si>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</si>
  <si>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</si>
  <si>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</si>
  <si>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</si>
  <si>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</si>
  <si>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</si>
  <si>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</si>
  <si>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</si>
  <si>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</si>
  <si>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</si>
  <si>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</si>
  <si>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</si>
  <si>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</si>
  <si>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</si>
  <si>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</si>
  <si>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</si>
  <si>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</si>
  <si>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</si>
  <si>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</si>
  <si>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</si>
  <si>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</si>
  <si>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</si>
  <si>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</si>
  <si>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</si>
  <si>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</si>
  <si>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</si>
  <si>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</si>
  <si>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</si>
  <si>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</si>
  <si>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</si>
  <si>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</si>
  <si>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</si>
  <si>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</si>
  <si>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</si>
  <si>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</si>
  <si>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</si>
  <si>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</si>
  <si>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</si>
  <si>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</si>
  <si>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</si>
  <si>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</si>
  <si>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</si>
  <si>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</si>
  <si>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</si>
  <si>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</si>
  <si>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</si>
  <si>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</si>
  <si>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</si>
  <si>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</si>
  <si>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</si>
  <si>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</si>
  <si>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</si>
  <si>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</si>
  <si>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</si>
  <si>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</si>
  <si>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</si>
  <si>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</si>
  <si>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</si>
  <si>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</si>
  <si>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</si>
  <si>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</si>
  <si>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</si>
  <si>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</si>
  <si>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</si>
  <si>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</si>
  <si>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</si>
  <si>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</si>
  <si>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</si>
  <si>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</si>
  <si>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</si>
  <si>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</si>
  <si>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</si>
  <si>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</si>
  <si>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</si>
  <si>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</si>
  <si>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</si>
  <si>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</si>
  <si>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</si>
  <si>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</si>
  <si>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</si>
  <si>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</si>
  <si>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</si>
  <si>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</si>
  <si>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</si>
  <si>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</si>
  <si>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</si>
  <si>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</si>
  <si>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</si>
  <si>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</si>
  <si>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</si>
  <si>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</si>
  <si>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</si>
  <si>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</si>
  <si>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</si>
  <si>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</si>
  <si>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</si>
  <si>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</si>
  <si>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</si>
  <si>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</si>
  <si>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</si>
  <si>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</si>
  <si>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</si>
  <si>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</si>
  <si>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</si>
  <si>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</si>
  <si>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</si>
  <si>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</si>
  <si>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</si>
  <si>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</si>
  <si>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</si>
  <si>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</si>
  <si>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</si>
  <si>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</si>
  <si>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</si>
  <si>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</si>
  <si>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</si>
  <si>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</si>
  <si>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</si>
  <si>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</si>
  <si>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</si>
  <si>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</si>
  <si>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</si>
  <si>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</si>
  <si>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</si>
  <si>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</si>
  <si>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</si>
  <si>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</si>
  <si>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</si>
  <si>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</si>
  <si>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</si>
  <si>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</si>
  <si>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</si>
  <si>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</si>
  <si>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</si>
  <si>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</si>
  <si>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</si>
  <si>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</si>
  <si>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</si>
  <si>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</si>
  <si>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</si>
  <si>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</si>
  <si>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</si>
  <si>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</si>
  <si>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</si>
  <si>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</si>
  <si>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</si>
  <si>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</si>
  <si>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</si>
  <si>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</si>
  <si>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</si>
  <si>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</si>
  <si>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</si>
  <si>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</si>
  <si>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</si>
  <si>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</si>
  <si>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</si>
  <si>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</si>
  <si>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</si>
  <si>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</si>
  <si>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</si>
  <si>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</si>
  <si>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</si>
  <si>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</si>
  <si>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</si>
  <si>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</si>
  <si>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</si>
  <si>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</si>
  <si>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</si>
  <si>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</si>
  <si>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</si>
  <si>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</si>
  <si>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</si>
  <si>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</si>
  <si>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</si>
  <si>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</si>
  <si>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</si>
  <si>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</si>
  <si>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</si>
  <si>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</si>
  <si>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</si>
  <si>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</si>
  <si>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</si>
  <si>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</si>
  <si>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</si>
  <si>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</si>
  <si>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</si>
  <si>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</si>
  <si>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</si>
  <si>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</si>
  <si>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</si>
  <si>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</si>
  <si>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</si>
  <si>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</si>
  <si>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</si>
  <si>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</si>
  <si>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</si>
  <si>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</si>
  <si>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</si>
  <si>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</si>
  <si>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</si>
  <si>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</si>
  <si>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</si>
  <si>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</si>
  <si>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</si>
  <si>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</si>
  <si>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</si>
  <si>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</si>
  <si>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</si>
  <si>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</si>
  <si>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</si>
  <si>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</si>
  <si>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</si>
  <si>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</si>
  <si>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</si>
  <si>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</si>
  <si>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</si>
  <si>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</si>
  <si>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</si>
  <si>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</si>
  <si>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</si>
  <si>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</si>
  <si>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</si>
  <si>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</si>
  <si>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</si>
  <si>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</si>
  <si>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</si>
  <si>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</si>
  <si>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</si>
  <si>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</si>
  <si>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</si>
  <si>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</si>
  <si>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</si>
  <si>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</si>
  <si>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</si>
  <si>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</si>
  <si>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</si>
  <si>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</si>
  <si>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</si>
  <si>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</si>
  <si>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</si>
  <si>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</si>
  <si>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</si>
  <si>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</si>
  <si>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</si>
  <si>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</si>
  <si>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</si>
  <si>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</si>
  <si>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</si>
  <si>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</si>
  <si>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</si>
  <si>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</si>
  <si>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</si>
  <si>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</si>
  <si>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</si>
  <si>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</si>
  <si>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</si>
  <si>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</si>
  <si>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</si>
  <si>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</si>
  <si>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</si>
  <si>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</si>
  <si>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</si>
  <si>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</si>
  <si>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</si>
  <si>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</si>
  <si>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</si>
  <si>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</si>
  <si>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</si>
  <si>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</si>
  <si>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</si>
  <si>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</si>
  <si>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</si>
  <si>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</si>
  <si>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</si>
  <si>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</si>
  <si>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</si>
  <si>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</si>
  <si>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</si>
  <si>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</si>
  <si>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</si>
  <si>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</si>
  <si>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</si>
  <si>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</si>
  <si>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</si>
  <si>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</si>
  <si>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</si>
  <si>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</si>
  <si>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</si>
  <si>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</si>
  <si>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</si>
  <si>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</si>
  <si>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</si>
  <si>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</si>
  <si>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</si>
  <si>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</si>
  <si>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</si>
  <si>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</si>
  <si>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</si>
  <si>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</si>
  <si>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</si>
  <si>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</si>
  <si>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</si>
  <si>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</si>
  <si>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</si>
  <si>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</si>
  <si>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</si>
  <si>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</si>
  <si>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</si>
  <si>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</si>
  <si>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</si>
  <si>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</si>
  <si>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</si>
  <si>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</si>
  <si>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</si>
  <si>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</si>
  <si>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</si>
  <si>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</si>
  <si>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</si>
  <si>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</si>
  <si>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</si>
  <si>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</si>
  <si>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</si>
  <si>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</si>
  <si>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</si>
  <si>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</si>
  <si>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</si>
  <si>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</si>
  <si>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</si>
  <si>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</si>
  <si>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</si>
  <si>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</si>
  <si>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</si>
  <si>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</si>
  <si>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</si>
  <si>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</si>
  <si>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</si>
  <si>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</si>
  <si>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</si>
  <si>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</si>
  <si>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</si>
  <si>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</si>
  <si>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</si>
  <si>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</si>
  <si>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</si>
  <si>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</si>
  <si>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</si>
  <si>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</si>
  <si>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</si>
  <si>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</si>
  <si>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</si>
  <si>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</si>
  <si>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</si>
  <si>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</si>
  <si>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</si>
  <si>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</si>
  <si>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</si>
  <si>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</si>
  <si>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</si>
  <si>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</si>
  <si>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</si>
  <si>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</si>
  <si>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</si>
  <si>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</si>
  <si>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</si>
  <si>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</si>
  <si>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</si>
  <si>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</si>
  <si>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</si>
  <si>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</si>
  <si>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</si>
  <si>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</si>
  <si>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</si>
  <si>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</si>
  <si>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</si>
  <si>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</si>
  <si>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</si>
  <si>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</si>
  <si>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</si>
  <si>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</si>
  <si>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</si>
  <si>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</si>
  <si>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</si>
  <si>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</si>
  <si>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</si>
  <si>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</si>
  <si>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</si>
  <si>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</si>
  <si>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</si>
  <si>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</si>
  <si>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</si>
  <si>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</si>
  <si>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</si>
  <si>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</si>
  <si>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</si>
  <si>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</si>
  <si>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</si>
  <si>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</si>
  <si>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</si>
  <si>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</si>
  <si>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</si>
  <si>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</si>
  <si>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</si>
  <si>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</si>
  <si>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</si>
  <si>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</si>
  <si>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</si>
  <si>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</si>
  <si>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</si>
  <si>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</si>
  <si>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</si>
  <si>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</si>
  <si>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</si>
  <si>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</si>
  <si>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</si>
  <si>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</si>
  <si>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</si>
  <si>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</si>
  <si>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</si>
  <si>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</si>
  <si>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</si>
  <si>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</si>
  <si>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</si>
  <si>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</si>
  <si>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</si>
  <si>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</si>
  <si>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</si>
  <si>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</si>
  <si>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</si>
  <si>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</si>
  <si>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</si>
  <si>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</si>
  <si>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</si>
  <si>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</si>
  <si>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</si>
  <si>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</si>
  <si>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</si>
  <si>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</si>
  <si>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</si>
  <si>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</si>
  <si>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</si>
  <si>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</si>
  <si>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</si>
  <si>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</si>
  <si>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</si>
  <si>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</si>
  <si>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</si>
  <si>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</si>
  <si>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</si>
  <si>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</si>
  <si>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</si>
  <si>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</si>
  <si>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</si>
  <si>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</si>
  <si>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</si>
  <si>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</si>
  <si>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</si>
  <si>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</si>
  <si>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</si>
  <si>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</si>
  <si>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</si>
  <si>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</si>
  <si>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</si>
  <si>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</si>
  <si>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</si>
  <si>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</si>
  <si>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</si>
  <si>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</si>
  <si>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</si>
  <si>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</si>
  <si>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</si>
  <si>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</si>
  <si>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</si>
  <si>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</si>
  <si>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</si>
  <si>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</si>
  <si>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</si>
  <si>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</si>
  <si>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</si>
  <si>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</si>
  <si>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</si>
  <si>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</si>
  <si>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</si>
  <si>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</si>
  <si>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</si>
  <si>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</si>
  <si>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</si>
  <si>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</si>
  <si>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</si>
  <si>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</si>
  <si>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</si>
  <si>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</si>
  <si>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</si>
  <si>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</si>
  <si>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</si>
  <si>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</si>
  <si>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</si>
  <si>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</si>
  <si>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</si>
  <si>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</si>
  <si>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</si>
  <si>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</si>
  <si>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</si>
  <si>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</si>
  <si>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</si>
  <si>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</si>
  <si>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</si>
  <si>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</si>
  <si>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</si>
  <si>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</si>
  <si>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</si>
  <si>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</si>
  <si>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</si>
  <si>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</si>
  <si>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</si>
  <si>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</si>
  <si>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</si>
  <si>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</si>
  <si>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</si>
  <si>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</si>
  <si>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</si>
  <si>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</si>
  <si>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</si>
  <si>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</si>
  <si>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</si>
  <si>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</si>
  <si>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</si>
  <si>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</si>
  <si>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</si>
  <si>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</si>
  <si>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</si>
  <si>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</si>
  <si>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</si>
  <si>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</si>
  <si>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</si>
  <si>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</si>
  <si>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</si>
  <si>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</si>
  <si>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</si>
  <si>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</si>
  <si>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</si>
  <si>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</si>
  <si>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</si>
  <si>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</si>
  <si>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</si>
  <si>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</si>
  <si>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</si>
  <si>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</si>
  <si>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</si>
  <si>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</si>
  <si>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</si>
  <si>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</si>
  <si>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</si>
  <si>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</si>
  <si>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</si>
  <si>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</si>
  <si>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</si>
  <si>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</si>
  <si>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</si>
  <si>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</si>
  <si>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</si>
  <si>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</si>
  <si>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</si>
  <si>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</si>
  <si>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</si>
  <si>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</si>
  <si>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</si>
  <si>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</si>
  <si>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</si>
  <si>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</si>
  <si>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</si>
  <si>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</si>
  <si>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</si>
  <si>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</si>
  <si>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</si>
  <si>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</si>
  <si>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</si>
  <si>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</si>
  <si>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</si>
  <si>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</si>
  <si>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</si>
  <si>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</si>
  <si>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</si>
  <si>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</si>
  <si>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</si>
  <si>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</si>
  <si>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</si>
  <si>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</si>
  <si>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</si>
  <si>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</si>
  <si>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</si>
  <si>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</si>
  <si>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</si>
  <si>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</si>
  <si>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</si>
  <si>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</si>
  <si>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</si>
  <si>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</si>
  <si>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</si>
  <si>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</si>
  <si>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</si>
  <si>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</si>
  <si>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</si>
  <si>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</si>
  <si>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</si>
  <si>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</si>
  <si>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</si>
  <si>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</si>
  <si>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</si>
  <si>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</si>
  <si>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</si>
  <si>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</si>
  <si>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</si>
  <si>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</si>
  <si>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</si>
  <si>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</si>
  <si>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</si>
  <si>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</si>
  <si>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</si>
  <si>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</si>
  <si>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</si>
  <si>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</si>
  <si>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</si>
  <si>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</si>
  <si>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</si>
  <si>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</si>
  <si>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</si>
  <si>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</si>
  <si>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</si>
  <si>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</si>
  <si>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</si>
  <si>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</si>
  <si>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</si>
  <si>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</si>
  <si>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</si>
  <si>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</si>
  <si>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</si>
  <si>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</si>
  <si>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</si>
  <si>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</si>
  <si>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</si>
  <si>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</si>
  <si>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</si>
  <si>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</si>
  <si>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</si>
  <si>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</si>
  <si>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</si>
  <si>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</si>
  <si>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</si>
  <si>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</si>
  <si>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</si>
  <si>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</si>
  <si>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</si>
  <si>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</si>
  <si>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</si>
  <si>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</si>
  <si>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</si>
  <si>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</si>
  <si>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</si>
  <si>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</si>
  <si>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</si>
  <si>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</si>
  <si>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</si>
  <si>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</si>
  <si>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</si>
  <si>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</si>
  <si>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</si>
  <si>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</si>
  <si>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</si>
  <si>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</si>
  <si>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</si>
  <si>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</si>
  <si>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</si>
  <si>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</si>
  <si>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</si>
  <si>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</si>
  <si>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</si>
  <si>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</si>
  <si>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</si>
  <si>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</si>
  <si>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</si>
  <si>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</si>
  <si>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</si>
  <si>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</si>
  <si>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</si>
  <si>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</si>
  <si>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</si>
  <si>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</si>
  <si>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</si>
  <si>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</si>
  <si>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</si>
  <si>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</si>
  <si>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</si>
  <si>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</si>
  <si>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</si>
  <si>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</si>
  <si>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</si>
  <si>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</si>
  <si>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</si>
  <si>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</si>
  <si>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</si>
  <si>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</si>
  <si>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</si>
  <si>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</si>
  <si>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</si>
  <si>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</si>
  <si>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</si>
  <si>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</si>
  <si>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</si>
  <si>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</si>
  <si>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</si>
  <si>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</si>
  <si>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</si>
  <si>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</si>
  <si>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</si>
  <si>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</si>
  <si>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</si>
  <si>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</si>
  <si>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</si>
  <si>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</si>
  <si>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</si>
  <si>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</si>
  <si>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</si>
  <si>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</si>
  <si>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</si>
  <si>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</si>
  <si>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</si>
  <si>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</si>
  <si>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</si>
  <si>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</si>
  <si>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</si>
  <si>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</si>
  <si>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</si>
  <si>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</si>
  <si>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</si>
  <si>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</si>
  <si>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</si>
  <si>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</si>
  <si>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</si>
  <si>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</si>
  <si>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</si>
  <si>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</si>
  <si>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</si>
  <si>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</si>
  <si>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</si>
  <si>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</si>
  <si>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</si>
  <si>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</si>
  <si>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</si>
  <si>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</si>
  <si>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</si>
  <si>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</si>
  <si>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</si>
  <si>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</si>
  <si>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</si>
  <si>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</si>
  <si>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</si>
  <si>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</si>
  <si>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</si>
  <si>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</si>
  <si>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</si>
  <si>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</si>
  <si>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</si>
  <si>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</si>
  <si>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</si>
  <si>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</si>
  <si>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</si>
  <si>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</si>
  <si>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</si>
  <si>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</si>
  <si>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</si>
  <si>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</si>
  <si>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</si>
  <si>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</si>
  <si>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</si>
  <si>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</si>
  <si>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</si>
  <si>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</si>
  <si>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</si>
  <si>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</si>
  <si>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</si>
  <si>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</si>
  <si>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</si>
  <si>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</si>
  <si>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</si>
  <si>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</si>
  <si>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</si>
  <si>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</si>
  <si>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</si>
  <si>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</si>
  <si>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</si>
  <si>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</si>
  <si>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</si>
  <si>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</si>
  <si>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</si>
  <si>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</si>
  <si>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</si>
  <si>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</si>
  <si>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</si>
  <si>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</si>
  <si>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</si>
  <si>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</si>
  <si>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</si>
  <si>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</si>
  <si>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</si>
  <si>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</si>
  <si>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</si>
  <si>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</si>
  <si>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</si>
  <si>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</si>
  <si>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</si>
  <si>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</si>
  <si>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</si>
  <si>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</si>
  <si>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</si>
  <si>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</si>
  <si>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</si>
  <si>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</si>
  <si>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</si>
  <si>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</si>
  <si>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</si>
  <si>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</si>
  <si>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</si>
  <si>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</si>
  <si>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</si>
  <si>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</si>
  <si>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</si>
  <si>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</si>
  <si>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</si>
  <si>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</si>
  <si>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</si>
  <si>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</si>
  <si>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</si>
  <si>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</si>
  <si>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</si>
  <si>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</si>
  <si>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</si>
  <si>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</si>
  <si>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</si>
  <si>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</si>
  <si>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</si>
  <si>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</si>
  <si>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</si>
  <si>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</si>
  <si>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</si>
  <si>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</si>
  <si>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</si>
  <si>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</si>
  <si>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</si>
  <si>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</si>
  <si>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</si>
  <si>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</si>
  <si>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</si>
  <si>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</si>
  <si>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</si>
  <si>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</si>
  <si>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</si>
  <si>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</si>
  <si>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</si>
  <si>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</si>
  <si>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</si>
  <si>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</si>
  <si>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</si>
  <si>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</si>
  <si>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</si>
  <si>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</si>
  <si>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</si>
  <si>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</si>
  <si>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</si>
  <si>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</si>
  <si>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</si>
  <si>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</si>
  <si>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</si>
  <si>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</si>
  <si>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</si>
  <si>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</si>
  <si>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</si>
  <si>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</si>
  <si>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</si>
  <si>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</si>
  <si>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</si>
  <si>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</si>
  <si>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</si>
  <si>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</si>
  <si>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</si>
  <si>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</si>
  <si>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</si>
  <si>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</si>
  <si>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</si>
  <si>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</si>
  <si>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</si>
  <si>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</si>
  <si>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</si>
  <si>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</si>
  <si>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</si>
  <si>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</si>
  <si>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</si>
  <si>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</si>
  <si>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</si>
  <si>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</si>
  <si>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</si>
  <si>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雷湘莲</t>
    <phoneticPr fontId="6" type="noConversion"/>
  </si>
  <si>
    <r>
      <rPr>
        <sz val="10"/>
        <color theme="9" tint="-0.249977111117893"/>
        <rFont val="宋体"/>
        <family val="3"/>
        <charset val="134"/>
      </rPr>
      <t>朝阳区霞光里</t>
    </r>
    <r>
      <rPr>
        <sz val="10"/>
        <color theme="9" tint="-0.249977111117893"/>
        <rFont val="Arial"/>
        <family val="2"/>
      </rPr>
      <t>66</t>
    </r>
    <r>
      <rPr>
        <sz val="10"/>
        <color theme="9" tint="-0.249977111117893"/>
        <rFont val="宋体"/>
        <family val="3"/>
        <charset val="134"/>
      </rPr>
      <t>号院甲</t>
    </r>
    <r>
      <rPr>
        <sz val="10"/>
        <color theme="9" tint="-0.249977111117893"/>
        <rFont val="Arial"/>
        <family val="2"/>
      </rPr>
      <t>5</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层、2层</t>
    </r>
    <phoneticPr fontId="6" type="noConversion"/>
  </si>
  <si>
    <t>商业项目</t>
  </si>
  <si>
    <t>现房</t>
  </si>
  <si>
    <t>是</t>
  </si>
  <si>
    <r>
      <t>1</t>
    </r>
    <r>
      <rPr>
        <sz val="10"/>
        <color indexed="8"/>
        <rFont val="宋体"/>
        <family val="3"/>
        <charset val="134"/>
      </rPr>
      <t>层</t>
    </r>
    <phoneticPr fontId="3" type="noConversion"/>
  </si>
  <si>
    <r>
      <t>2</t>
    </r>
    <r>
      <rPr>
        <sz val="10"/>
        <color indexed="8"/>
        <rFont val="宋体"/>
        <family val="3"/>
        <charset val="134"/>
      </rPr>
      <t>层</t>
    </r>
    <phoneticPr fontId="3" type="noConversion"/>
  </si>
  <si>
    <t>地上</t>
  </si>
  <si>
    <t>商业</t>
    <phoneticPr fontId="7" type="noConversion"/>
  </si>
  <si>
    <t>麦子店街道</t>
    <phoneticPr fontId="3" type="noConversion"/>
  </si>
  <si>
    <t>建成年代</t>
    <phoneticPr fontId="3" type="noConversion"/>
  </si>
  <si>
    <t>网上查询</t>
    <phoneticPr fontId="3" type="noConversion"/>
  </si>
  <si>
    <t>成新度</t>
  </si>
  <si>
    <t>直线</t>
    <phoneticPr fontId="3" type="noConversion"/>
  </si>
  <si>
    <t>观察</t>
    <phoneticPr fontId="3" type="noConversion"/>
  </si>
  <si>
    <t>综合</t>
    <phoneticPr fontId="3" type="noConversion"/>
  </si>
  <si>
    <t>收益法 (元)</t>
  </si>
  <si>
    <t>不临65条商业街</t>
  </si>
  <si>
    <t>与级别开发程度一致</t>
  </si>
  <si>
    <t>按公示增长率计算</t>
  </si>
  <si>
    <t>中心城区</t>
  </si>
  <si>
    <t>年租金</t>
    <phoneticPr fontId="3" type="noConversion"/>
  </si>
  <si>
    <t>左右</t>
    <phoneticPr fontId="3" type="noConversion"/>
  </si>
  <si>
    <t>租给丽晶大班</t>
    <phoneticPr fontId="3" type="noConversion"/>
  </si>
  <si>
    <t>押一</t>
  </si>
  <si>
    <t>钢混</t>
  </si>
  <si>
    <t>非生产用房</t>
  </si>
  <si>
    <t>否</t>
  </si>
  <si>
    <t>较好</t>
  </si>
  <si>
    <t>较差</t>
  </si>
  <si>
    <t>好</t>
  </si>
  <si>
    <t>未包含在土地购买价格中</t>
  </si>
  <si>
    <t>已包含在土地取得成本中</t>
  </si>
  <si>
    <t>单套模式</t>
  </si>
  <si>
    <t>售价</t>
  </si>
  <si>
    <t>商业</t>
    <phoneticPr fontId="30" type="noConversion"/>
  </si>
  <si>
    <t>七通</t>
  </si>
  <si>
    <t>较好</t>
    <phoneticPr fontId="30" type="noConversion"/>
  </si>
  <si>
    <t>挂牌价</t>
  </si>
  <si>
    <t>挂牌价</t>
    <phoneticPr fontId="30" type="noConversion"/>
  </si>
  <si>
    <r>
      <t>10-15</t>
    </r>
    <r>
      <rPr>
        <sz val="11"/>
        <rFont val="宋体"/>
        <family val="3"/>
        <charset val="134"/>
      </rPr>
      <t>（含）</t>
    </r>
    <phoneticPr fontId="30" type="noConversion"/>
  </si>
  <si>
    <t>双面临街</t>
    <phoneticPr fontId="30" type="noConversion"/>
  </si>
  <si>
    <t>单面临街</t>
  </si>
  <si>
    <t>单面临街</t>
    <phoneticPr fontId="30" type="noConversion"/>
  </si>
  <si>
    <t>不临街</t>
  </si>
  <si>
    <t>不临街</t>
    <phoneticPr fontId="30" type="noConversion"/>
  </si>
  <si>
    <t>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</si>
  <si>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</si>
  <si>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</si>
  <si>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</si>
  <si>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</si>
  <si>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</si>
  <si>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</si>
  <si>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</si>
  <si>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</si>
  <si>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</si>
  <si>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</si>
  <si>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</si>
  <si>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t>钢混</t>
    <phoneticPr fontId="30" type="noConversion"/>
  </si>
  <si>
    <t>可餐饮</t>
    <phoneticPr fontId="30" type="noConversion"/>
  </si>
  <si>
    <t>不可餐饮</t>
    <phoneticPr fontId="30" type="noConversion"/>
  </si>
  <si>
    <t>超高</t>
    <phoneticPr fontId="30" type="noConversion"/>
  </si>
  <si>
    <t>标准</t>
    <phoneticPr fontId="30" type="noConversion"/>
  </si>
  <si>
    <t>精装修</t>
    <phoneticPr fontId="30" type="noConversion"/>
  </si>
  <si>
    <t>普通装修</t>
    <phoneticPr fontId="30" type="noConversion"/>
  </si>
  <si>
    <t>简单装修</t>
    <phoneticPr fontId="30" type="noConversion"/>
  </si>
  <si>
    <t>毛坯</t>
    <phoneticPr fontId="30" type="noConversion"/>
  </si>
  <si>
    <t>土地使用期限推算</t>
    <phoneticPr fontId="3" type="noConversion"/>
  </si>
  <si>
    <t>推算</t>
    <phoneticPr fontId="6" type="noConversion"/>
  </si>
  <si>
    <t>估价对象容积率</t>
  </si>
  <si>
    <r>
      <t>1</t>
    </r>
    <r>
      <rPr>
        <sz val="11"/>
        <color theme="1"/>
        <rFont val="宋体"/>
        <family val="3"/>
        <charset val="134"/>
        <scheme val="minor"/>
      </rPr>
      <t>-2层</t>
    </r>
    <phoneticPr fontId="134" type="noConversion"/>
  </si>
  <si>
    <r>
      <t>1层小，</t>
    </r>
    <r>
      <rPr>
        <sz val="11"/>
        <color theme="1"/>
        <rFont val="宋体"/>
        <family val="3"/>
        <charset val="134"/>
        <scheme val="minor"/>
      </rPr>
      <t>2层大</t>
    </r>
    <phoneticPr fontId="134" type="noConversion"/>
  </si>
  <si>
    <t>日租金</t>
    <phoneticPr fontId="134" type="noConversion"/>
  </si>
  <si>
    <t>1层</t>
    <phoneticPr fontId="134" type="noConversion"/>
  </si>
  <si>
    <t>远洋新干线</t>
    <phoneticPr fontId="3" type="noConversion"/>
  </si>
  <si>
    <t>万科时代中心</t>
    <phoneticPr fontId="3" type="noConversion"/>
  </si>
  <si>
    <t>正常</t>
  </si>
  <si>
    <t>1-2层</t>
  </si>
  <si>
    <r>
      <t>1</t>
    </r>
    <r>
      <rPr>
        <sz val="11"/>
        <color indexed="8"/>
        <rFont val="宋体"/>
        <family val="3"/>
        <charset val="134"/>
      </rPr>
      <t>层占比</t>
    </r>
    <phoneticPr fontId="30" type="noConversion"/>
  </si>
  <si>
    <r>
      <t>1</t>
    </r>
    <r>
      <rPr>
        <sz val="11"/>
        <rFont val="宋体"/>
        <family val="3"/>
        <charset val="134"/>
      </rPr>
      <t>层占比</t>
    </r>
    <phoneticPr fontId="30" type="noConversion"/>
  </si>
  <si>
    <t>30-40%</t>
    <phoneticPr fontId="30" type="noConversion"/>
  </si>
  <si>
    <r>
      <t>1-2</t>
    </r>
    <r>
      <rPr>
        <sz val="11"/>
        <color indexed="8"/>
        <rFont val="宋体"/>
        <family val="3"/>
        <charset val="134"/>
      </rPr>
      <t>层（</t>
    </r>
    <r>
      <rPr>
        <sz val="11"/>
        <color indexed="8"/>
        <rFont val="Arial"/>
        <family val="2"/>
      </rPr>
      <t>1</t>
    </r>
    <r>
      <rPr>
        <sz val="11"/>
        <color indexed="8"/>
        <rFont val="宋体"/>
        <family val="3"/>
        <charset val="134"/>
      </rPr>
      <t>层小）</t>
    </r>
    <phoneticPr fontId="30"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</si>
  <si>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</si>
  <si>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</si>
  <si>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</si>
  <si>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t>假设</t>
    <phoneticPr fontId="30" type="noConversion"/>
  </si>
  <si>
    <t>面积</t>
    <phoneticPr fontId="30" type="noConversion"/>
  </si>
  <si>
    <t>合计</t>
    <phoneticPr fontId="30" type="noConversion"/>
  </si>
  <si>
    <r>
      <t>1-2</t>
    </r>
    <r>
      <rPr>
        <sz val="11"/>
        <rFont val="宋体"/>
        <family val="3"/>
        <charset val="134"/>
      </rPr>
      <t>层（</t>
    </r>
    <r>
      <rPr>
        <sz val="11"/>
        <rFont val="Arial"/>
        <family val="2"/>
      </rPr>
      <t>1</t>
    </r>
    <r>
      <rPr>
        <sz val="11"/>
        <rFont val="宋体"/>
        <family val="3"/>
        <charset val="134"/>
      </rPr>
      <t>层小）</t>
    </r>
    <phoneticPr fontId="30" type="noConversion"/>
  </si>
  <si>
    <t>系数</t>
    <phoneticPr fontId="30" type="noConversion"/>
  </si>
  <si>
    <t>修正系数</t>
    <phoneticPr fontId="30" type="noConversion"/>
  </si>
  <si>
    <t>1-2层（1层小）</t>
  </si>
  <si>
    <r>
      <t>15-20</t>
    </r>
    <r>
      <rPr>
        <sz val="11"/>
        <color indexed="8"/>
        <rFont val="宋体"/>
        <family val="3"/>
        <charset val="134"/>
      </rPr>
      <t>（含）</t>
    </r>
    <phoneticPr fontId="30" type="noConversion"/>
  </si>
  <si>
    <r>
      <t>0-5</t>
    </r>
    <r>
      <rPr>
        <sz val="11"/>
        <rFont val="宋体"/>
        <family val="3"/>
        <charset val="134"/>
      </rPr>
      <t>（含）</t>
    </r>
    <phoneticPr fontId="30" type="noConversion"/>
  </si>
  <si>
    <r>
      <t>5-10</t>
    </r>
    <r>
      <rPr>
        <sz val="11"/>
        <rFont val="宋体"/>
        <family val="3"/>
        <charset val="134"/>
      </rPr>
      <t>（含）</t>
    </r>
    <phoneticPr fontId="30" type="noConversion"/>
  </si>
  <si>
    <r>
      <t>15-20</t>
    </r>
    <r>
      <rPr>
        <sz val="11"/>
        <rFont val="宋体"/>
        <family val="3"/>
        <charset val="134"/>
      </rPr>
      <t>（含）</t>
    </r>
    <phoneticPr fontId="30" type="noConversion"/>
  </si>
  <si>
    <r>
      <t>20-25</t>
    </r>
    <r>
      <rPr>
        <sz val="11"/>
        <rFont val="宋体"/>
        <family val="3"/>
        <charset val="134"/>
      </rPr>
      <t>（含）</t>
    </r>
    <phoneticPr fontId="30" type="noConversion"/>
  </si>
  <si>
    <r>
      <t>25-30</t>
    </r>
    <r>
      <rPr>
        <sz val="11"/>
        <rFont val="宋体"/>
        <family val="3"/>
        <charset val="134"/>
      </rPr>
      <t>（含）</t>
    </r>
    <phoneticPr fontId="30" type="noConversion"/>
  </si>
  <si>
    <r>
      <t>30-35</t>
    </r>
    <r>
      <rPr>
        <sz val="11"/>
        <rFont val="宋体"/>
        <family val="3"/>
        <charset val="134"/>
      </rPr>
      <t>（含）</t>
    </r>
    <phoneticPr fontId="30" type="noConversion"/>
  </si>
  <si>
    <r>
      <t>35-40</t>
    </r>
    <r>
      <rPr>
        <sz val="11"/>
        <rFont val="宋体"/>
        <family val="3"/>
        <charset val="134"/>
      </rPr>
      <t>（含）</t>
    </r>
    <phoneticPr fontId="30" type="noConversion"/>
  </si>
  <si>
    <r>
      <t>30-35</t>
    </r>
    <r>
      <rPr>
        <sz val="11"/>
        <color indexed="8"/>
        <rFont val="宋体"/>
        <family val="3"/>
        <charset val="134"/>
      </rPr>
      <t>（含）</t>
    </r>
    <phoneticPr fontId="30" type="noConversion"/>
  </si>
  <si>
    <t>配套商业</t>
  </si>
  <si>
    <t>配套商业</t>
    <phoneticPr fontId="30" type="noConversion"/>
  </si>
  <si>
    <t>纯一层</t>
    <phoneticPr fontId="134" type="noConversion"/>
  </si>
  <si>
    <t>网上查询</t>
    <phoneticPr fontId="30" type="noConversion"/>
  </si>
  <si>
    <t>比较法-商业</t>
  </si>
  <si>
    <t>楼面单价</t>
  </si>
  <si>
    <t>自定义</t>
  </si>
  <si>
    <r>
      <rPr>
        <sz val="11"/>
        <rFont val="宋体"/>
        <family val="3"/>
        <charset val="134"/>
      </rPr>
      <t>修到</t>
    </r>
    <r>
      <rPr>
        <sz val="11"/>
        <rFont val="Arial"/>
        <family val="2"/>
      </rPr>
      <t>1-2</t>
    </r>
    <phoneticPr fontId="30" type="noConversion"/>
  </si>
  <si>
    <r>
      <t>20-25</t>
    </r>
    <r>
      <rPr>
        <sz val="11"/>
        <color indexed="8"/>
        <rFont val="宋体"/>
        <family val="3"/>
        <charset val="134"/>
      </rPr>
      <t>（含）</t>
    </r>
    <phoneticPr fontId="30" type="noConversion"/>
  </si>
  <si>
    <t>融科橄榄城三期</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</si>
</sst>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208" fillId="0" borderId="23"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0" fontId="224" fillId="12" borderId="0" xfId="0" applyFont="1" applyFill="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73" fillId="12" borderId="0" xfId="0" applyFont="1" applyFill="1" applyAlignment="1" applyProtection="1">
      <alignment horizontal="center" vertical="center"/>
      <protection locked="0"/>
    </xf>
    <xf numFmtId="9" fontId="51" fillId="0" borderId="37" xfId="0" applyNumberFormat="1"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175767</xdr:colOff>
      <xdr:row>32</xdr:row>
      <xdr:rowOff>103662</xdr:rowOff>
    </xdr:to>
    <xdr:pic>
      <xdr:nvPicPr>
        <xdr:cNvPr id="2" name="图片 1">
          <a:extLst>
            <a:ext uri="{FF2B5EF4-FFF2-40B4-BE49-F238E27FC236}">
              <a16:creationId xmlns:a16="http://schemas.microsoft.com/office/drawing/2014/main" id="{DBAEFC3A-6AA4-8503-3C79-62C7CE5B2456}"/>
            </a:ext>
          </a:extLst>
        </xdr:cNvPr>
        <xdr:cNvPicPr>
          <a:picLocks noChangeAspect="1"/>
        </xdr:cNvPicPr>
      </xdr:nvPicPr>
      <xdr:blipFill>
        <a:blip xmlns:r="http://schemas.openxmlformats.org/officeDocument/2006/relationships" r:embed="rId1"/>
        <a:stretch>
          <a:fillRect/>
        </a:stretch>
      </xdr:blipFill>
      <xdr:spPr>
        <a:xfrm>
          <a:off x="0" y="0"/>
          <a:ext cx="7490967" cy="5793262"/>
        </a:xfrm>
        <a:prstGeom prst="rect">
          <a:avLst/>
        </a:prstGeom>
      </xdr:spPr>
    </xdr:pic>
    <xdr:clientData/>
  </xdr:twoCellAnchor>
  <xdr:twoCellAnchor editAs="oneCell">
    <xdr:from>
      <xdr:col>12</xdr:col>
      <xdr:colOff>241300</xdr:colOff>
      <xdr:row>0</xdr:row>
      <xdr:rowOff>31750</xdr:rowOff>
    </xdr:from>
    <xdr:to>
      <xdr:col>21</xdr:col>
      <xdr:colOff>383471</xdr:colOff>
      <xdr:row>17</xdr:row>
      <xdr:rowOff>113912</xdr:rowOff>
    </xdr:to>
    <xdr:pic>
      <xdr:nvPicPr>
        <xdr:cNvPr id="3" name="图片 2">
          <a:extLst>
            <a:ext uri="{FF2B5EF4-FFF2-40B4-BE49-F238E27FC236}">
              <a16:creationId xmlns:a16="http://schemas.microsoft.com/office/drawing/2014/main" id="{ACB96109-34F8-4DEB-BF1C-CC75F4B9AE49}"/>
            </a:ext>
          </a:extLst>
        </xdr:cNvPr>
        <xdr:cNvPicPr>
          <a:picLocks noChangeAspect="1"/>
        </xdr:cNvPicPr>
      </xdr:nvPicPr>
      <xdr:blipFill>
        <a:blip xmlns:r="http://schemas.openxmlformats.org/officeDocument/2006/relationships" r:embed="rId2"/>
        <a:stretch>
          <a:fillRect/>
        </a:stretch>
      </xdr:blipFill>
      <xdr:spPr>
        <a:xfrm>
          <a:off x="7556500" y="31750"/>
          <a:ext cx="5628571" cy="3104762"/>
        </a:xfrm>
        <a:prstGeom prst="rect">
          <a:avLst/>
        </a:prstGeom>
      </xdr:spPr>
    </xdr:pic>
    <xdr:clientData/>
  </xdr:twoCellAnchor>
  <xdr:twoCellAnchor editAs="oneCell">
    <xdr:from>
      <xdr:col>0</xdr:col>
      <xdr:colOff>0</xdr:colOff>
      <xdr:row>39</xdr:row>
      <xdr:rowOff>127000</xdr:rowOff>
    </xdr:from>
    <xdr:to>
      <xdr:col>11</xdr:col>
      <xdr:colOff>588243</xdr:colOff>
      <xdr:row>74</xdr:row>
      <xdr:rowOff>125736</xdr:rowOff>
    </xdr:to>
    <xdr:pic>
      <xdr:nvPicPr>
        <xdr:cNvPr id="4" name="图片 3">
          <a:extLst>
            <a:ext uri="{FF2B5EF4-FFF2-40B4-BE49-F238E27FC236}">
              <a16:creationId xmlns:a16="http://schemas.microsoft.com/office/drawing/2014/main" id="{2D04C833-DF37-98E6-25A5-FA0317E2918F}"/>
            </a:ext>
          </a:extLst>
        </xdr:cNvPr>
        <xdr:cNvPicPr>
          <a:picLocks noChangeAspect="1"/>
        </xdr:cNvPicPr>
      </xdr:nvPicPr>
      <xdr:blipFill>
        <a:blip xmlns:r="http://schemas.openxmlformats.org/officeDocument/2006/relationships" r:embed="rId3"/>
        <a:stretch>
          <a:fillRect/>
        </a:stretch>
      </xdr:blipFill>
      <xdr:spPr>
        <a:xfrm>
          <a:off x="0" y="7061200"/>
          <a:ext cx="7293843" cy="6221736"/>
        </a:xfrm>
        <a:prstGeom prst="rect">
          <a:avLst/>
        </a:prstGeom>
      </xdr:spPr>
    </xdr:pic>
    <xdr:clientData/>
  </xdr:twoCellAnchor>
  <xdr:twoCellAnchor editAs="oneCell">
    <xdr:from>
      <xdr:col>12</xdr:col>
      <xdr:colOff>0</xdr:colOff>
      <xdr:row>45</xdr:row>
      <xdr:rowOff>0</xdr:rowOff>
    </xdr:from>
    <xdr:to>
      <xdr:col>21</xdr:col>
      <xdr:colOff>427886</xdr:colOff>
      <xdr:row>64</xdr:row>
      <xdr:rowOff>50371</xdr:rowOff>
    </xdr:to>
    <xdr:pic>
      <xdr:nvPicPr>
        <xdr:cNvPr id="5" name="图片 4">
          <a:extLst>
            <a:ext uri="{FF2B5EF4-FFF2-40B4-BE49-F238E27FC236}">
              <a16:creationId xmlns:a16="http://schemas.microsoft.com/office/drawing/2014/main" id="{F7B04A96-8A5C-6DB2-A933-382406F9B599}"/>
            </a:ext>
          </a:extLst>
        </xdr:cNvPr>
        <xdr:cNvPicPr>
          <a:picLocks noChangeAspect="1"/>
        </xdr:cNvPicPr>
      </xdr:nvPicPr>
      <xdr:blipFill>
        <a:blip xmlns:r="http://schemas.openxmlformats.org/officeDocument/2006/relationships" r:embed="rId4"/>
        <a:stretch>
          <a:fillRect/>
        </a:stretch>
      </xdr:blipFill>
      <xdr:spPr>
        <a:xfrm>
          <a:off x="7315200" y="8001000"/>
          <a:ext cx="5914286" cy="3428571"/>
        </a:xfrm>
        <a:prstGeom prst="rect">
          <a:avLst/>
        </a:prstGeom>
      </xdr:spPr>
    </xdr:pic>
    <xdr:clientData/>
  </xdr:twoCellAnchor>
  <xdr:twoCellAnchor editAs="oneCell">
    <xdr:from>
      <xdr:col>0</xdr:col>
      <xdr:colOff>0</xdr:colOff>
      <xdr:row>83</xdr:row>
      <xdr:rowOff>50800</xdr:rowOff>
    </xdr:from>
    <xdr:to>
      <xdr:col>13</xdr:col>
      <xdr:colOff>245484</xdr:colOff>
      <xdr:row>123</xdr:row>
      <xdr:rowOff>68528</xdr:rowOff>
    </xdr:to>
    <xdr:pic>
      <xdr:nvPicPr>
        <xdr:cNvPr id="6" name="图片 5">
          <a:extLst>
            <a:ext uri="{FF2B5EF4-FFF2-40B4-BE49-F238E27FC236}">
              <a16:creationId xmlns:a16="http://schemas.microsoft.com/office/drawing/2014/main" id="{35036230-0C69-CA82-18AE-52E40FEAAE6F}"/>
            </a:ext>
          </a:extLst>
        </xdr:cNvPr>
        <xdr:cNvPicPr>
          <a:picLocks noChangeAspect="1"/>
        </xdr:cNvPicPr>
      </xdr:nvPicPr>
      <xdr:blipFill>
        <a:blip xmlns:r="http://schemas.openxmlformats.org/officeDocument/2006/relationships" r:embed="rId5"/>
        <a:stretch>
          <a:fillRect/>
        </a:stretch>
      </xdr:blipFill>
      <xdr:spPr>
        <a:xfrm>
          <a:off x="0" y="14808200"/>
          <a:ext cx="8170284" cy="7129728"/>
        </a:xfrm>
        <a:prstGeom prst="rect">
          <a:avLst/>
        </a:prstGeom>
      </xdr:spPr>
    </xdr:pic>
    <xdr:clientData/>
  </xdr:twoCellAnchor>
  <xdr:twoCellAnchor editAs="oneCell">
    <xdr:from>
      <xdr:col>14</xdr:col>
      <xdr:colOff>0</xdr:colOff>
      <xdr:row>93</xdr:row>
      <xdr:rowOff>0</xdr:rowOff>
    </xdr:from>
    <xdr:to>
      <xdr:col>22</xdr:col>
      <xdr:colOff>123200</xdr:colOff>
      <xdr:row>109</xdr:row>
      <xdr:rowOff>40914</xdr:rowOff>
    </xdr:to>
    <xdr:pic>
      <xdr:nvPicPr>
        <xdr:cNvPr id="7" name="图片 6">
          <a:extLst>
            <a:ext uri="{FF2B5EF4-FFF2-40B4-BE49-F238E27FC236}">
              <a16:creationId xmlns:a16="http://schemas.microsoft.com/office/drawing/2014/main" id="{7D171B35-EF0B-40E0-2538-99C0CE3B3626}"/>
            </a:ext>
          </a:extLst>
        </xdr:cNvPr>
        <xdr:cNvPicPr>
          <a:picLocks noChangeAspect="1"/>
        </xdr:cNvPicPr>
      </xdr:nvPicPr>
      <xdr:blipFill>
        <a:blip xmlns:r="http://schemas.openxmlformats.org/officeDocument/2006/relationships" r:embed="rId6"/>
        <a:stretch>
          <a:fillRect/>
        </a:stretch>
      </xdr:blipFill>
      <xdr:spPr>
        <a:xfrm>
          <a:off x="8534400" y="16535400"/>
          <a:ext cx="5000000" cy="2885714"/>
        </a:xfrm>
        <a:prstGeom prst="rect">
          <a:avLst/>
        </a:prstGeom>
      </xdr:spPr>
    </xdr:pic>
    <xdr:clientData/>
  </xdr:twoCellAnchor>
  <xdr:twoCellAnchor editAs="oneCell">
    <xdr:from>
      <xdr:col>19</xdr:col>
      <xdr:colOff>494794</xdr:colOff>
      <xdr:row>21</xdr:row>
      <xdr:rowOff>69850</xdr:rowOff>
    </xdr:from>
    <xdr:to>
      <xdr:col>42</xdr:col>
      <xdr:colOff>461536</xdr:colOff>
      <xdr:row>75</xdr:row>
      <xdr:rowOff>116086</xdr:rowOff>
    </xdr:to>
    <xdr:pic>
      <xdr:nvPicPr>
        <xdr:cNvPr id="9" name="图片 8">
          <a:extLst>
            <a:ext uri="{FF2B5EF4-FFF2-40B4-BE49-F238E27FC236}">
              <a16:creationId xmlns:a16="http://schemas.microsoft.com/office/drawing/2014/main" id="{6DDB7C47-9D1B-7BA9-61FE-A6263CC4BD41}"/>
            </a:ext>
          </a:extLst>
        </xdr:cNvPr>
        <xdr:cNvPicPr>
          <a:picLocks noChangeAspect="1"/>
        </xdr:cNvPicPr>
      </xdr:nvPicPr>
      <xdr:blipFill>
        <a:blip xmlns:r="http://schemas.openxmlformats.org/officeDocument/2006/relationships" r:embed="rId7"/>
        <a:stretch>
          <a:fillRect/>
        </a:stretch>
      </xdr:blipFill>
      <xdr:spPr>
        <a:xfrm>
          <a:off x="12077194" y="3803650"/>
          <a:ext cx="13987542" cy="96474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50800</xdr:rowOff>
    </xdr:from>
    <xdr:to>
      <xdr:col>12</xdr:col>
      <xdr:colOff>475282</xdr:colOff>
      <xdr:row>33</xdr:row>
      <xdr:rowOff>65607</xdr:rowOff>
    </xdr:to>
    <xdr:pic>
      <xdr:nvPicPr>
        <xdr:cNvPr id="2" name="图片 1">
          <a:extLst>
            <a:ext uri="{FF2B5EF4-FFF2-40B4-BE49-F238E27FC236}">
              <a16:creationId xmlns:a16="http://schemas.microsoft.com/office/drawing/2014/main" id="{5CDF95EE-8417-9165-108A-B1D608978322}"/>
            </a:ext>
          </a:extLst>
        </xdr:cNvPr>
        <xdr:cNvPicPr>
          <a:picLocks noChangeAspect="1"/>
        </xdr:cNvPicPr>
      </xdr:nvPicPr>
      <xdr:blipFill>
        <a:blip xmlns:r="http://schemas.openxmlformats.org/officeDocument/2006/relationships" r:embed="rId1"/>
        <a:stretch>
          <a:fillRect/>
        </a:stretch>
      </xdr:blipFill>
      <xdr:spPr>
        <a:xfrm>
          <a:off x="0" y="50800"/>
          <a:ext cx="7790482" cy="5882207"/>
        </a:xfrm>
        <a:prstGeom prst="rect">
          <a:avLst/>
        </a:prstGeom>
      </xdr:spPr>
    </xdr:pic>
    <xdr:clientData/>
  </xdr:twoCellAnchor>
  <xdr:twoCellAnchor editAs="oneCell">
    <xdr:from>
      <xdr:col>0</xdr:col>
      <xdr:colOff>273050</xdr:colOff>
      <xdr:row>36</xdr:row>
      <xdr:rowOff>171450</xdr:rowOff>
    </xdr:from>
    <xdr:to>
      <xdr:col>12</xdr:col>
      <xdr:colOff>293655</xdr:colOff>
      <xdr:row>72</xdr:row>
      <xdr:rowOff>122526</xdr:rowOff>
    </xdr:to>
    <xdr:pic>
      <xdr:nvPicPr>
        <xdr:cNvPr id="3" name="图片 2">
          <a:extLst>
            <a:ext uri="{FF2B5EF4-FFF2-40B4-BE49-F238E27FC236}">
              <a16:creationId xmlns:a16="http://schemas.microsoft.com/office/drawing/2014/main" id="{1E38C35F-BA69-DB70-2226-0EB936D6FDA2}"/>
            </a:ext>
          </a:extLst>
        </xdr:cNvPr>
        <xdr:cNvPicPr>
          <a:picLocks noChangeAspect="1"/>
        </xdr:cNvPicPr>
      </xdr:nvPicPr>
      <xdr:blipFill>
        <a:blip xmlns:r="http://schemas.openxmlformats.org/officeDocument/2006/relationships" r:embed="rId2"/>
        <a:stretch>
          <a:fillRect/>
        </a:stretch>
      </xdr:blipFill>
      <xdr:spPr>
        <a:xfrm>
          <a:off x="273050" y="6572250"/>
          <a:ext cx="7335805" cy="6351876"/>
        </a:xfrm>
        <a:prstGeom prst="rect">
          <a:avLst/>
        </a:prstGeom>
      </xdr:spPr>
    </xdr:pic>
    <xdr:clientData/>
  </xdr:twoCellAnchor>
  <xdr:twoCellAnchor editAs="oneCell">
    <xdr:from>
      <xdr:col>0</xdr:col>
      <xdr:colOff>69850</xdr:colOff>
      <xdr:row>75</xdr:row>
      <xdr:rowOff>82550</xdr:rowOff>
    </xdr:from>
    <xdr:to>
      <xdr:col>11</xdr:col>
      <xdr:colOff>528295</xdr:colOff>
      <xdr:row>113</xdr:row>
      <xdr:rowOff>131993</xdr:rowOff>
    </xdr:to>
    <xdr:pic>
      <xdr:nvPicPr>
        <xdr:cNvPr id="4" name="图片 3">
          <a:extLst>
            <a:ext uri="{FF2B5EF4-FFF2-40B4-BE49-F238E27FC236}">
              <a16:creationId xmlns:a16="http://schemas.microsoft.com/office/drawing/2014/main" id="{10103CDD-2A70-13A5-0F41-D0D1A787830E}"/>
            </a:ext>
          </a:extLst>
        </xdr:cNvPr>
        <xdr:cNvPicPr>
          <a:picLocks noChangeAspect="1"/>
        </xdr:cNvPicPr>
      </xdr:nvPicPr>
      <xdr:blipFill>
        <a:blip xmlns:r="http://schemas.openxmlformats.org/officeDocument/2006/relationships" r:embed="rId3"/>
        <a:stretch>
          <a:fillRect/>
        </a:stretch>
      </xdr:blipFill>
      <xdr:spPr>
        <a:xfrm>
          <a:off x="69850" y="13417550"/>
          <a:ext cx="7164045" cy="6805843"/>
        </a:xfrm>
        <a:prstGeom prst="rect">
          <a:avLst/>
        </a:prstGeom>
      </xdr:spPr>
    </xdr:pic>
    <xdr:clientData/>
  </xdr:twoCellAnchor>
  <xdr:twoCellAnchor editAs="oneCell">
    <xdr:from>
      <xdr:col>0</xdr:col>
      <xdr:colOff>171450</xdr:colOff>
      <xdr:row>118</xdr:row>
      <xdr:rowOff>0</xdr:rowOff>
    </xdr:from>
    <xdr:to>
      <xdr:col>12</xdr:col>
      <xdr:colOff>142369</xdr:colOff>
      <xdr:row>153</xdr:row>
      <xdr:rowOff>11514</xdr:rowOff>
    </xdr:to>
    <xdr:pic>
      <xdr:nvPicPr>
        <xdr:cNvPr id="5" name="图片 4">
          <a:extLst>
            <a:ext uri="{FF2B5EF4-FFF2-40B4-BE49-F238E27FC236}">
              <a16:creationId xmlns:a16="http://schemas.microsoft.com/office/drawing/2014/main" id="{19456DD6-5267-1BD8-1DF3-F4491F00B323}"/>
            </a:ext>
          </a:extLst>
        </xdr:cNvPr>
        <xdr:cNvPicPr>
          <a:picLocks noChangeAspect="1"/>
        </xdr:cNvPicPr>
      </xdr:nvPicPr>
      <xdr:blipFill>
        <a:blip xmlns:r="http://schemas.openxmlformats.org/officeDocument/2006/relationships" r:embed="rId4"/>
        <a:stretch>
          <a:fillRect/>
        </a:stretch>
      </xdr:blipFill>
      <xdr:spPr>
        <a:xfrm>
          <a:off x="171450" y="20980400"/>
          <a:ext cx="7286119" cy="6234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27</xdr:row>
      <xdr:rowOff>146050</xdr:rowOff>
    </xdr:from>
    <xdr:to>
      <xdr:col>17</xdr:col>
      <xdr:colOff>302406</xdr:colOff>
      <xdr:row>55</xdr:row>
      <xdr:rowOff>11550</xdr:rowOff>
    </xdr:to>
    <xdr:pic>
      <xdr:nvPicPr>
        <xdr:cNvPr id="2" name="图片 1">
          <a:extLst>
            <a:ext uri="{FF2B5EF4-FFF2-40B4-BE49-F238E27FC236}">
              <a16:creationId xmlns:a16="http://schemas.microsoft.com/office/drawing/2014/main" id="{4AB40374-CCE7-A43F-1CB3-93FD595FA1A9}"/>
            </a:ext>
          </a:extLst>
        </xdr:cNvPr>
        <xdr:cNvPicPr>
          <a:picLocks noChangeAspect="1"/>
        </xdr:cNvPicPr>
      </xdr:nvPicPr>
      <xdr:blipFill>
        <a:blip xmlns:r="http://schemas.openxmlformats.org/officeDocument/2006/relationships" r:embed="rId1"/>
        <a:stretch>
          <a:fillRect/>
        </a:stretch>
      </xdr:blipFill>
      <xdr:spPr>
        <a:xfrm>
          <a:off x="0" y="4946650"/>
          <a:ext cx="10665606" cy="4843900"/>
        </a:xfrm>
        <a:prstGeom prst="rect">
          <a:avLst/>
        </a:prstGeom>
      </xdr:spPr>
    </xdr:pic>
    <xdr:clientData/>
  </xdr:twoCellAnchor>
  <xdr:twoCellAnchor editAs="oneCell">
    <xdr:from>
      <xdr:col>0</xdr:col>
      <xdr:colOff>0</xdr:colOff>
      <xdr:row>0</xdr:row>
      <xdr:rowOff>0</xdr:rowOff>
    </xdr:from>
    <xdr:to>
      <xdr:col>17</xdr:col>
      <xdr:colOff>37645</xdr:colOff>
      <xdr:row>26</xdr:row>
      <xdr:rowOff>65514</xdr:rowOff>
    </xdr:to>
    <xdr:pic>
      <xdr:nvPicPr>
        <xdr:cNvPr id="3" name="图片 2">
          <a:extLst>
            <a:ext uri="{FF2B5EF4-FFF2-40B4-BE49-F238E27FC236}">
              <a16:creationId xmlns:a16="http://schemas.microsoft.com/office/drawing/2014/main" id="{3AF26F32-7924-7EDA-FA52-ED267051AEFC}"/>
            </a:ext>
          </a:extLst>
        </xdr:cNvPr>
        <xdr:cNvPicPr>
          <a:picLocks noChangeAspect="1"/>
        </xdr:cNvPicPr>
      </xdr:nvPicPr>
      <xdr:blipFill>
        <a:blip xmlns:r="http://schemas.openxmlformats.org/officeDocument/2006/relationships" r:embed="rId2"/>
        <a:stretch>
          <a:fillRect/>
        </a:stretch>
      </xdr:blipFill>
      <xdr:spPr>
        <a:xfrm>
          <a:off x="0" y="0"/>
          <a:ext cx="10400845" cy="46883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北京市朝阳区霞光里66号院甲5号楼1层、2层房地产抵押价值预评估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受贵公司委托，我公司对北京市朝阳区霞光里66号院甲5号楼1层、2层房地产抵押价值进行了预评估。</v>
      </c>
    </row>
    <row r="7" spans="1:2">
      <c r="A7" s="1119" t="s">
        <v>566</v>
      </c>
      <c r="B7" s="1120" t="str">
        <f>'预评函-1'!A7</f>
        <v>估价对象为北京市朝阳区霞光里66号院甲5号楼1层、2层房地产，为雷湘莲所有。根据《国有土地使用证》[]，估价对象（分摊）出让国有建设用地使用权面积为0平方米，建筑面积为589.79平方米。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霞光里66号院甲5号楼1层、2层房地产,属雷湘莲开发建设的商业项目，该项目尚在开发建设中。根据《国有土地使用证》[]，估价对象（分摊）出让国有建设用地使用权面积为0平方米，规划建筑面积为589.79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霞光里66号院甲5号楼1层、2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2025年10月17日</v>
      </c>
    </row>
    <row r="13" spans="1:2">
      <c r="A13" s="1119" t="s">
        <v>529</v>
      </c>
      <c r="B13" s="1120" t="str">
        <f>'预评函-1'!A18</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1899</v>
      </c>
    </row>
    <row r="21" spans="1:2">
      <c r="A21" s="1119" t="s">
        <v>537</v>
      </c>
      <c r="B21" s="1120">
        <f ca="1">'预评函-2'!D7</f>
        <v>32195</v>
      </c>
    </row>
    <row r="22" spans="1:2">
      <c r="A22" s="1119" t="s">
        <v>538</v>
      </c>
      <c r="B22" s="1120" t="str">
        <f ca="1">'预评函-2'!D6</f>
        <v>壹仟捌佰玖拾玖万元整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1899</v>
      </c>
    </row>
    <row r="31" spans="1:2">
      <c r="A31" s="1119" t="s">
        <v>576</v>
      </c>
      <c r="B31" s="1120">
        <f ca="1">'预评函-2'!D15</f>
        <v>32195</v>
      </c>
    </row>
    <row r="32" spans="1:2">
      <c r="A32" s="1119" t="s">
        <v>543</v>
      </c>
      <c r="B32" s="1120" t="str">
        <f ca="1">'预评函-2'!D14</f>
        <v>壹仟捌佰玖拾玖万元整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北京市朝阳区霞光里66号院甲5号楼1层、2层房地产</v>
      </c>
    </row>
    <row r="42" spans="1:2" ht="30">
      <c r="A42" s="1119" t="s">
        <v>590</v>
      </c>
      <c r="B42" s="1120" t="str">
        <f>'预评函-3'!B2</f>
        <v>建筑面积</v>
      </c>
    </row>
    <row r="43" spans="1:2">
      <c r="A43" s="1119" t="s">
        <v>591</v>
      </c>
      <c r="B43" s="1120">
        <f>'预评函-3'!B4</f>
        <v>589.79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霞光里66号院甲5号楼1层、2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45947</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1.17</v>
      </c>
      <c r="D5" s="2766">
        <f>IF(ISERROR(ROUND(POWER(1+E5,A5-C5)*(POWER(1+E5,C5)-1)/(POWER(1+E5,A5)-1),3)),0,ROUND(POWER(1+E5,A5-C5)*(POWER(1+E5,C5)-1)/(POWER(1+E5,A5)-1),4))</f>
        <v>5.67E-2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11.18</v>
      </c>
      <c r="D6" s="2766">
        <f>IF(ISERROR(ROUND(POWER(1+E6,A6-C6)*(POWER(1+E6,C6)-1)/(POWER(1+E6,A6)-1),3)),0,ROUND(POWER(1+E6,A6-C6)*(POWER(1+E6,C6)-1)/(POWER(1+E6,A6)-1),4))</f>
        <v>0.41310000000000002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31.19</v>
      </c>
      <c r="D7" s="2766">
        <f>IF(ISERROR(ROUND(POWER(1+E7,A7-C7)*(POWER(1+E7,C7)-1)/(POWER(1+E7,A7)-1),3)),0,ROUND(POWER(1+E7,A7-C7)*(POWER(1+E7,C7)-1)/(POWER(1+E7,A7)-1),4))</f>
        <v>0.75419999999999998</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北京市朝阳区霞光里66号院甲5号楼1层、2层房地产抵押价值预评估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北京市朝阳区霞光里66号院甲5号楼1层、2层房地产抵押价值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北京市朝阳区霞光里66号院甲5号楼1层、2层房地产</v>
      </c>
      <c r="T2" s="1618"/>
      <c r="U2" s="1618"/>
      <c r="V2" s="1618"/>
      <c r="W2" s="1618"/>
      <c r="X2" s="1618"/>
      <c r="Y2" s="1618"/>
      <c r="Z2" s="1618"/>
      <c r="AA2" s="1618"/>
      <c r="AB2" s="1618"/>
    </row>
    <row r="3" spans="1:30" ht="13">
      <c r="A3" s="294" t="s">
        <v>2170</v>
      </c>
      <c r="B3" s="2185"/>
      <c r="C3" s="2186" t="s">
        <v>2171</v>
      </c>
      <c r="D3" s="2185">
        <v>45947</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0"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1"/>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506" t="s">
        <v>3422</v>
      </c>
      <c r="G10" s="2443"/>
      <c r="H10" s="2444"/>
      <c r="I10" s="2445"/>
      <c r="J10" s="2244"/>
      <c r="K10" s="2401"/>
      <c r="L10" s="2398"/>
      <c r="M10" s="2398"/>
      <c r="N10" s="2244"/>
      <c r="O10" s="1670"/>
      <c r="P10" s="2244"/>
      <c r="Q10" s="2244"/>
      <c r="R10" s="2244"/>
    </row>
    <row r="11" spans="1:30" ht="13">
      <c r="A11" s="2212" t="s">
        <v>2181</v>
      </c>
      <c r="B11" s="2213" t="s">
        <v>3420</v>
      </c>
      <c r="C11" s="3505" t="s">
        <v>3421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v>52518</v>
      </c>
      <c r="E13" s="3516" t="s">
        <v>3489</v>
      </c>
      <c r="F13" s="803"/>
      <c r="G13" s="803"/>
      <c r="H13" s="803"/>
      <c r="I13" s="803"/>
      <c r="J13" s="2801"/>
      <c r="K13" s="2398"/>
      <c r="L13" s="2398"/>
      <c r="M13" s="2244"/>
      <c r="N13" s="1670"/>
      <c r="O13" s="2244"/>
      <c r="P13" s="2244"/>
      <c r="Q13" s="2244"/>
      <c r="AD13" s="1618"/>
    </row>
    <row r="14" spans="1:30" ht="13">
      <c r="A14" s="1018"/>
      <c r="B14" s="2217" t="s">
        <v>2191</v>
      </c>
      <c r="C14" s="2218"/>
      <c r="D14" s="2218">
        <v>40</v>
      </c>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18</v>
      </c>
      <c r="E15" s="2220" t="e">
        <f>IF(A13="出让",IF(E13="","",ROUNDDOWN(MIN((E13-$D$3)/365,E14),2)),E14)</f>
        <v>#VALUE!</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27"/>
      <c r="C16" s="3228"/>
      <c r="D16" s="3229"/>
      <c r="E16" s="2221" t="s">
        <v>2194</v>
      </c>
      <c r="F16" s="3230"/>
      <c r="G16" s="3231"/>
      <c r="H16" s="3231"/>
      <c r="I16" s="3232"/>
      <c r="J16" s="2244"/>
      <c r="K16" s="2402"/>
      <c r="L16" s="1670"/>
      <c r="M16" s="1670"/>
      <c r="N16" s="2244"/>
      <c r="O16" s="1670"/>
      <c r="P16" s="2244"/>
      <c r="Q16" s="2244"/>
      <c r="R16" s="2244"/>
    </row>
    <row r="17" spans="1:28" ht="13">
      <c r="A17" s="305" t="s">
        <v>2195</v>
      </c>
      <c r="B17" s="294" t="s">
        <v>2196</v>
      </c>
      <c r="C17" s="8">
        <f>'数据-汇总表'!E3</f>
        <v>589.79</v>
      </c>
      <c r="D17" s="1256" t="s">
        <v>2197</v>
      </c>
      <c r="E17" s="3233" t="s">
        <v>2198</v>
      </c>
      <c r="F17" s="3234"/>
      <c r="G17" s="3234"/>
      <c r="H17" s="3234"/>
      <c r="I17" s="3235"/>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36" t="s">
        <v>2202</v>
      </c>
      <c r="F18" s="3237"/>
      <c r="G18" s="3237"/>
      <c r="H18" s="3237"/>
      <c r="I18" s="3238"/>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3425</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1" t="s">
        <v>2214</v>
      </c>
      <c r="B27" s="312" t="s">
        <v>2215</v>
      </c>
      <c r="C27" s="2224" t="s">
        <v>3423</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t="s">
        <v>3424</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t="s">
        <v>184</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t="s">
        <v>230</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589.79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589.79</v>
      </c>
      <c r="H5" s="13">
        <f t="shared" ref="H5:AT5" si="0">SUM(H13:H656)</f>
        <v>589.79</v>
      </c>
      <c r="I5" s="13">
        <f t="shared" si="0"/>
        <v>589.79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589.79</v>
      </c>
      <c r="BA5" s="15">
        <f t="shared" si="1"/>
        <v>589.79</v>
      </c>
      <c r="BB5" s="15">
        <f t="shared" si="1"/>
        <v>589.79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628" t="s">
        <v>3426</v>
      </c>
      <c r="D13" s="1513" t="s">
        <v>3425</v>
      </c>
      <c r="E13" s="13">
        <f>IF($C$3="是",ROUND($A$3*G13/$B$3,2),ROUND($A$3*(G13-AT13)/$B$3,2))</f>
        <v>0</v>
      </c>
      <c r="F13" s="29"/>
      <c r="G13" s="30">
        <f>H13+AC13+AT13</f>
        <v>303.72000000000003</v>
      </c>
      <c r="H13" s="17">
        <f>SUMIF(I$12:AB$12,"总值",I13:AB13)</f>
        <v>303.72000000000003</v>
      </c>
      <c r="I13" s="1514">
        <v>303.72000000000003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v>
      </c>
      <c r="AY13" s="1260">
        <f>ROUND($AY$6*AZ13/$AZ$5,2)</f>
        <v>0</v>
      </c>
      <c r="AZ13" s="13">
        <f>BA13+BL13</f>
        <v>303.72000000000003</v>
      </c>
      <c r="BA13" s="13">
        <f>SUM(BB13:BK13)</f>
        <v>303.72000000000003</v>
      </c>
      <c r="BB13" s="13">
        <f>IF($D13="是",I13-J13,0)</f>
        <v>303.72000000000003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
      <c r="A14" s="628"/>
      <c r="B14" s="628"/>
      <c r="C14" s="1462" t="s">
        <v>3427</v>
      </c>
      <c r="D14" s="1513" t="s">
        <v>3425</v>
      </c>
      <c r="E14" s="13">
        <f>IF($C$3="是",ROUND($A$3*G14/$B$3,2),ROUND($A$3*(G14-AT14)/$B$3,2))</f>
        <v>0</v>
      </c>
      <c r="F14" s="29"/>
      <c r="G14" s="30">
        <f>H14+AC14+AT14</f>
        <v>286.07</v>
      </c>
      <c r="H14" s="17">
        <f>SUMIF(I$12:AB$12,"总值",I14:AB14)</f>
        <v>286.07</v>
      </c>
      <c r="I14" s="1514">
        <v>286.07</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v>
      </c>
      <c r="AY14" s="1260">
        <f>ROUND($AY$6*AZ14/$AZ$5,2)</f>
        <v>0</v>
      </c>
      <c r="AZ14" s="13">
        <f>BA14+BL14</f>
        <v>286.07</v>
      </c>
      <c r="BA14" s="13">
        <f>SUM(BB14:BK14)</f>
        <v>286.07</v>
      </c>
      <c r="BB14" s="13">
        <f>IF($D14="是",I14-J14,0)</f>
        <v>286.07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8" t="s">
        <v>1131</v>
      </c>
      <c r="B2" s="3248"/>
      <c r="C2" s="3248"/>
      <c r="D2" s="748" t="s">
        <v>1107</v>
      </c>
      <c r="E2" s="1523" t="s">
        <v>1108</v>
      </c>
      <c r="F2" s="2438"/>
      <c r="G2" s="2431"/>
      <c r="H2" s="2432"/>
      <c r="I2" s="2146" t="s">
        <v>1132</v>
      </c>
      <c r="J2" s="2438"/>
      <c r="K2" s="2438"/>
      <c r="L2" s="2438"/>
      <c r="M2" s="2438"/>
      <c r="N2" s="2439"/>
      <c r="O2" s="2438"/>
      <c r="P2" s="2438"/>
    </row>
    <row r="3" spans="1:16" ht="14.5" thickBot="1">
      <c r="A3" s="3249" t="s">
        <v>1105</v>
      </c>
      <c r="B3" s="3249"/>
      <c r="C3" s="3249"/>
      <c r="D3" s="41">
        <f>'数据-基础表'!AY6</f>
        <v>0</v>
      </c>
      <c r="E3" s="41">
        <f>'数据-基础表'!AZ5</f>
        <v>589.79</v>
      </c>
      <c r="F3" s="2438"/>
      <c r="G3" s="42"/>
      <c r="H3" s="43" t="s">
        <v>1106</v>
      </c>
      <c r="I3" s="802" t="e">
        <f>ROUND('数据-基础表'!B3/'数据-基础表'!A3,2)</f>
        <v>#DIV/0!</v>
      </c>
      <c r="J3" s="2438"/>
      <c r="K3" s="2438"/>
      <c r="L3" s="2438"/>
      <c r="M3" s="2438"/>
      <c r="N3" s="2439"/>
      <c r="O3" s="2438"/>
      <c r="P3" s="2438"/>
    </row>
    <row r="4" spans="1:16">
      <c r="A4" s="3250"/>
      <c r="B4" s="3251"/>
      <c r="C4" s="325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53" t="s">
        <v>1111</v>
      </c>
      <c r="C6" s="3253"/>
      <c r="D6" s="43">
        <f>ROUND($D$3*E6/$E$3,2)</f>
        <v>0</v>
      </c>
      <c r="E6" s="44">
        <f>E3-E5</f>
        <v>589.79</v>
      </c>
      <c r="F6" s="2438"/>
      <c r="G6" s="1529" t="s">
        <v>1112</v>
      </c>
      <c r="H6" s="45" t="s">
        <v>1113</v>
      </c>
      <c r="I6" s="2434" t="e">
        <f>ROUND(F31/D31,2)</f>
        <v>#DIV/0!</v>
      </c>
      <c r="J6" s="2438"/>
      <c r="K6" s="2438"/>
      <c r="L6" s="2438"/>
      <c r="M6" s="2438"/>
      <c r="N6" s="2438"/>
      <c r="O6" s="2438"/>
      <c r="P6" s="2438"/>
    </row>
    <row r="7" spans="1:16" ht="14.5" thickBot="1">
      <c r="A7" s="3245"/>
      <c r="B7" s="3246"/>
      <c r="C7" s="3247"/>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589.79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589.79</v>
      </c>
      <c r="F16" s="2438"/>
      <c r="G16" s="2438"/>
      <c r="H16" s="1531" t="s">
        <v>1135</v>
      </c>
      <c r="I16" s="1532"/>
      <c r="J16" s="1071"/>
      <c r="K16" s="3242" t="s">
        <v>1135</v>
      </c>
      <c r="L16" s="3243"/>
      <c r="M16" s="3243"/>
      <c r="N16" s="3243"/>
      <c r="O16" s="3243"/>
      <c r="P16" s="3244"/>
    </row>
    <row r="17" spans="1:19">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3429</v>
      </c>
      <c r="D19" s="43">
        <f>ROUND($D$3*E19/$E$3,2)</f>
        <v>0</v>
      </c>
      <c r="E19" s="51">
        <f t="shared" ref="E19:E26" si="1">SUM(F19:G19)</f>
        <v>589.79</v>
      </c>
      <c r="F19" s="2556">
        <f>'数据-基础表'!B3</f>
        <v>589.79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589.79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589.79</v>
      </c>
      <c r="F27" s="1072">
        <f>IF(SUM(F19:F26)=E8,SUM(F19:F26),"地上面积有误")</f>
        <v>589.79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589.79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589.79</v>
      </c>
      <c r="F31" s="644">
        <f>F27+F30</f>
        <v>589.79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P22" sqref="P22"/>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45947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52518</v>
      </c>
      <c r="F6" s="61">
        <f>SUMIF(项目基本情况!C$12:I$12,C6,项目基本情况!C$15:I$15)</f>
        <v>18</v>
      </c>
      <c r="G6" s="62">
        <f>IF(ISERROR(ROUND(POWER(1+H6,D6-F6)*(POWER(1+H6,F6)-1)/(POWER(1+H6,D6)-1),3)),0,ROUND(POWER(1+H6,D6-F6)*(POWER(1+H6,F6)-1)/(POWER(1+H6,D6)-1),3))</f>
        <v>0.68100000000000005</v>
      </c>
      <c r="H6" s="691">
        <v>0.05</v>
      </c>
      <c r="I6" s="691">
        <v>5.5E-2</v>
      </c>
      <c r="J6" s="63">
        <v>7.0000000000000007E-2</v>
      </c>
      <c r="K6" s="970">
        <f>SUMIF('数据-汇总表'!C$19:C$33,A6,'数据-汇总表'!E$19:E$33)</f>
        <v>589.79</v>
      </c>
      <c r="L6" s="692">
        <v>4500</v>
      </c>
      <c r="M6" s="64">
        <f t="shared" ref="M6:M14" si="0">ROUND(K6*L6/10000,0)</f>
        <v>265</v>
      </c>
      <c r="N6" s="690">
        <f>N21</f>
        <v>0.74</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f>U19</f>
        <v>3.72</v>
      </c>
      <c r="V6" s="67">
        <v>0.02</v>
      </c>
      <c r="W6" s="67">
        <v>0.1</v>
      </c>
      <c r="X6" s="979"/>
      <c r="Y6" s="68">
        <f>N6</f>
        <v>0.74</v>
      </c>
      <c r="Z6" s="69"/>
      <c r="AA6" s="63"/>
      <c r="AB6" s="63"/>
      <c r="AC6" s="979"/>
      <c r="AD6" s="70"/>
      <c r="AE6" s="980">
        <f ca="1">IF(AN6="",0,SUMIF(INDIRECT("'"&amp;AN6&amp;"'"&amp;"!E:E"),$AE$5,INDIRECT("'"&amp;AN6&amp;"'"&amp;"!F:F")))</f>
        <v>18</v>
      </c>
      <c r="AF6" s="74"/>
      <c r="AG6" s="130">
        <f>IF(AF6="",0,AE6-AF6)</f>
        <v>0</v>
      </c>
      <c r="AH6" s="71"/>
      <c r="AI6" s="73">
        <v>365</v>
      </c>
      <c r="AJ6" s="74"/>
      <c r="AK6" s="75">
        <v>0.01</v>
      </c>
      <c r="AL6" s="76">
        <v>1E-3</v>
      </c>
      <c r="AM6" s="77">
        <v>0.01</v>
      </c>
      <c r="AN6" s="1589" t="s">
        <v>3437</v>
      </c>
      <c r="AO6" s="50">
        <f ca="1">SUMIF(INDIRECT("'"&amp;AN6&amp;"'"&amp;"!A:A"),"总价",INDIRECT("'"&amp;AN6&amp;"'"&amp;"!B:B"))</f>
        <v>854.18190000000004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0.68100000000000005</v>
      </c>
      <c r="H16" s="84">
        <f>ROUND(SUMPRODUCT(H6:H13,K6:K13)/SUMPRODUCT((H6:H13&gt;0)*(K6:K13)),3)</f>
        <v>0.05</v>
      </c>
      <c r="I16" s="85"/>
      <c r="J16" s="85"/>
      <c r="K16" s="86">
        <f>SUM(K6:K15)</f>
        <v>589.79</v>
      </c>
      <c r="L16" s="87">
        <f>ROUND(M16*10000/SUM(K6:K14),0)</f>
        <v>4493</v>
      </c>
      <c r="M16" s="87">
        <f>SUM(M6:M14)</f>
        <v>265</v>
      </c>
      <c r="N16" s="88">
        <f>ROUND(SUMPRODUCT(M6:M14,N6:N14)/M16,3)</f>
        <v>0.74</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508" t="s">
        <v>3431</v>
      </c>
      <c r="N18" s="2447">
        <v>2005</v>
      </c>
      <c r="O18" s="3508" t="s">
        <v>3432</v>
      </c>
      <c r="P18" s="2447"/>
      <c r="Q18" s="2447"/>
      <c r="R18" s="2447"/>
      <c r="S18" s="2447"/>
      <c r="T18" s="3508" t="s">
        <v>3442</v>
      </c>
      <c r="U18" s="2447">
        <v>800000</v>
      </c>
      <c r="V18" s="3508" t="s">
        <v>3443</v>
      </c>
      <c r="W18" s="3508" t="s">
        <v>3444</v>
      </c>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3508" t="s">
        <v>3434</v>
      </c>
      <c r="N19" s="2447">
        <f>ROUND(1-(1-0)*(2025-N18)/60,2)</f>
        <v>0.67</v>
      </c>
      <c r="O19" s="2447"/>
      <c r="P19" s="2447"/>
      <c r="Q19" s="2447"/>
      <c r="R19" s="2447"/>
      <c r="S19" s="2447"/>
      <c r="T19" s="2447"/>
      <c r="U19" s="2447">
        <f>ROUND(U18/365/'数据-汇总表'!E19,2)</f>
        <v>3.72</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3508" t="s">
        <v>3435</v>
      </c>
      <c r="N20" s="2447">
        <v>0.8</v>
      </c>
      <c r="O20" s="2447"/>
      <c r="P20" s="3508" t="s">
        <v>3488</v>
      </c>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3508" t="s">
        <v>3436</v>
      </c>
      <c r="N21" s="2447">
        <f>ROUND((N19+N20)/2,2)</f>
        <v>0.74</v>
      </c>
      <c r="O21" s="2447"/>
      <c r="P21" s="3515">
        <f>N18-B20+40</f>
        <v>2043</v>
      </c>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507" t="s">
        <v>3430</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12</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110</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f>C57</f>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4" t="s">
        <v>2286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6" sqref="D16"/>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589.79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45947</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1899</v>
      </c>
      <c r="C5" s="2299">
        <f ca="1">IF(B5=D14,结果表!H102,ROUND(B5*10000/$B$1,0))</f>
        <v>32195</v>
      </c>
      <c r="D5" s="2299" t="e">
        <f ca="1">ROUND(B5*10000/$B$2,0)</f>
        <v>#DIV/0!</v>
      </c>
      <c r="E5" s="2460"/>
      <c r="F5" s="2461"/>
      <c r="G5" s="2461"/>
      <c r="H5" s="2461"/>
      <c r="I5" s="2461"/>
      <c r="J5" s="2461"/>
      <c r="K5" s="2461"/>
    </row>
    <row r="6" spans="1:11" ht="16.5">
      <c r="A6" s="2299" t="s">
        <v>656</v>
      </c>
      <c r="B6" s="2299">
        <f ca="1">SUM(G14:G23)</f>
        <v>1899</v>
      </c>
      <c r="C6" s="2299">
        <f ca="1">IF(B6=G14,结果表!H108,ROUND(B6*10000/$B$1,0))</f>
        <v>32195</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589.79</v>
      </c>
      <c r="C14" s="2305"/>
      <c r="D14" s="2305">
        <f ca="1">结果表!H118</f>
        <v>1899</v>
      </c>
      <c r="E14" s="2305">
        <f ca="1">结果表!I118</f>
        <v>32195</v>
      </c>
      <c r="F14" s="2305" t="e">
        <f ca="1">ROUND(D14*10000/C14,0)</f>
        <v>#DIV/0!</v>
      </c>
      <c r="G14" s="2305">
        <f ca="1">D14</f>
        <v>1899</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37" zoomScaleNormal="100" zoomScaleSheetLayoutView="100" zoomScalePageLayoutView="80" workbookViewId="0">
      <selection activeCell="E14" sqref="E1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t="s">
        <v>3424</v>
      </c>
      <c r="H1" s="1621" t="str">
        <f>IF(G1="现房","——","估价对象范围")</f>
        <v>——</v>
      </c>
      <c r="I1" s="1622"/>
    </row>
    <row r="2" spans="1:12" ht="21.75" customHeight="1" thickBot="1">
      <c r="A2" s="3290" t="str">
        <f>项目基本情况!S2</f>
        <v>北京市朝阳区霞光里66号院甲5号楼1层、2层房地产</v>
      </c>
      <c r="B2" s="3291"/>
      <c r="C2" s="3291"/>
      <c r="D2" s="3291"/>
      <c r="E2" s="3291"/>
      <c r="F2" s="3291"/>
      <c r="G2" s="3291"/>
      <c r="H2" s="3291"/>
      <c r="I2" s="3292"/>
    </row>
    <row r="3" spans="1:12" ht="13">
      <c r="A3" s="3294" t="s">
        <v>1264</v>
      </c>
      <c r="B3" s="3295"/>
      <c r="C3" s="3295"/>
      <c r="D3" s="3295"/>
      <c r="E3" s="3295"/>
      <c r="F3" s="3295"/>
      <c r="G3" s="3295"/>
      <c r="H3" s="3295"/>
      <c r="I3" s="3295"/>
    </row>
    <row r="4" spans="1:12" ht="14">
      <c r="A4" s="1624" t="s">
        <v>1265</v>
      </c>
      <c r="B4" s="1625" t="s">
        <v>1266</v>
      </c>
      <c r="C4" s="1626" t="s">
        <v>3526</v>
      </c>
      <c r="D4" s="1626" t="s">
        <v>3437</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0" t="s">
        <v>1268</v>
      </c>
      <c r="B5" s="3257">
        <v>25</v>
      </c>
      <c r="C5" s="3273"/>
      <c r="D5" s="3293"/>
      <c r="E5" s="123" t="s">
        <v>1269</v>
      </c>
      <c r="F5" s="1627"/>
      <c r="G5" s="1627"/>
      <c r="H5" s="1627"/>
      <c r="I5" s="1281"/>
    </row>
    <row r="6" spans="1:12" ht="13">
      <c r="A6" s="3270"/>
      <c r="B6" s="3257"/>
      <c r="C6" s="3274"/>
      <c r="D6" s="3293"/>
      <c r="E6" s="123" t="s">
        <v>1270</v>
      </c>
      <c r="F6" s="1627"/>
      <c r="G6" s="1627"/>
      <c r="H6" s="1627"/>
      <c r="I6" s="1281"/>
    </row>
    <row r="7" spans="1:12" ht="13">
      <c r="A7" s="3270"/>
      <c r="B7" s="3257"/>
      <c r="C7" s="3275"/>
      <c r="D7" s="3293"/>
      <c r="E7" s="123" t="s">
        <v>1271</v>
      </c>
      <c r="F7" s="1627"/>
      <c r="G7" s="1627"/>
      <c r="H7" s="1627"/>
      <c r="I7" s="1281"/>
    </row>
    <row r="8" spans="1:12" ht="13">
      <c r="A8" s="3270" t="s">
        <v>1272</v>
      </c>
      <c r="B8" s="3257">
        <v>15</v>
      </c>
      <c r="C8" s="3273"/>
      <c r="D8" s="3293"/>
      <c r="E8" s="123" t="s">
        <v>1273</v>
      </c>
      <c r="F8" s="1627"/>
      <c r="G8" s="1627"/>
      <c r="H8" s="1627"/>
      <c r="I8" s="1281"/>
    </row>
    <row r="9" spans="1:12" ht="13">
      <c r="A9" s="3270"/>
      <c r="B9" s="3257"/>
      <c r="C9" s="3275"/>
      <c r="D9" s="3293"/>
      <c r="E9" s="123" t="s">
        <v>1274</v>
      </c>
      <c r="F9" s="1627"/>
      <c r="G9" s="1627"/>
      <c r="H9" s="1627"/>
      <c r="I9" s="1281"/>
    </row>
    <row r="10" spans="1:12" ht="13">
      <c r="A10" s="3270" t="s">
        <v>1275</v>
      </c>
      <c r="B10" s="3257">
        <v>15</v>
      </c>
      <c r="C10" s="3273"/>
      <c r="D10" s="3293"/>
      <c r="E10" s="123" t="s">
        <v>1276</v>
      </c>
      <c r="F10" s="1627"/>
      <c r="G10" s="1627"/>
      <c r="H10" s="1627"/>
      <c r="I10" s="1281"/>
    </row>
    <row r="11" spans="1:12" ht="13">
      <c r="A11" s="3270"/>
      <c r="B11" s="3257"/>
      <c r="C11" s="3275"/>
      <c r="D11" s="3293"/>
      <c r="E11" s="123" t="s">
        <v>1277</v>
      </c>
      <c r="F11" s="1627"/>
      <c r="G11" s="1627"/>
      <c r="H11" s="1627"/>
      <c r="I11" s="1281"/>
    </row>
    <row r="12" spans="1:12" ht="13">
      <c r="A12" s="3270" t="s">
        <v>1278</v>
      </c>
      <c r="B12" s="3257">
        <v>15</v>
      </c>
      <c r="C12" s="3273"/>
      <c r="D12" s="3293"/>
      <c r="E12" s="123" t="s">
        <v>1279</v>
      </c>
      <c r="F12" s="1627"/>
      <c r="G12" s="1627"/>
      <c r="H12" s="1627"/>
      <c r="I12" s="1281"/>
    </row>
    <row r="13" spans="1:12" ht="13">
      <c r="A13" s="3270"/>
      <c r="B13" s="3257"/>
      <c r="C13" s="3275"/>
      <c r="D13" s="3293"/>
      <c r="E13" s="123" t="s">
        <v>1280</v>
      </c>
      <c r="F13" s="1627"/>
      <c r="G13" s="1627"/>
      <c r="H13" s="1627"/>
      <c r="I13" s="1281"/>
    </row>
    <row r="14" spans="1:12" ht="13">
      <c r="A14" s="3270" t="s">
        <v>1281</v>
      </c>
      <c r="B14" s="3257">
        <v>30</v>
      </c>
      <c r="C14" s="3273">
        <v>6</v>
      </c>
      <c r="D14" s="3293">
        <v>4</v>
      </c>
      <c r="E14" s="123" t="s">
        <v>1282</v>
      </c>
      <c r="F14" s="1627"/>
      <c r="G14" s="1627"/>
      <c r="H14" s="1627"/>
      <c r="I14" s="1281"/>
    </row>
    <row r="15" spans="1:12" ht="13">
      <c r="A15" s="3270"/>
      <c r="B15" s="3257"/>
      <c r="C15" s="3274"/>
      <c r="D15" s="3293"/>
      <c r="E15" s="123" t="s">
        <v>1283</v>
      </c>
      <c r="F15" s="1627"/>
      <c r="G15" s="1627"/>
      <c r="H15" s="1627"/>
      <c r="I15" s="1281"/>
    </row>
    <row r="16" spans="1:12" ht="13">
      <c r="A16" s="3270"/>
      <c r="B16" s="3257"/>
      <c r="C16" s="3275"/>
      <c r="D16" s="3293"/>
      <c r="E16" s="123" t="s">
        <v>1284</v>
      </c>
      <c r="F16" s="1627"/>
      <c r="G16" s="1627"/>
      <c r="H16" s="1627"/>
      <c r="I16" s="1281"/>
    </row>
    <row r="17" spans="1:36" ht="14">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80" t="s">
        <v>2131</v>
      </c>
      <c r="F18" s="3281"/>
      <c r="G18" s="3281"/>
      <c r="H18" s="3281"/>
      <c r="I18" s="3281"/>
      <c r="K18" s="294" t="s">
        <v>1289</v>
      </c>
      <c r="L18" s="294">
        <f>IF(C1="",'数据-汇总表'!E3,SUMIF(项目类型,C1,'数据-汇总表'!E17:E26)+SUMIF(项目类型,C1,'数据-汇总表'!I17:I26))</f>
        <v>589.79</v>
      </c>
      <c r="M18" s="294">
        <f>IF(C1="",'数据-汇总表'!E3,SUMIF(项目类型,C1,'数据-汇总表'!E17:E26))</f>
        <v>589.79</v>
      </c>
    </row>
    <row r="19" spans="1:36" ht="14">
      <c r="A19" s="1630" t="s">
        <v>1290</v>
      </c>
      <c r="B19" s="1631" t="s">
        <v>1291</v>
      </c>
      <c r="C19" s="126">
        <f ca="1">SUMIF(INDIRECT("'"&amp;C4&amp;"'"&amp;"!A:A"),结果表!B19,INDIRECT("'"&amp;C4&amp;"'"&amp;"!B:B"))</f>
        <v>2595.2529</v>
      </c>
      <c r="D19" s="127">
        <f ca="1">SUMIF(INDIRECT("'"&amp;D4&amp;"'"&amp;"!A:A"),结果表!B19,INDIRECT("'"&amp;D4&amp;"'"&amp;"!B:B"))</f>
        <v>854.18190000000004</v>
      </c>
      <c r="E19" s="1630" t="s">
        <v>1292</v>
      </c>
      <c r="F19" s="1631" t="s">
        <v>1291</v>
      </c>
      <c r="G19" s="128">
        <f ca="1">ROUND(C19*$C$18+D19*$D$18,0)</f>
        <v>1899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44003</v>
      </c>
      <c r="D20" s="130">
        <f ca="1">SUMIF(INDIRECT("'"&amp;D4&amp;"'"&amp;"!A:A"),结果表!B20,INDIRECT("'"&amp;D4&amp;"'"&amp;"!B:B"))</f>
        <v>14483</v>
      </c>
      <c r="E20" s="1633"/>
      <c r="F20" s="43" t="s">
        <v>1295</v>
      </c>
      <c r="G20" s="131">
        <f ca="1">ROUND(C20*$C$18+D20*$D$18,0)</f>
        <v>32195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2.0382906732160913</v>
      </c>
      <c r="E22" s="121"/>
      <c r="F22" s="121"/>
      <c r="G22" s="121"/>
      <c r="H22" s="121"/>
      <c r="I22" s="121"/>
    </row>
    <row r="23" spans="1:36" ht="13" thickBot="1">
      <c r="A23" s="646"/>
      <c r="B23" s="646"/>
      <c r="C23" s="646"/>
      <c r="D23" s="646"/>
      <c r="E23" s="121"/>
      <c r="F23" s="121"/>
      <c r="G23" s="121"/>
      <c r="H23" s="121"/>
      <c r="I23" s="121"/>
    </row>
    <row r="24" spans="1:36" ht="14">
      <c r="A24" s="3264" t="s">
        <v>1299</v>
      </c>
      <c r="B24" s="1631" t="s">
        <v>1291</v>
      </c>
      <c r="C24" s="128">
        <f>IF(B30=0,0,D30)</f>
        <v>0</v>
      </c>
      <c r="D24" s="1637"/>
      <c r="E24" s="121"/>
      <c r="F24" s="121"/>
      <c r="G24" s="121"/>
      <c r="H24" s="121"/>
      <c r="I24" s="121"/>
    </row>
    <row r="25" spans="1:36" ht="14">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32195</v>
      </c>
      <c r="D32" s="1641" t="s">
        <v>3527</v>
      </c>
      <c r="E32" s="121"/>
      <c r="F32" s="121"/>
      <c r="G32" s="121"/>
      <c r="H32" s="121"/>
      <c r="I32" s="121"/>
    </row>
    <row r="33" spans="1:15" ht="14">
      <c r="A33" s="740" t="s">
        <v>1306</v>
      </c>
      <c r="B33" s="123"/>
      <c r="C33" s="1642" t="s">
        <v>3528</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84" t="s">
        <v>1312</v>
      </c>
      <c r="B36" s="1652" t="s">
        <v>1313</v>
      </c>
      <c r="C36" s="137"/>
      <c r="D36" s="1653"/>
      <c r="E36" s="1567"/>
      <c r="F36" s="1654"/>
      <c r="G36" s="121"/>
      <c r="H36" s="121"/>
      <c r="I36" s="121"/>
    </row>
    <row r="37" spans="1:15" ht="14.5" thickBot="1">
      <c r="A37" s="3285"/>
      <c r="B37" s="1555" t="s">
        <v>1314</v>
      </c>
      <c r="C37" s="139"/>
      <c r="D37" s="1071"/>
      <c r="E37" s="1071"/>
      <c r="F37" s="1654"/>
      <c r="G37" s="121"/>
      <c r="H37" s="121"/>
      <c r="I37" s="121"/>
    </row>
    <row r="38" spans="1:15" ht="14.5" thickBot="1">
      <c r="A38" s="328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1899</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45947</v>
      </c>
      <c r="N47" s="3341"/>
      <c r="O47" s="3341"/>
    </row>
    <row r="48" spans="1:15" ht="26">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0" t="s">
        <v>1340</v>
      </c>
      <c r="L48" s="3320"/>
      <c r="M48" s="3342">
        <f ca="1">H101</f>
        <v>1899</v>
      </c>
      <c r="N48" s="3342"/>
      <c r="O48" s="3342"/>
    </row>
    <row r="49" spans="1:35" ht="25.5" customHeight="1">
      <c r="A49" s="2152" t="s">
        <v>1341</v>
      </c>
      <c r="B49" s="3256" t="s">
        <v>1342</v>
      </c>
      <c r="C49" s="3256"/>
      <c r="D49" s="1478">
        <v>0</v>
      </c>
      <c r="E49" s="316" t="s">
        <v>1343</v>
      </c>
      <c r="F49" s="2232" t="s">
        <v>28</v>
      </c>
      <c r="G49" s="3326"/>
      <c r="H49" s="2134" t="s">
        <v>2134</v>
      </c>
      <c r="I49" s="2135"/>
      <c r="J49" s="2309">
        <v>4</v>
      </c>
      <c r="K49" s="3320" t="str">
        <f>IF(项目基本情况!E8="房地产抵押价值","房地产抵押价值","抵押担保权已注销时的房地产抵押价值")</f>
        <v>房地产抵押价值</v>
      </c>
      <c r="L49" s="3320"/>
      <c r="M49" s="3342">
        <f ca="1">IF(项目基本情况!E8="房地产抵押价值",H107,H109)</f>
        <v>1899</v>
      </c>
      <c r="N49" s="3342"/>
      <c r="O49" s="3342"/>
    </row>
    <row r="50" spans="1:35" ht="25.5" customHeight="1">
      <c r="A50" s="2337"/>
      <c r="B50" s="3256" t="s">
        <v>1344</v>
      </c>
      <c r="C50" s="3256"/>
      <c r="D50" s="2189"/>
      <c r="E50" s="323"/>
      <c r="F50" s="2232"/>
      <c r="G50" s="3327"/>
      <c r="H50" s="2136" t="s">
        <v>2135</v>
      </c>
      <c r="I50" s="2135"/>
      <c r="J50" s="3339" t="s">
        <v>1345</v>
      </c>
      <c r="K50" s="3339"/>
      <c r="L50" s="3339"/>
      <c r="M50" s="3339"/>
      <c r="N50" s="3339"/>
      <c r="O50" s="3339"/>
    </row>
    <row r="51" spans="1:35" ht="20.5" customHeight="1">
      <c r="A51" s="2338"/>
      <c r="B51" s="3256" t="s">
        <v>1346</v>
      </c>
      <c r="C51" s="3256"/>
      <c r="D51" s="1024"/>
      <c r="E51" s="319"/>
      <c r="F51" s="2232"/>
      <c r="G51" s="3328"/>
      <c r="H51" s="2136" t="s">
        <v>2136</v>
      </c>
      <c r="I51" s="2135"/>
      <c r="J51" s="2310" t="s">
        <v>1347</v>
      </c>
      <c r="K51" s="3320" t="s">
        <v>1348</v>
      </c>
      <c r="L51" s="3320"/>
      <c r="M51" s="2310" t="s">
        <v>1349</v>
      </c>
      <c r="N51" s="2310" t="s">
        <v>1350</v>
      </c>
      <c r="O51" s="2310" t="s">
        <v>1351</v>
      </c>
    </row>
    <row r="52" spans="1:35" ht="24" customHeight="1">
      <c r="A52" s="2153" t="s">
        <v>1352</v>
      </c>
      <c r="B52" s="3256" t="s">
        <v>1353</v>
      </c>
      <c r="C52" s="3256"/>
      <c r="D52" s="1024">
        <f ca="1">ROUND(D45*'数据-取费表'!B41/(1+'数据-取费表'!C42),0)</f>
        <v>101</v>
      </c>
      <c r="E52" s="1256" t="s">
        <v>1354</v>
      </c>
      <c r="F52" s="2339">
        <f>'数据-取费表'!B41</f>
        <v>5.6000000000000001E-2</v>
      </c>
      <c r="G52" s="2340"/>
      <c r="H52" s="2330"/>
      <c r="I52" s="1669"/>
      <c r="J52" s="2309">
        <v>1</v>
      </c>
      <c r="K52" s="3321" t="s">
        <v>1355</v>
      </c>
      <c r="L52" s="3321"/>
      <c r="M52" s="2311" t="b">
        <f>D48</f>
        <v>0</v>
      </c>
      <c r="N52" s="2309" t="str">
        <f>E48</f>
        <v>销售额×税（费）率</v>
      </c>
      <c r="O52" s="2312">
        <f>F48</f>
        <v>5.6000000000000001E-2</v>
      </c>
    </row>
    <row r="53" spans="1:35" ht="12" customHeight="1">
      <c r="A53" s="2153" t="s">
        <v>1356</v>
      </c>
      <c r="B53" s="3282" t="s">
        <v>2291</v>
      </c>
      <c r="C53" s="3283"/>
      <c r="D53" s="1024">
        <f ca="1">ROUND(D45*'数据-取费表'!B41/(1+'数据-取费表'!C42),0)</f>
        <v>101</v>
      </c>
      <c r="E53" s="1256" t="s">
        <v>1354</v>
      </c>
      <c r="F53" s="2339">
        <f>'数据-取费表'!B41</f>
        <v>5.6000000000000001E-2</v>
      </c>
      <c r="G53" s="2340"/>
      <c r="H53" s="2330"/>
      <c r="I53" s="1669"/>
      <c r="J53" s="2309">
        <v>2</v>
      </c>
      <c r="K53" s="3321" t="s">
        <v>1357</v>
      </c>
      <c r="L53" s="3321"/>
      <c r="M53" s="2311">
        <f t="shared" ref="M53:O54" ca="1" si="0">D55</f>
        <v>1</v>
      </c>
      <c r="N53" s="2309" t="str">
        <f t="shared" si="0"/>
        <v>销售额×税（费）率</v>
      </c>
      <c r="O53" s="2312" t="str">
        <f t="shared" si="0"/>
        <v>免征</v>
      </c>
    </row>
    <row r="54" spans="1:35" ht="12" customHeight="1">
      <c r="A54" s="2153" t="s">
        <v>1358</v>
      </c>
      <c r="B54" s="3282" t="s">
        <v>2292</v>
      </c>
      <c r="C54" s="3283"/>
      <c r="D54" s="1024">
        <f ca="1">C68</f>
        <v>101</v>
      </c>
      <c r="E54" s="319" t="s">
        <v>1359</v>
      </c>
      <c r="F54" s="2339">
        <f>'数据-取费表'!B41</f>
        <v>5.6000000000000001E-2</v>
      </c>
      <c r="G54" s="2340"/>
      <c r="H54" s="2341"/>
      <c r="I54" s="1669"/>
      <c r="J54" s="2309">
        <v>3</v>
      </c>
      <c r="K54" s="3321" t="s">
        <v>1360</v>
      </c>
      <c r="L54" s="3321"/>
      <c r="M54" s="2311">
        <f t="shared" ca="1" si="0"/>
        <v>1075</v>
      </c>
      <c r="N54" s="2309" t="str">
        <f t="shared" si="0"/>
        <v>增值额×税（费）率</v>
      </c>
      <c r="O54" s="2313" t="str">
        <f t="shared" si="0"/>
        <v>免征</v>
      </c>
    </row>
    <row r="55" spans="1:35" ht="24" customHeight="1">
      <c r="A55" s="3271" t="s">
        <v>1361</v>
      </c>
      <c r="B55" s="3272"/>
      <c r="C55" s="3272"/>
      <c r="D55" s="12">
        <f ca="1">IF(H55="个人住宅",0,ROUND(D45*I55,0))</f>
        <v>1</v>
      </c>
      <c r="E55" s="1256" t="s">
        <v>1362</v>
      </c>
      <c r="F55" s="2339" t="str">
        <f>IF(H55="正常",I55,"免征")</f>
        <v>免征</v>
      </c>
      <c r="G55" s="2340"/>
      <c r="H55" s="2336"/>
      <c r="I55" s="157">
        <f>'数据-取费表'!B49</f>
        <v>5.0000000000000001E-4</v>
      </c>
      <c r="J55" s="2309">
        <f>IF(H59="非个人房产","",4)</f>
        <v>4</v>
      </c>
      <c r="K55" s="3321" t="str">
        <f>IF(H59="非个人房产","——","个人所得税")</f>
        <v>个人所得税</v>
      </c>
      <c r="L55" s="3321"/>
      <c r="M55" s="2314">
        <f ca="1">D59</f>
        <v>18</v>
      </c>
      <c r="N55" s="1883" t="str">
        <f>E59</f>
        <v>差额计税</v>
      </c>
      <c r="O55" s="2315">
        <f>F59</f>
        <v>0.01</v>
      </c>
    </row>
    <row r="56" spans="1:35" ht="26">
      <c r="A56" s="3271" t="s">
        <v>1363</v>
      </c>
      <c r="B56" s="3272"/>
      <c r="C56" s="3272"/>
      <c r="D56" s="12">
        <f ca="1">IF(H56="个人住宅",D57,D58)</f>
        <v>1075</v>
      </c>
      <c r="E56" s="1256" t="s">
        <v>1364</v>
      </c>
      <c r="F56" s="2339" t="str">
        <f>IF(H56="正常",F58,"免征")</f>
        <v>免征</v>
      </c>
      <c r="G56" s="2342" t="s">
        <v>1365</v>
      </c>
      <c r="H56" s="2343"/>
      <c r="I56" s="1670"/>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3">
      <c r="A57" s="2153" t="s">
        <v>1341</v>
      </c>
      <c r="B57" s="3282" t="s">
        <v>1366</v>
      </c>
      <c r="C57" s="3283"/>
      <c r="D57" s="1478">
        <v>0</v>
      </c>
      <c r="E57" s="316" t="s">
        <v>1343</v>
      </c>
      <c r="F57" s="294"/>
      <c r="G57" s="2340"/>
      <c r="H57" s="2344"/>
      <c r="I57" s="1670"/>
      <c r="J57" s="3321">
        <f>IF(AND(J55="",J56=""),4,IF(项目基本情况!K6="上海银行",结果表!J56+1,结果表!J55+1))</f>
        <v>5</v>
      </c>
      <c r="K57" s="3321" t="s">
        <v>1367</v>
      </c>
      <c r="L57" s="2316" t="s">
        <v>1368</v>
      </c>
      <c r="M57" s="2317"/>
      <c r="N57" s="2318">
        <f ca="1">SUMIF(M52:M56,"&lt;9e307")</f>
        <v>1094</v>
      </c>
      <c r="O57" s="2319"/>
      <c r="P57" s="2463">
        <f ca="1">N57/M49</f>
        <v>0.57609268035808325</v>
      </c>
    </row>
    <row r="58" spans="1:35" ht="26">
      <c r="A58" s="2153" t="s">
        <v>1352</v>
      </c>
      <c r="B58" s="3282" t="s">
        <v>1369</v>
      </c>
      <c r="C58" s="3256"/>
      <c r="D58" s="12">
        <f ca="1">IF(H58="转让取得",C81,C97)</f>
        <v>1075</v>
      </c>
      <c r="E58" s="1256" t="s">
        <v>1364</v>
      </c>
      <c r="F58" s="294" t="s">
        <v>28</v>
      </c>
      <c r="G58" s="2340"/>
      <c r="H58" s="2343"/>
      <c r="I58" s="1670"/>
      <c r="J58" s="3321"/>
      <c r="K58" s="3321"/>
      <c r="L58" s="2316" t="s">
        <v>1370</v>
      </c>
      <c r="M58" s="2320"/>
      <c r="N58" s="2321" t="str">
        <f ca="1">NUMBERSTRING(INT(N57*10000),2)&amp;"元整"</f>
        <v>壹仟零玖拾肆万元整</v>
      </c>
      <c r="O58" s="2322"/>
    </row>
    <row r="59" spans="1:35" ht="26.5" thickBot="1">
      <c r="A59" s="3324" t="s">
        <v>1371</v>
      </c>
      <c r="B59" s="3325"/>
      <c r="C59" s="3325"/>
      <c r="D59" s="2345">
        <f ca="1">IF(H59="非个人房产","——",IF(H59="个人住宅（满五唯一有凭证）",0,IF(H59="个人其他（无凭证）",ROUND(D45/(1+'数据-取费表'!C42)*F59,0),ROUND(C67*F59,0))))</f>
        <v>18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2">
        <f>J57+1</f>
        <v>6</v>
      </c>
      <c r="K59" s="3321" t="s">
        <v>1372</v>
      </c>
      <c r="L59" s="2309" t="s">
        <v>1368</v>
      </c>
      <c r="M59" s="2323"/>
      <c r="N59" s="2324">
        <f ca="1">M49-N57</f>
        <v>805</v>
      </c>
      <c r="O59" s="2325"/>
    </row>
    <row r="60" spans="1:35" ht="12" customHeight="1">
      <c r="A60" s="1671"/>
      <c r="B60" s="646"/>
      <c r="C60" s="646"/>
      <c r="D60" s="646"/>
      <c r="E60" s="1466"/>
      <c r="F60" s="1670"/>
      <c r="G60" s="1670"/>
      <c r="H60" s="151"/>
      <c r="I60" s="121"/>
      <c r="J60" s="3323"/>
      <c r="K60" s="3321"/>
      <c r="L60" s="2316" t="s">
        <v>1370</v>
      </c>
      <c r="M60" s="2320"/>
      <c r="N60" s="2321" t="str">
        <f ca="1">NUMBERSTRING(INT(N59*10000),2)&amp;"元整"</f>
        <v>捌佰零伍万元整</v>
      </c>
      <c r="O60" s="2322"/>
    </row>
    <row r="61" spans="1:35" ht="13.5" thickBot="1">
      <c r="A61" s="3269" t="s">
        <v>1373</v>
      </c>
      <c r="B61" s="3269"/>
      <c r="C61" s="3269"/>
      <c r="D61" s="3269"/>
      <c r="E61" s="3269"/>
      <c r="F61" s="1670"/>
      <c r="G61" s="1670"/>
      <c r="H61" s="151"/>
      <c r="I61" s="121"/>
      <c r="J61" s="2309">
        <f>J59+1</f>
        <v>7</v>
      </c>
      <c r="K61" s="3321" t="s">
        <v>1374</v>
      </c>
      <c r="L61" s="3321"/>
      <c r="M61" s="2326"/>
      <c r="N61" s="2327">
        <f ca="1">ROUND(N59*10000/'数据-汇总表'!E3,0)</f>
        <v>13649</v>
      </c>
      <c r="O61" s="2328"/>
    </row>
    <row r="62" spans="1:35" ht="13">
      <c r="A62" s="3287" t="s">
        <v>1375</v>
      </c>
      <c r="B62" s="3288"/>
      <c r="C62" s="1865"/>
      <c r="D62" s="1865" t="s">
        <v>1376</v>
      </c>
      <c r="E62" s="158" t="s">
        <v>1377</v>
      </c>
      <c r="F62" s="1670"/>
      <c r="G62" s="1670"/>
      <c r="H62" s="151"/>
      <c r="I62" s="121"/>
    </row>
    <row r="63" spans="1:35" ht="13">
      <c r="A63" s="165" t="s">
        <v>330</v>
      </c>
      <c r="B63" s="159" t="s">
        <v>1378</v>
      </c>
      <c r="C63" s="2349">
        <f ca="1">ROUND((C64+C65)/(1+'数据-取费表'!C42),0)</f>
        <v>1809</v>
      </c>
      <c r="D63" s="159"/>
      <c r="E63" s="160"/>
      <c r="F63" s="1670"/>
      <c r="G63" s="1670"/>
      <c r="H63" s="151"/>
      <c r="I63" s="121"/>
      <c r="J63" s="3346" t="s">
        <v>1379</v>
      </c>
      <c r="K63" s="1245" t="s">
        <v>1380</v>
      </c>
      <c r="L63" s="1245">
        <f ca="1">IF(M49&gt;10000,M49*0.5%,IF(AND(M49&gt;1000,M49&lt;=10000),M49*1%,IF(AND(M49&gt;100,M49&lt;=1000),M49*3%,IF(AND(M49&gt;10,M49&lt;=100),M49*5%,M49*8%))))</f>
        <v>18.990000000000002</v>
      </c>
      <c r="M63" s="294">
        <f ca="1">ROUND(L63,1)</f>
        <v>19</v>
      </c>
      <c r="N63" s="2329"/>
      <c r="Z63" s="1623"/>
      <c r="AI63" s="1561"/>
    </row>
    <row r="64" spans="1:35" ht="14.25" customHeight="1">
      <c r="A64" s="161" t="s">
        <v>325</v>
      </c>
      <c r="B64" s="162" t="s">
        <v>1381</v>
      </c>
      <c r="C64" s="2350">
        <f ca="1">D45</f>
        <v>1899</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11.394</v>
      </c>
      <c r="M64" s="294">
        <f t="shared" ref="M64:M65" ca="1" si="1">ROUND(L64,1)</f>
        <v>11.4</v>
      </c>
      <c r="N64" s="2330" t="s">
        <v>1383</v>
      </c>
      <c r="Z64" s="1623"/>
      <c r="AI64" s="1561"/>
    </row>
    <row r="65" spans="1:35" ht="14.25" customHeight="1">
      <c r="A65" s="161" t="s">
        <v>326</v>
      </c>
      <c r="B65" s="162" t="s">
        <v>1384</v>
      </c>
      <c r="C65" s="2351"/>
      <c r="D65" s="162"/>
      <c r="E65" s="164"/>
      <c r="F65" s="1670"/>
      <c r="G65" s="1670"/>
      <c r="H65" s="151"/>
      <c r="I65" s="121"/>
      <c r="J65" s="3346"/>
      <c r="K65" s="1245" t="s">
        <v>1385</v>
      </c>
      <c r="L65" s="1245">
        <f ca="1">IF(M49&gt;1000,M49*0.1%,IF(AND(M49&gt;500,M49&lt;=1000),M49*0.5%,IF(AND(M49&gt;50,M49&lt;=500),M49*1%,IF(AND(M49&gt;1,M49&lt;=50),M49*1.5%))))</f>
        <v>1.899</v>
      </c>
      <c r="M65" s="294">
        <f t="shared" ca="1" si="1"/>
        <v>1.9</v>
      </c>
      <c r="N65" s="2330" t="s">
        <v>1383</v>
      </c>
      <c r="Z65" s="1623"/>
      <c r="AI65" s="1561"/>
    </row>
    <row r="66" spans="1:35" ht="14.25" customHeight="1">
      <c r="A66" s="165" t="s">
        <v>327</v>
      </c>
      <c r="B66" s="166" t="s">
        <v>1386</v>
      </c>
      <c r="C66" s="2352"/>
      <c r="D66" s="166" t="s">
        <v>26</v>
      </c>
      <c r="E66" s="1251" t="s">
        <v>671</v>
      </c>
      <c r="F66" s="1670"/>
      <c r="G66" s="1670"/>
      <c r="H66" s="151"/>
      <c r="I66" s="121"/>
      <c r="J66" s="3346"/>
      <c r="K66" s="1245" t="s">
        <v>1387</v>
      </c>
      <c r="L66" s="1245">
        <f ca="1">M49*0.5%</f>
        <v>9.495000000000001</v>
      </c>
      <c r="M66" s="294">
        <f ca="1">IF(L66&gt;0.5,0.5,ROUND(L66,0))</f>
        <v>0.5</v>
      </c>
      <c r="N66" s="2330" t="s">
        <v>1388</v>
      </c>
      <c r="Z66" s="1623"/>
      <c r="AI66" s="1561"/>
    </row>
    <row r="67" spans="1:35" ht="14.25" customHeight="1">
      <c r="A67" s="165" t="s">
        <v>328</v>
      </c>
      <c r="B67" s="166" t="s">
        <v>1389</v>
      </c>
      <c r="C67" s="2353">
        <f ca="1">C63-C66</f>
        <v>1809</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4.0984999999999996</v>
      </c>
      <c r="M67" s="294">
        <f ca="1">ROUND(L67*0.9,1)</f>
        <v>3.7</v>
      </c>
      <c r="N67" s="2329"/>
      <c r="Z67" s="1623"/>
      <c r="AI67" s="1561"/>
    </row>
    <row r="68" spans="1:35" ht="14.25" customHeight="1" thickBot="1">
      <c r="A68" s="168" t="s">
        <v>329</v>
      </c>
      <c r="B68" s="169" t="s">
        <v>1391</v>
      </c>
      <c r="C68" s="2354">
        <f ca="1">IF(C67&lt;=0,0,ROUND(C67*D68,0))</f>
        <v>101</v>
      </c>
      <c r="D68" s="2355">
        <f>'数据-取费表'!B41</f>
        <v>5.6000000000000001E-2</v>
      </c>
      <c r="E68" s="170"/>
      <c r="F68" s="1670"/>
      <c r="G68" s="1670"/>
      <c r="H68" s="151"/>
      <c r="I68" s="121"/>
      <c r="J68" s="3346"/>
      <c r="K68" s="1245" t="s">
        <v>1392</v>
      </c>
      <c r="L68" s="1245">
        <f ca="1">IF(M49&gt;10000,M49*0.5%,IF(AND(M49&gt;5000,M49&lt;=10000),M49*1%,IF(AND(M49&gt;1000,M49&lt;=5000),M49*2%,IF(AND(M49&gt;200,M49&lt;=1000),M49*3%,M49*5%))))</f>
        <v>37.980000000000004</v>
      </c>
      <c r="M68" s="294">
        <f ca="1">ROUND(L68,1)</f>
        <v>38</v>
      </c>
      <c r="N68" s="2329"/>
      <c r="Z68" s="1623"/>
      <c r="AI68" s="1561"/>
    </row>
    <row r="69" spans="1:35" ht="16.5" customHeight="1">
      <c r="A69" s="1672"/>
      <c r="B69" s="1673"/>
      <c r="C69" s="1674"/>
      <c r="D69" s="1675"/>
      <c r="E69" s="1676"/>
      <c r="F69" s="1466"/>
      <c r="G69" s="1466"/>
      <c r="H69" s="1467"/>
      <c r="I69" s="646"/>
      <c r="J69" s="3346"/>
      <c r="K69" s="1245" t="s">
        <v>1393</v>
      </c>
      <c r="L69" s="1245"/>
      <c r="M69" s="294">
        <f ca="1">ROUND(SUM(M63:M68),0)</f>
        <v>75</v>
      </c>
      <c r="N69" s="2331">
        <f ca="1">M69/M49</f>
        <v>3.9494470774091628E-2</v>
      </c>
      <c r="Z69" s="1623"/>
      <c r="AI69" s="1561"/>
    </row>
    <row r="70" spans="1:35" s="642" customFormat="1" ht="14.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1809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11</v>
      </c>
      <c r="D78" s="2362">
        <f>'数据-取费表'!B43</f>
        <v>6.000000000000001E-3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1798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163.45454545454547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1075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1809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48" t="s">
        <v>2129</v>
      </c>
      <c r="H90" s="334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6" t="s">
        <v>1422</v>
      </c>
      <c r="F92" s="3267"/>
      <c r="G92" s="3267"/>
      <c r="H92" s="327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11</v>
      </c>
      <c r="D93" s="2362">
        <f>'数据-取费表'!B43</f>
        <v>6.000000000000001E-3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1798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163.45454545454547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1075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t="str">
        <f>C4</f>
        <v>比较法-商业</v>
      </c>
      <c r="D101" s="2371" t="str">
        <f>D4</f>
        <v>收益法 (元)</v>
      </c>
      <c r="E101" s="3343" t="s">
        <v>1431</v>
      </c>
      <c r="F101" s="3300"/>
      <c r="G101" s="1687" t="s">
        <v>1432</v>
      </c>
      <c r="H101" s="2380">
        <f ca="1">H118</f>
        <v>1899</v>
      </c>
      <c r="I101" s="121"/>
    </row>
    <row r="102" spans="1:35" ht="18.75" customHeight="1">
      <c r="A102" s="3302" t="s">
        <v>1433</v>
      </c>
      <c r="B102" s="2369" t="s">
        <v>1432</v>
      </c>
      <c r="C102" s="2370">
        <f ca="1">IF(D32="楼面单价",ROUND(C19,0),C19)</f>
        <v>2595</v>
      </c>
      <c r="D102" s="2371">
        <f ca="1">IF(D32="楼面单价",ROUND(D19,0),D19)</f>
        <v>854</v>
      </c>
      <c r="E102" s="3343"/>
      <c r="F102" s="3300"/>
      <c r="G102" s="1687" t="s">
        <v>1434</v>
      </c>
      <c r="H102" s="2340">
        <f ca="1">I118</f>
        <v>32195</v>
      </c>
      <c r="I102" s="121"/>
    </row>
    <row r="103" spans="1:35" ht="42.75" customHeight="1">
      <c r="A103" s="3302"/>
      <c r="B103" s="2369" t="s">
        <v>1434</v>
      </c>
      <c r="C103" s="2372">
        <f ca="1">C20</f>
        <v>44003</v>
      </c>
      <c r="D103" s="2373">
        <f ca="1">D20</f>
        <v>14483</v>
      </c>
      <c r="E103" s="3337" t="s">
        <v>1435</v>
      </c>
      <c r="F103" s="3338"/>
      <c r="G103" s="1688" t="s">
        <v>1436</v>
      </c>
      <c r="H103" s="2380">
        <f>IF(D36="正常操作",H104+H105+H106,H105+H106)</f>
        <v>0</v>
      </c>
      <c r="I103" s="121"/>
    </row>
    <row r="104" spans="1:35" ht="18.75" customHeight="1">
      <c r="A104" s="3302" t="s">
        <v>1437</v>
      </c>
      <c r="B104" s="2374" t="s">
        <v>1432</v>
      </c>
      <c r="C104" s="2375">
        <f ca="1">H118</f>
        <v>1899</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f ca="1">I118</f>
        <v>32195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300"/>
      <c r="G107" s="1687" t="s">
        <v>1432</v>
      </c>
      <c r="H107" s="2380">
        <f ca="1">IF(E107="——","——",H101-H103)</f>
        <v>1899</v>
      </c>
      <c r="I107" s="121"/>
    </row>
    <row r="108" spans="1:35" ht="18.75" customHeight="1">
      <c r="A108" s="121"/>
      <c r="B108" s="121"/>
      <c r="C108" s="121"/>
      <c r="D108" s="121"/>
      <c r="E108" s="3299"/>
      <c r="F108" s="3300"/>
      <c r="G108" s="1687" t="s">
        <v>1434</v>
      </c>
      <c r="H108" s="2340">
        <f ca="1">IF(H107=H101,H102,ROUND(H107*10000/'数据-汇总表'!E3,0))</f>
        <v>32195</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3" t="str">
        <f>IF(E109="——","——",H101-H105-H106)</f>
        <v>——</v>
      </c>
      <c r="I109" s="121"/>
    </row>
    <row r="110" spans="1:35" ht="18.75" customHeight="1">
      <c r="A110" s="121"/>
      <c r="B110" s="121"/>
      <c r="C110" s="121"/>
      <c r="D110" s="121"/>
      <c r="E110" s="3299"/>
      <c r="F110" s="3300"/>
      <c r="G110" s="1687"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32"/>
      <c r="F112" s="3333"/>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5" t="str">
        <f>项目基本情况!S2</f>
        <v>北京市朝阳区霞光里66号院甲5号楼1层、2层房地产</v>
      </c>
      <c r="B118" s="2150">
        <f>M18</f>
        <v>589.79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1899</v>
      </c>
      <c r="I118" s="2150">
        <f ca="1">ROUND(IF(D32="楼面单价",C32,H118*10000/B118),0)</f>
        <v>32195</v>
      </c>
    </row>
    <row r="119" spans="1:27" ht="18.75" customHeight="1">
      <c r="A119" s="3270" t="s">
        <v>1452</v>
      </c>
      <c r="B119" s="3270"/>
      <c r="C119" s="3270"/>
      <c r="D119" s="3310" t="str">
        <f>NUMBERSTRING(INT(D118*10000),2)&amp;"元整"</f>
        <v>零元整</v>
      </c>
      <c r="E119" s="3312"/>
      <c r="F119" s="3310" t="str">
        <f>NUMBERSTRING(INT(F118*10000),2)&amp;"元整"</f>
        <v>零元整</v>
      </c>
      <c r="G119" s="3312"/>
      <c r="H119" s="3310" t="str">
        <f ca="1">NUMBERSTRING(INT(H118*10000),2)&amp;"元整"</f>
        <v>壹仟捌佰玖拾玖万元整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1899</v>
      </c>
      <c r="E122" s="3335"/>
      <c r="F122" s="3335"/>
      <c r="G122" s="3335"/>
      <c r="H122" s="3335"/>
      <c r="I122" s="3336"/>
      <c r="AA122" s="684"/>
    </row>
    <row r="123" spans="1:27" ht="18.75" customHeight="1">
      <c r="A123" s="3270" t="s">
        <v>1452</v>
      </c>
      <c r="B123" s="3270"/>
      <c r="C123" s="3270"/>
      <c r="D123" s="3310" t="str">
        <f ca="1">NUMBERSTRING(INT(D122*10000),2)&amp;"元整"</f>
        <v>壹仟捌佰玖拾玖万元整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5307</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589.79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589.79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2</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265</v>
      </c>
      <c r="D34" s="209"/>
      <c r="E34" s="212"/>
      <c r="F34" s="249">
        <f ca="1">IF('数据-取费表'!B24=0,1,IF(B1="",'数据-取费表'!N16,INDIRECT("'数据-取费表'!n"&amp;$G$1)))</f>
        <v>1</v>
      </c>
      <c r="G34" s="211" t="s">
        <v>1526</v>
      </c>
    </row>
    <row r="35" spans="1:7" ht="13.5" customHeight="1">
      <c r="A35" s="734" t="s">
        <v>351</v>
      </c>
      <c r="B35" s="207" t="s">
        <v>1527</v>
      </c>
      <c r="C35" s="212">
        <f ca="1">ROUND(C34*F35,0)</f>
        <v>13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589.79</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5.9999999999999995E-4</v>
      </c>
      <c r="D44" s="230"/>
      <c r="E44" s="230"/>
      <c r="F44" s="231"/>
      <c r="G44" s="3352"/>
    </row>
    <row r="45" spans="1:7" s="206" customFormat="1" ht="13.5" customHeight="1">
      <c r="A45" s="247" t="s">
        <v>1547</v>
      </c>
      <c r="B45" s="236" t="s">
        <v>1513</v>
      </c>
      <c r="C45" s="237">
        <f ca="1">C46</f>
        <v>60</v>
      </c>
      <c r="D45" s="227">
        <f ca="1">C47</f>
        <v>4.0000000000000001E-3</v>
      </c>
      <c r="E45" s="228" t="s">
        <v>1539</v>
      </c>
      <c r="F45" s="238">
        <f ca="1">F27</f>
        <v>0.2</v>
      </c>
      <c r="G45" s="239" t="s">
        <v>1548</v>
      </c>
    </row>
    <row r="46" spans="1:7" s="206" customFormat="1" ht="13.5" customHeight="1">
      <c r="A46" s="734" t="s">
        <v>346</v>
      </c>
      <c r="B46" s="240" t="s">
        <v>1549</v>
      </c>
      <c r="C46" s="241">
        <f ca="1">ROUND((C33+C39)*F27,0)</f>
        <v>60</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401</v>
      </c>
      <c r="D49" s="224"/>
      <c r="E49" s="224"/>
      <c r="F49" s="256"/>
      <c r="G49" s="226" t="s">
        <v>1554</v>
      </c>
    </row>
    <row r="50" spans="1:7" s="250" customFormat="1" ht="26">
      <c r="A50" s="247" t="s">
        <v>1555</v>
      </c>
      <c r="B50" s="202" t="s">
        <v>1556</v>
      </c>
      <c r="C50" s="224"/>
      <c r="D50" s="224"/>
      <c r="E50" s="224"/>
      <c r="F50" s="256">
        <f>IF('数据-取费表'!B24=0,'数据-取费表'!N16,1)</f>
        <v>0.74</v>
      </c>
      <c r="G50" s="239" t="s">
        <v>1557</v>
      </c>
    </row>
    <row r="51" spans="1:7" ht="16.5" customHeight="1">
      <c r="A51" s="247" t="s">
        <v>1558</v>
      </c>
      <c r="B51" s="202" t="s">
        <v>1559</v>
      </c>
      <c r="C51" s="224">
        <f ca="1">ROUND(C49*F50,0)</f>
        <v>297</v>
      </c>
      <c r="D51" s="224"/>
      <c r="E51" s="224"/>
      <c r="F51" s="256"/>
      <c r="G51" s="226" t="s">
        <v>1560</v>
      </c>
    </row>
    <row r="52" spans="1:7" s="200" customFormat="1" ht="16.5" thickBot="1">
      <c r="A52" s="257" t="s">
        <v>1561</v>
      </c>
      <c r="B52" s="258"/>
      <c r="C52" s="259">
        <f ca="1">C31+C51</f>
        <v>313</v>
      </c>
      <c r="D52" s="258"/>
      <c r="E52" s="258"/>
      <c r="F52" s="258"/>
      <c r="G52" s="260"/>
    </row>
    <row r="55" spans="1:7" ht="15.5">
      <c r="B55" s="262" t="s">
        <v>1562</v>
      </c>
      <c r="C55" s="263"/>
    </row>
    <row r="56" spans="1:7" ht="13">
      <c r="B56" s="265" t="s">
        <v>802</v>
      </c>
      <c r="C56" s="267">
        <f ca="1">1-C57</f>
        <v>5.1000000000000045E-2</v>
      </c>
    </row>
    <row r="57" spans="1:7" ht="13">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北京市朝阳区霞光里66号院甲5号楼1层、2层房地产抵押价值预评估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-14</v>
      </c>
      <c r="C2" s="268" t="s">
        <v>1595</v>
      </c>
      <c r="D2" s="268"/>
      <c r="E2" s="2566"/>
      <c r="F2" s="2566"/>
      <c r="G2" s="2566"/>
      <c r="H2" s="2566"/>
      <c r="I2" s="2566"/>
      <c r="J2" s="2566"/>
      <c r="K2" s="2566"/>
    </row>
    <row r="3" spans="1:33" ht="18" customHeight="1" thickBot="1">
      <c r="A3" s="195" t="s">
        <v>1464</v>
      </c>
      <c r="B3" s="196">
        <f ca="1">ROUND(B2*10000/IF(C1="",'数据-汇总表'!E3,INDIRECT("'数据-取费表'!K"&amp;$K$1)),0)</f>
        <v>-237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589.79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589.79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v>
      </c>
      <c r="D20" s="796">
        <f ca="1">IF(C1="",'数据-汇总表'!E6,IF(INDIRECT("'数据-取费表'!c"&amp;$K$1)="住宅",INDIRECT("'数据-取费表'!s"&amp;$K$1),INDIRECT("'数据-取费表'!k"&amp;$K$1)+INDIRECT("'数据-取费表'!s"&amp;$K$1)))</f>
        <v>589.79</v>
      </c>
      <c r="E20" s="21">
        <f>'数据-取费表'!B28</f>
        <v>200</v>
      </c>
      <c r="F20" s="756"/>
      <c r="G20" s="12"/>
      <c r="H20" s="761"/>
      <c r="I20" s="761"/>
      <c r="J20" s="761"/>
      <c r="K20" s="762"/>
    </row>
    <row r="21" spans="1:33" s="755" customFormat="1" ht="13.5" customHeight="1">
      <c r="A21" s="744" t="s">
        <v>357</v>
      </c>
      <c r="B21" s="765" t="s">
        <v>1628</v>
      </c>
      <c r="C21" s="766">
        <f ca="1">C16+C17+C18</f>
        <v>12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0</v>
      </c>
      <c r="D6" s="147" t="s">
        <v>2109</v>
      </c>
      <c r="E6" s="294" t="s">
        <v>696</v>
      </c>
      <c r="F6" s="295">
        <f ca="1">INDIRECT("'数据-取费表'!u"&amp;$G$1)</f>
        <v>0</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64" t="s">
        <v>2317</v>
      </c>
      <c r="K2" s="336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6" t="s">
        <v>2327</v>
      </c>
      <c r="K3" s="336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6" t="s">
        <v>2329</v>
      </c>
      <c r="K4" s="336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2" t="s">
        <v>2333</v>
      </c>
      <c r="B6" s="3373"/>
      <c r="C6" s="3374"/>
      <c r="D6" s="2620"/>
      <c r="E6" s="2621"/>
      <c r="F6" s="2622"/>
      <c r="G6" s="2623"/>
      <c r="H6" s="2598"/>
      <c r="I6" s="2599"/>
      <c r="J6" s="3358">
        <v>1</v>
      </c>
      <c r="K6" s="335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8"/>
      <c r="K7" s="336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5" t="s">
        <v>2347</v>
      </c>
      <c r="C8" s="3376"/>
      <c r="D8" s="2639" t="s">
        <v>2348</v>
      </c>
      <c r="E8" s="2640" t="s">
        <v>2349</v>
      </c>
      <c r="F8" s="2641" t="s">
        <v>2350</v>
      </c>
      <c r="G8" s="2642"/>
      <c r="H8" s="2598"/>
      <c r="I8" s="2599"/>
      <c r="J8" s="3358"/>
      <c r="K8" s="336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5" t="s">
        <v>2353</v>
      </c>
      <c r="C9" s="3376"/>
      <c r="D9" s="2639">
        <f>ROUND(D6*E9,0)</f>
        <v>0</v>
      </c>
      <c r="E9" s="2643"/>
      <c r="F9" s="2644" t="s">
        <v>2354</v>
      </c>
      <c r="G9" s="2623"/>
      <c r="H9" s="2598"/>
      <c r="I9" s="2599"/>
      <c r="J9" s="3358"/>
      <c r="K9" s="3360"/>
      <c r="L9" s="2633" t="s">
        <v>2355</v>
      </c>
      <c r="M9" s="2634"/>
      <c r="N9" s="2610"/>
      <c r="O9" s="2635"/>
      <c r="P9" s="2635"/>
      <c r="Q9" s="2636">
        <v>365</v>
      </c>
      <c r="R9" s="2637">
        <f t="shared" si="0"/>
        <v>0</v>
      </c>
      <c r="S9" s="2591"/>
      <c r="T9" s="2591"/>
      <c r="U9" s="2591"/>
      <c r="V9" s="2599"/>
    </row>
    <row r="10" spans="1:22" s="2603" customFormat="1" ht="13.15" customHeight="1">
      <c r="A10" s="2638">
        <v>2</v>
      </c>
      <c r="B10" s="3375" t="s">
        <v>2356</v>
      </c>
      <c r="C10" s="3376"/>
      <c r="D10" s="2639">
        <f>ROUND(D6*E10,0)</f>
        <v>0</v>
      </c>
      <c r="E10" s="2643"/>
      <c r="F10" s="2644" t="s">
        <v>2357</v>
      </c>
      <c r="G10" s="2623"/>
      <c r="H10" s="2598"/>
      <c r="I10" s="2599"/>
      <c r="J10" s="3358"/>
      <c r="K10" s="3360"/>
      <c r="L10" s="2633" t="s">
        <v>2358</v>
      </c>
      <c r="M10" s="2634"/>
      <c r="N10" s="2610"/>
      <c r="O10" s="2635"/>
      <c r="P10" s="2635"/>
      <c r="Q10" s="2636">
        <v>365</v>
      </c>
      <c r="R10" s="2637">
        <f t="shared" si="0"/>
        <v>0</v>
      </c>
      <c r="S10" s="2591"/>
      <c r="T10" s="2591"/>
      <c r="U10" s="2591"/>
      <c r="V10" s="2599"/>
    </row>
    <row r="11" spans="1:22" s="2603" customFormat="1" ht="13.15" customHeight="1">
      <c r="A11" s="2638">
        <v>3</v>
      </c>
      <c r="B11" s="3375" t="s">
        <v>2359</v>
      </c>
      <c r="C11" s="3376"/>
      <c r="D11" s="2639">
        <f>D12+D14+D15+D16</f>
        <v>0</v>
      </c>
      <c r="E11" s="2645" t="e">
        <f>D11/D6</f>
        <v>#DIV/0!</v>
      </c>
      <c r="F11" s="2641"/>
      <c r="G11" s="2642"/>
      <c r="H11" s="2598"/>
      <c r="I11" s="2599"/>
      <c r="J11" s="3358"/>
      <c r="K11" s="336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8" t="s">
        <v>2362</v>
      </c>
      <c r="C12" s="3369"/>
      <c r="D12" s="2647">
        <f>ROUND(D13*1.2%*(1-30%),0)</f>
        <v>0</v>
      </c>
      <c r="E12" s="2648">
        <v>1.2E-2</v>
      </c>
      <c r="F12" s="2641" t="s">
        <v>2363</v>
      </c>
      <c r="G12" s="2642"/>
      <c r="H12" s="2598"/>
      <c r="I12" s="2599"/>
      <c r="J12" s="3358"/>
      <c r="K12" s="336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8"/>
      <c r="K13" s="336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8" t="s">
        <v>2368</v>
      </c>
      <c r="C14" s="3369"/>
      <c r="D14" s="2647">
        <f>ROUND(E14*B5/10000,0)</f>
        <v>0</v>
      </c>
      <c r="E14" s="2636"/>
      <c r="F14" s="2641" t="s">
        <v>2369</v>
      </c>
      <c r="G14" s="2642"/>
      <c r="H14" s="2598"/>
      <c r="I14" s="2599"/>
      <c r="J14" s="3358"/>
      <c r="K14" s="336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8" t="s">
        <v>2372</v>
      </c>
      <c r="C15" s="3369"/>
      <c r="D15" s="2647">
        <f>ROUND(D6*E15,0)</f>
        <v>0</v>
      </c>
      <c r="E15" s="2648">
        <v>5.5E-2</v>
      </c>
      <c r="F15" s="2641" t="s">
        <v>2373</v>
      </c>
      <c r="G15" s="2623"/>
      <c r="H15" s="2598"/>
      <c r="I15" s="2599"/>
      <c r="J15" s="3358">
        <v>2</v>
      </c>
      <c r="K15" s="335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8" t="s">
        <v>2381</v>
      </c>
      <c r="C16" s="3369"/>
      <c r="D16" s="2658">
        <f>D6*E16</f>
        <v>0</v>
      </c>
      <c r="E16" s="2659"/>
      <c r="F16" s="2644" t="s">
        <v>2382</v>
      </c>
      <c r="G16" s="2623"/>
      <c r="H16" s="2598"/>
      <c r="I16" s="2599"/>
      <c r="J16" s="3358"/>
      <c r="K16" s="336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2384</v>
      </c>
      <c r="C17" s="3371"/>
      <c r="D17" s="2661">
        <f>ROUND(D6*E17,0)</f>
        <v>0</v>
      </c>
      <c r="E17" s="2662"/>
      <c r="F17" s="2663" t="s">
        <v>2385</v>
      </c>
      <c r="G17" s="2623"/>
      <c r="H17" s="2598"/>
      <c r="I17" s="2599"/>
      <c r="J17" s="3358"/>
      <c r="K17" s="336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8"/>
      <c r="K18" s="336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8"/>
      <c r="K19" s="336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8"/>
      <c r="K21" s="336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8"/>
      <c r="K22" s="336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8"/>
      <c r="K23" s="336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8"/>
      <c r="K24" s="336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4" t="s">
        <v>2317</v>
      </c>
      <c r="K32" s="336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6" t="s">
        <v>2327</v>
      </c>
      <c r="K33" s="336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6" t="s">
        <v>2329</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8">
        <v>1</v>
      </c>
      <c r="K36" s="335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8"/>
      <c r="K40" s="336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854.18190000000004</v>
      </c>
      <c r="C2" s="1729" t="s">
        <v>1651</v>
      </c>
      <c r="D2" s="1730" t="s">
        <v>1652</v>
      </c>
      <c r="E2" s="2392">
        <f>SUM(E6:E13)</f>
        <v>589.79</v>
      </c>
      <c r="F2" s="2478"/>
      <c r="G2" s="459"/>
      <c r="H2" s="459"/>
      <c r="I2" s="459"/>
      <c r="J2" s="459"/>
      <c r="K2" s="459"/>
      <c r="L2" s="459"/>
      <c r="M2" s="459"/>
      <c r="N2" s="459"/>
      <c r="O2" s="459"/>
      <c r="P2" s="459"/>
      <c r="Q2" s="459"/>
      <c r="R2" s="459"/>
      <c r="S2" s="459"/>
    </row>
    <row r="3" spans="1:22" ht="15.5">
      <c r="A3" s="1728" t="s">
        <v>686</v>
      </c>
      <c r="B3" s="2386">
        <f ca="1">ROUND(B2*10000/E2,0)</f>
        <v>14483</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77" t="s">
        <v>1654</v>
      </c>
      <c r="C5" s="337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854.18190000000004</v>
      </c>
      <c r="C6" s="1729" t="s">
        <v>1651</v>
      </c>
      <c r="D6" s="2478"/>
      <c r="E6" s="2391">
        <f>IF(OR(A6=0,F6="否"),0,'数据-取费表'!K6+'数据-取费表'!S6)</f>
        <v>589.79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589.79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5"/>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1745"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XFD131"/>
  <sheetViews>
    <sheetView view="pageBreakPreview" topLeftCell="A19" zoomScale="60" zoomScaleNormal="70" workbookViewId="0">
      <selection activeCell="C27" sqref="C27"/>
    </sheetView>
  </sheetViews>
  <sheetFormatPr defaultColWidth="9" defaultRowHeight="14"/>
  <cols>
    <col min="1" max="1" width="10.453125" style="347" customWidth="1"/>
    <col min="2" max="2" width="15.7265625" style="347" customWidth="1"/>
    <col min="3" max="3" width="17.6328125" style="347" customWidth="1"/>
    <col min="4" max="4" width="12.26953125" style="347" customWidth="1"/>
    <col min="5" max="5" width="18" style="347" customWidth="1"/>
    <col min="6" max="6" width="12.26953125" style="347" customWidth="1"/>
    <col min="7" max="7" width="19.6328125" style="347" customWidth="1"/>
    <col min="8" max="8" width="12.26953125" style="347" customWidth="1"/>
    <col min="9" max="9" width="17.906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3" t="s">
        <v>3454</v>
      </c>
      <c r="F1" s="1735" t="s">
        <v>3455</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2595.2529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44003</v>
      </c>
      <c r="C3" s="344" t="s">
        <v>1768</v>
      </c>
      <c r="D3" s="343">
        <f>IF(D1="",'数据-汇总表'!E3,SUMIF('数据-汇总表'!$C19:$C33,D1,'数据-汇总表'!$E19:$E33))</f>
        <v>589.79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c r="A5" s="348"/>
      <c r="B5" s="349"/>
      <c r="C5" s="3517" t="s">
        <v>3495</v>
      </c>
      <c r="D5" s="3416"/>
      <c r="E5" s="3422" t="str">
        <f>C5</f>
        <v>远洋新干线</v>
      </c>
      <c r="F5" s="3423"/>
      <c r="G5" s="3517" t="s">
        <v>3496</v>
      </c>
      <c r="H5" s="3416"/>
      <c r="I5" s="3517" t="s">
        <v>3531</v>
      </c>
      <c r="J5" s="3416"/>
      <c r="K5" s="537"/>
      <c r="L5" s="2485"/>
      <c r="M5" s="2486"/>
      <c r="N5" s="2486"/>
      <c r="O5" s="2486"/>
      <c r="P5" s="3403"/>
      <c r="Q5" s="3404"/>
      <c r="R5" s="3409"/>
      <c r="S5" s="3410"/>
      <c r="T5" s="3409"/>
      <c r="U5" s="3410"/>
      <c r="V5" s="3383"/>
      <c r="W5" s="3383"/>
      <c r="X5" s="1265"/>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83"/>
      <c r="AC6" s="3396"/>
    </row>
    <row r="7" spans="1:29" s="102" customFormat="1" ht="14.5" thickBot="1">
      <c r="A7" s="352" t="s">
        <v>1679</v>
      </c>
      <c r="B7" s="353"/>
      <c r="C7" s="354">
        <f>'数据-取费表'!B2</f>
        <v>45947</v>
      </c>
      <c r="D7" s="355">
        <v>100</v>
      </c>
      <c r="E7" s="356">
        <f>C7</f>
        <v>45947</v>
      </c>
      <c r="F7" s="357">
        <f>SUMIF(58:58,YEAR(E7)&amp;"-"&amp;MONTH(E7),59:59)</f>
        <v>100</v>
      </c>
      <c r="G7" s="356">
        <f>C7</f>
        <v>45947</v>
      </c>
      <c r="H7" s="355">
        <f>SUMIF(58:58,YEAR(G7)&amp;"-"&amp;MONTH(G7),59:59)</f>
        <v>100</v>
      </c>
      <c r="I7" s="356">
        <f>C7</f>
        <v>45947</v>
      </c>
      <c r="J7" s="355">
        <f>SUMIF(58:58,YEAR(I7)&amp;"-"&amp;MONTH(I7),59:59)</f>
        <v>100</v>
      </c>
      <c r="K7" s="38"/>
      <c r="L7" s="2487"/>
      <c r="M7" s="2439"/>
      <c r="N7" s="2439"/>
      <c r="O7" s="2439"/>
      <c r="P7" s="3417" t="s">
        <v>1680</v>
      </c>
      <c r="Q7" s="3419"/>
      <c r="R7" s="664" t="s">
        <v>14</v>
      </c>
      <c r="S7" s="665">
        <f t="shared" ref="S7:S15" si="0">F7</f>
        <v>100</v>
      </c>
      <c r="T7" s="664" t="s">
        <v>14</v>
      </c>
      <c r="U7" s="665">
        <f t="shared" ref="U7:U15" si="1">H7</f>
        <v>100</v>
      </c>
      <c r="V7" s="664" t="s">
        <v>14</v>
      </c>
      <c r="W7" s="665">
        <f t="shared" ref="W7:W15" si="2">J7</f>
        <v>100</v>
      </c>
      <c r="X7" s="666"/>
      <c r="Y7" s="3417" t="s">
        <v>1680</v>
      </c>
      <c r="Z7" s="3418"/>
      <c r="AA7" s="50">
        <f>D7/F7</f>
        <v>1</v>
      </c>
      <c r="AB7" s="50">
        <f>D7/H7</f>
        <v>1</v>
      </c>
      <c r="AC7" s="50">
        <f>D7/J7</f>
        <v>1</v>
      </c>
    </row>
    <row r="8" spans="1:29" s="102" customFormat="1" ht="14.5" thickBot="1">
      <c r="A8" s="352" t="s">
        <v>1681</v>
      </c>
      <c r="B8" s="353"/>
      <c r="C8" s="358" t="s">
        <v>3497</v>
      </c>
      <c r="D8" s="355">
        <v>100</v>
      </c>
      <c r="E8" s="358" t="s">
        <v>3459</v>
      </c>
      <c r="F8" s="357">
        <f>SUMIF(61:61,E8,62:62)-SUMIF(61:61,C8,62:62)+100</f>
        <v>105</v>
      </c>
      <c r="G8" s="358" t="s">
        <v>3459</v>
      </c>
      <c r="H8" s="355">
        <f>SUMIF(61:61,G8,62:62)-SUMIF(61:61,C8,62:62)+100</f>
        <v>105</v>
      </c>
      <c r="I8" s="358" t="s">
        <v>3459</v>
      </c>
      <c r="J8" s="355">
        <f>SUMIF(61:61,I8,62:62)-SUMIF(61:61,C8,62:62)+100</f>
        <v>105</v>
      </c>
      <c r="K8" s="38"/>
      <c r="L8" s="2487"/>
      <c r="M8" s="2439"/>
      <c r="N8" s="2439"/>
      <c r="O8" s="2439"/>
      <c r="P8" s="3417" t="s">
        <v>1683</v>
      </c>
      <c r="Q8" s="3418"/>
      <c r="R8" s="664" t="s">
        <v>14</v>
      </c>
      <c r="S8" s="665">
        <f t="shared" si="0"/>
        <v>105</v>
      </c>
      <c r="T8" s="664" t="s">
        <v>14</v>
      </c>
      <c r="U8" s="665">
        <f t="shared" si="1"/>
        <v>105</v>
      </c>
      <c r="V8" s="664" t="s">
        <v>14</v>
      </c>
      <c r="W8" s="665">
        <f t="shared" si="2"/>
        <v>105</v>
      </c>
      <c r="X8" s="666"/>
      <c r="Y8" s="3417" t="s">
        <v>1683</v>
      </c>
      <c r="Z8" s="3418"/>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509" t="s">
        <v>3456</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t="s">
        <v>3513</v>
      </c>
      <c r="D10" s="119">
        <v>100</v>
      </c>
      <c r="E10" s="3131" t="s">
        <v>3513</v>
      </c>
      <c r="F10" s="364">
        <f>SUMIF(65:65,E10,66:66)-SUMIF(65:65,C10,66:66)+100</f>
        <v>100</v>
      </c>
      <c r="G10" s="3131" t="s">
        <v>3521</v>
      </c>
      <c r="H10" s="119">
        <f>SUMIF(65:65,G10,66:66)-SUMIF(65:65,C10,66:66)+100</f>
        <v>109</v>
      </c>
      <c r="I10" s="3131" t="s">
        <v>3530</v>
      </c>
      <c r="J10" s="119">
        <f>SUMIF(65:65,I10,66:66)-SUMIF(65:65,C10,66:66)+100</f>
        <v>103</v>
      </c>
      <c r="K10" s="38"/>
      <c r="L10" s="2488"/>
      <c r="M10" s="2489"/>
      <c r="N10" s="2489"/>
      <c r="O10" s="2489"/>
      <c r="P10" s="3393"/>
      <c r="Q10" s="530" t="str">
        <f t="shared" si="6"/>
        <v>土地使用年限（年）</v>
      </c>
      <c r="R10" s="664" t="s">
        <v>14</v>
      </c>
      <c r="S10" s="665">
        <f t="shared" si="0"/>
        <v>100</v>
      </c>
      <c r="T10" s="664" t="s">
        <v>14</v>
      </c>
      <c r="U10" s="665">
        <f t="shared" si="1"/>
        <v>109</v>
      </c>
      <c r="V10" s="664" t="s">
        <v>14</v>
      </c>
      <c r="W10" s="665">
        <f t="shared" si="2"/>
        <v>103</v>
      </c>
      <c r="X10" s="666"/>
      <c r="Y10" s="3257"/>
      <c r="Z10" s="50" t="str">
        <f t="shared" si="7"/>
        <v>土地使用年限（年）</v>
      </c>
      <c r="AA10" s="50">
        <f t="shared" si="3"/>
        <v>1</v>
      </c>
      <c r="AB10" s="50">
        <f t="shared" si="4"/>
        <v>0.91743119266055051</v>
      </c>
      <c r="AC10" s="50">
        <f t="shared" si="5"/>
        <v>0.970873786407767</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v>2009</v>
      </c>
      <c r="J12" s="119">
        <f>SUMIF(70:70,I12,71:71)-SUMIF(70:70,C12,71:71)+100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510" t="s">
        <v>3525</v>
      </c>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f>I12-2+40-2025</f>
        <v>22</v>
      </c>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91"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5">
      <c r="A16" s="367"/>
      <c r="B16" s="385"/>
      <c r="C16" s="386" t="s">
        <v>3449</v>
      </c>
      <c r="D16" s="387"/>
      <c r="E16" s="386" t="s">
        <v>3449</v>
      </c>
      <c r="F16" s="388"/>
      <c r="G16" s="386" t="s">
        <v>3449</v>
      </c>
      <c r="H16" s="389"/>
      <c r="I16" s="386" t="s">
        <v>3449</v>
      </c>
      <c r="J16" s="387"/>
      <c r="K16" s="541"/>
      <c r="L16" s="2491"/>
      <c r="M16" s="2486"/>
      <c r="N16" s="2486"/>
      <c r="O16" s="2486"/>
      <c r="P16" s="3392"/>
      <c r="Q16" s="1263"/>
      <c r="R16" s="667"/>
      <c r="S16" s="668"/>
      <c r="T16" s="667"/>
      <c r="U16" s="668"/>
      <c r="V16" s="667"/>
      <c r="W16" s="668"/>
      <c r="X16" s="1265"/>
      <c r="Y16" s="3385"/>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t="s">
        <v>3449</v>
      </c>
      <c r="D18" s="389"/>
      <c r="E18" s="386" t="s">
        <v>3449</v>
      </c>
      <c r="F18" s="392"/>
      <c r="G18" s="386" t="s">
        <v>3449</v>
      </c>
      <c r="H18" s="387"/>
      <c r="I18" s="386" t="s">
        <v>3449</v>
      </c>
      <c r="J18" s="387"/>
      <c r="K18" s="541"/>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t="s">
        <v>3449</v>
      </c>
      <c r="D20" s="387"/>
      <c r="E20" s="386" t="s">
        <v>3449</v>
      </c>
      <c r="F20" s="388"/>
      <c r="G20" s="386" t="s">
        <v>3449</v>
      </c>
      <c r="H20" s="387"/>
      <c r="I20" s="386" t="s">
        <v>3449</v>
      </c>
      <c r="J20" s="387"/>
      <c r="K20" s="541"/>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t="s">
        <v>3457</v>
      </c>
      <c r="D22" s="387"/>
      <c r="E22" s="386" t="s">
        <v>3457</v>
      </c>
      <c r="F22" s="388"/>
      <c r="G22" s="386" t="s">
        <v>3457</v>
      </c>
      <c r="H22" s="387"/>
      <c r="I22" s="386" t="s">
        <v>3457</v>
      </c>
      <c r="J22" s="387"/>
      <c r="K22" s="1064"/>
      <c r="L22" s="2491"/>
      <c r="M22" s="2486"/>
      <c r="N22" s="2486"/>
      <c r="O22" s="2486"/>
      <c r="P22" s="3392"/>
      <c r="Q22" s="1263"/>
      <c r="R22" s="667"/>
      <c r="S22" s="668"/>
      <c r="T22" s="667"/>
      <c r="U22" s="668"/>
      <c r="V22" s="667"/>
      <c r="W22" s="668"/>
      <c r="X22" s="1265"/>
      <c r="Y22" s="3385"/>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2486"/>
      <c r="N23" s="2486"/>
      <c r="O23" s="2486"/>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5">
      <c r="A24" s="367"/>
      <c r="B24" s="395"/>
      <c r="C24" s="386" t="s">
        <v>3449</v>
      </c>
      <c r="D24" s="387"/>
      <c r="E24" s="386" t="s">
        <v>3449</v>
      </c>
      <c r="F24" s="388"/>
      <c r="G24" s="386" t="s">
        <v>3449</v>
      </c>
      <c r="H24" s="387"/>
      <c r="I24" s="386" t="s">
        <v>3449</v>
      </c>
      <c r="J24" s="387"/>
      <c r="K24" s="541"/>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1780</v>
      </c>
      <c r="C25" s="542" t="s">
        <v>3463</v>
      </c>
      <c r="D25" s="374">
        <v>100</v>
      </c>
      <c r="E25" s="542" t="s">
        <v>3463</v>
      </c>
      <c r="F25" s="400">
        <f>SUMIF(86:86,E25,87:87)-SUMIF(86:86,C25,87:87)+100</f>
        <v>100</v>
      </c>
      <c r="G25" s="542" t="s">
        <v>3463</v>
      </c>
      <c r="H25" s="374">
        <f>SUMIF(86:86,G25,87:87)-SUMIF(86:86,C25,87:87)+100</f>
        <v>100</v>
      </c>
      <c r="I25" s="542" t="s">
        <v>3465</v>
      </c>
      <c r="J25" s="374">
        <f>SUMIF(86:86,I25,87:87)-SUMIF(86:86,C25,87:87)+100</f>
        <v>98</v>
      </c>
      <c r="K25" s="538">
        <v>2</v>
      </c>
      <c r="L25" s="2491"/>
      <c r="M25" s="2486"/>
      <c r="N25" s="2486"/>
      <c r="O25" s="2486"/>
      <c r="P25" s="3392"/>
      <c r="Q25" s="1263" t="str">
        <f t="shared" ref="Q25:Q46" si="11">B25</f>
        <v>临街状况</v>
      </c>
      <c r="R25" s="667" t="s">
        <v>14</v>
      </c>
      <c r="S25" s="668">
        <f>F25</f>
        <v>100</v>
      </c>
      <c r="T25" s="667" t="s">
        <v>14</v>
      </c>
      <c r="U25" s="668">
        <f>H25</f>
        <v>100</v>
      </c>
      <c r="V25" s="667" t="s">
        <v>14</v>
      </c>
      <c r="W25" s="668">
        <f>J25</f>
        <v>98</v>
      </c>
      <c r="X25" s="1265"/>
      <c r="Y25" s="3385"/>
      <c r="Z25" s="1264" t="str">
        <f>Q25</f>
        <v>临街状况</v>
      </c>
      <c r="AA25" s="1264">
        <f t="shared" si="3"/>
        <v>1</v>
      </c>
      <c r="AB25" s="1264">
        <f t="shared" si="4"/>
        <v>1</v>
      </c>
      <c r="AC25" s="1264">
        <f t="shared" si="5"/>
        <v>1.0204081632653061</v>
      </c>
    </row>
    <row r="26" spans="1:29" ht="15.5">
      <c r="A26" s="367"/>
      <c r="B26" s="1066" t="s">
        <v>1781</v>
      </c>
      <c r="C26" s="3510" t="s">
        <v>3458</v>
      </c>
      <c r="D26" s="374">
        <v>100</v>
      </c>
      <c r="E26" s="3510" t="s">
        <v>3458</v>
      </c>
      <c r="F26" s="400">
        <f>SUMIF(88:88,E26,89:89)-SUMIF(88:88,C26,89:89)+100</f>
        <v>100</v>
      </c>
      <c r="G26" s="3510" t="s">
        <v>3458</v>
      </c>
      <c r="H26" s="374">
        <f>SUMIF(88:88,G26,89:89)-SUMIF(88:88,C26,89:89)+100</f>
        <v>100</v>
      </c>
      <c r="I26" s="3510" t="s">
        <v>3469</v>
      </c>
      <c r="J26" s="374">
        <f>SUMIF(88:88,I26,89:89)-SUMIF(88:88,C26,89:89)+100</f>
        <v>90</v>
      </c>
      <c r="K26" s="539"/>
      <c r="L26" s="2491"/>
      <c r="M26" s="2486"/>
      <c r="N26" s="2486"/>
      <c r="O26" s="2486"/>
      <c r="P26" s="3392"/>
      <c r="Q26" s="1263" t="str">
        <f t="shared" si="11"/>
        <v>平面位置/可视性</v>
      </c>
      <c r="R26" s="667" t="s">
        <v>14</v>
      </c>
      <c r="S26" s="668">
        <f>F26</f>
        <v>100</v>
      </c>
      <c r="T26" s="667" t="s">
        <v>14</v>
      </c>
      <c r="U26" s="668">
        <f>H26</f>
        <v>100</v>
      </c>
      <c r="V26" s="667" t="s">
        <v>14</v>
      </c>
      <c r="W26" s="668">
        <f>J26</f>
        <v>90</v>
      </c>
      <c r="X26" s="1265"/>
      <c r="Y26" s="3385"/>
      <c r="Z26" s="1264" t="str">
        <f>Q26</f>
        <v>平面位置/可视性</v>
      </c>
      <c r="AA26" s="1264">
        <f t="shared" si="3"/>
        <v>1</v>
      </c>
      <c r="AB26" s="1264">
        <f t="shared" si="4"/>
        <v>1</v>
      </c>
      <c r="AC26" s="1264">
        <f t="shared" si="5"/>
        <v>1.1111111111111112</v>
      </c>
    </row>
    <row r="27" spans="1:29" s="102" customFormat="1" ht="15.5">
      <c r="A27" s="370"/>
      <c r="B27" s="390" t="s">
        <v>1782</v>
      </c>
      <c r="C27" s="1807" t="s">
        <v>3474</v>
      </c>
      <c r="D27" s="401">
        <v>100</v>
      </c>
      <c r="E27" s="1807" t="s">
        <v>3472</v>
      </c>
      <c r="F27" s="395">
        <f>SUMIF(90:90,E27,91:91)-SUMIF(90:90,C27,91:91)+100</f>
        <v>110</v>
      </c>
      <c r="G27" s="1807" t="s">
        <v>3472</v>
      </c>
      <c r="H27" s="401">
        <f>SUMIF(90:90,G27,91:91)-SUMIF(90:90,C27,91:91)+100</f>
        <v>110</v>
      </c>
      <c r="I27" s="1807" t="s">
        <v>3474</v>
      </c>
      <c r="J27" s="401">
        <f>SUMIF(90:90,I27,91:91)-SUMIF(90:90,C27,91:91)+100</f>
        <v>100</v>
      </c>
      <c r="K27" s="538">
        <v>5</v>
      </c>
      <c r="L27" s="2487"/>
      <c r="M27" s="2439"/>
      <c r="N27" s="2439"/>
      <c r="O27" s="2439"/>
      <c r="P27" s="3392"/>
      <c r="Q27" s="530" t="str">
        <f t="shared" si="11"/>
        <v>人流量</v>
      </c>
      <c r="R27" s="664" t="s">
        <v>14</v>
      </c>
      <c r="S27" s="665">
        <f>F27</f>
        <v>110</v>
      </c>
      <c r="T27" s="664" t="s">
        <v>14</v>
      </c>
      <c r="U27" s="665">
        <f>H27</f>
        <v>110</v>
      </c>
      <c r="V27" s="664" t="s">
        <v>14</v>
      </c>
      <c r="W27" s="665">
        <f>J27</f>
        <v>100</v>
      </c>
      <c r="X27" s="666"/>
      <c r="Y27" s="3385"/>
      <c r="Z27" s="50" t="str">
        <f>Q27</f>
        <v>人流量</v>
      </c>
      <c r="AA27" s="1264">
        <f>D27/F27</f>
        <v>0.90909090909090906</v>
      </c>
      <c r="AB27" s="1264">
        <f>D27/H27</f>
        <v>0.90909090909090906</v>
      </c>
      <c r="AC27" s="1264">
        <f>D27/J27</f>
        <v>1</v>
      </c>
    </row>
    <row r="28" spans="1:29" ht="15.5">
      <c r="A28" s="367"/>
      <c r="B28" s="364" t="s">
        <v>1783</v>
      </c>
      <c r="C28" s="542" t="s">
        <v>3498</v>
      </c>
      <c r="D28" s="374">
        <v>100</v>
      </c>
      <c r="E28" s="542" t="s">
        <v>3512</v>
      </c>
      <c r="F28" s="400">
        <f>SUMIF(92:92,E28,93:93)-SUMIF(92:92,C28,93:93)+100</f>
        <v>93</v>
      </c>
      <c r="G28" s="542" t="s">
        <v>3498</v>
      </c>
      <c r="H28" s="374">
        <f>SUMIF(92:92,G28,93:93)-SUMIF(92:92,C28,93:93)+100</f>
        <v>100</v>
      </c>
      <c r="I28" s="542" t="s">
        <v>3498</v>
      </c>
      <c r="J28" s="374">
        <f>SUMIF(92:92,I28,93:93)-SUMIF(92:92,C28,93:93)+100</f>
        <v>100</v>
      </c>
      <c r="K28" s="539"/>
      <c r="L28" s="2491"/>
      <c r="M28" s="2486"/>
      <c r="N28" s="2486"/>
      <c r="O28" s="2486"/>
      <c r="P28" s="3392"/>
      <c r="Q28" s="1263" t="str">
        <f t="shared" si="11"/>
        <v>楼层</v>
      </c>
      <c r="R28" s="667" t="s">
        <v>14</v>
      </c>
      <c r="S28" s="668">
        <f t="shared" ref="S28:S46" si="12">F28</f>
        <v>93</v>
      </c>
      <c r="T28" s="667" t="s">
        <v>14</v>
      </c>
      <c r="U28" s="668">
        <f t="shared" ref="U28:U46" si="13">H28</f>
        <v>100</v>
      </c>
      <c r="V28" s="667" t="s">
        <v>14</v>
      </c>
      <c r="W28" s="668">
        <f t="shared" ref="W28:W46" si="14">J28</f>
        <v>100</v>
      </c>
      <c r="X28" s="1265"/>
      <c r="Y28" s="3385"/>
      <c r="Z28" s="1264" t="str">
        <f t="shared" ref="Z28:Z46" si="15">Q28</f>
        <v>楼层</v>
      </c>
      <c r="AA28" s="1264">
        <f t="shared" si="3"/>
        <v>1.075268817204301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5">
      <c r="A32" s="379" t="s">
        <v>1694</v>
      </c>
      <c r="B32" s="60" t="s">
        <v>1784</v>
      </c>
      <c r="C32" s="1764" t="s">
        <v>3522</v>
      </c>
      <c r="D32" s="405">
        <v>100</v>
      </c>
      <c r="E32" s="1764" t="s">
        <v>3522</v>
      </c>
      <c r="F32" s="400">
        <f>SUMIF(100:100,E32,101:101)-SUMIF(100:100,C32,101:101)+100</f>
        <v>100</v>
      </c>
      <c r="G32" s="1764" t="s">
        <v>3522</v>
      </c>
      <c r="H32" s="374">
        <f>SUMIF(100:100,G32,101:101)-SUMIF(100:100,C32,101:101)+100</f>
        <v>100</v>
      </c>
      <c r="I32" s="1764" t="s">
        <v>3522</v>
      </c>
      <c r="J32" s="405">
        <f>SUMIF(100:100,I32,101:101)-SUMIF(100:100,C32,101:101)+100</f>
        <v>100</v>
      </c>
      <c r="K32" s="538">
        <v>2</v>
      </c>
      <c r="L32" s="2491"/>
      <c r="M32" s="2486"/>
      <c r="N32" s="2486"/>
      <c r="O32" s="2486"/>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5">
      <c r="A33" s="406"/>
      <c r="B33" s="364" t="s">
        <v>1697</v>
      </c>
      <c r="C33" s="407">
        <f>'数据-汇总表'!E19</f>
        <v>589.79</v>
      </c>
      <c r="D33" s="119">
        <v>100</v>
      </c>
      <c r="E33" s="369">
        <f>售价案例!O11</f>
        <v>333.63</v>
      </c>
      <c r="F33" s="364">
        <f>LOOKUP(E33,103:103,104:104)-LOOKUP(C33,103:103,104:104)+100</f>
        <v>101</v>
      </c>
      <c r="G33" s="368">
        <f>售价案例!O43</f>
        <v>180.75</v>
      </c>
      <c r="H33" s="119">
        <f>LOOKUP(G33,103:103,104:104)-LOOKUP(C33,103:103,104:104)+100</f>
        <v>102</v>
      </c>
      <c r="I33" s="368">
        <f>售价案例!N122</f>
        <v>269.74</v>
      </c>
      <c r="J33" s="119">
        <f>LOOKUP(I33,103:103,104:104)-LOOKUP(C33,103:103,104:104)+100</f>
        <v>102</v>
      </c>
      <c r="K33" s="539"/>
      <c r="L33" s="2490"/>
      <c r="M33" s="2492"/>
      <c r="N33" s="2492"/>
      <c r="O33" s="3519" t="s">
        <v>3511</v>
      </c>
      <c r="P33" s="3387"/>
      <c r="Q33" s="531" t="str">
        <f t="shared" si="11"/>
        <v>项目建筑规模</v>
      </c>
      <c r="R33" s="669" t="s">
        <v>14</v>
      </c>
      <c r="S33" s="670">
        <f t="shared" si="12"/>
        <v>101</v>
      </c>
      <c r="T33" s="669" t="s">
        <v>14</v>
      </c>
      <c r="U33" s="670">
        <f t="shared" si="13"/>
        <v>102</v>
      </c>
      <c r="V33" s="669" t="s">
        <v>14</v>
      </c>
      <c r="W33" s="670">
        <f t="shared" si="14"/>
        <v>102</v>
      </c>
      <c r="X33" s="671"/>
      <c r="Y33" s="3389"/>
      <c r="Z33" s="672" t="str">
        <f t="shared" si="15"/>
        <v>项目建筑规模</v>
      </c>
      <c r="AA33" s="1264">
        <f t="shared" si="3"/>
        <v>0.99009900990099009</v>
      </c>
      <c r="AB33" s="1264">
        <f t="shared" si="4"/>
        <v>0.98039215686274506</v>
      </c>
      <c r="AC33" s="1264">
        <f t="shared" si="5"/>
        <v>0.98039215686274506</v>
      </c>
    </row>
    <row r="34" spans="1:29" ht="15.5">
      <c r="A34" s="409"/>
      <c r="B34" s="364" t="s">
        <v>1698</v>
      </c>
      <c r="C34" s="399" t="s">
        <v>3446</v>
      </c>
      <c r="D34" s="374">
        <v>100</v>
      </c>
      <c r="E34" s="399" t="s">
        <v>3446</v>
      </c>
      <c r="F34" s="400">
        <f>SUMIF(105:105,E34,106:106)-SUMIF(105:105,C34,106:106)+100</f>
        <v>100</v>
      </c>
      <c r="G34" s="399" t="s">
        <v>3446</v>
      </c>
      <c r="H34" s="374">
        <f>SUMIF(105:105,G34,106:106)-SUMIF(105:105,C34,106:106)+100</f>
        <v>100</v>
      </c>
      <c r="I34" s="399" t="s">
        <v>3446</v>
      </c>
      <c r="J34" s="374">
        <f>SUMIF(105:105,I34,106:106)-SUMIF(105:105,C34,106:106)+100</f>
        <v>100</v>
      </c>
      <c r="K34" s="538">
        <v>2</v>
      </c>
      <c r="L34" s="2491"/>
      <c r="M34" s="2486" t="s">
        <v>3503</v>
      </c>
      <c r="N34" s="2486">
        <v>100</v>
      </c>
      <c r="O34" s="2486">
        <f>ROUND(N34*O36/N36,0)</f>
        <v>118</v>
      </c>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3504</v>
      </c>
      <c r="N35" s="2486">
        <v>70</v>
      </c>
      <c r="O35" s="2486">
        <f>ROUND(N35*O36/N36,0)</f>
        <v>82</v>
      </c>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5">
      <c r="A36" s="409"/>
      <c r="B36" s="364" t="s">
        <v>1786</v>
      </c>
      <c r="C36" s="411">
        <f>'数据-取费表'!N6</f>
        <v>0.74</v>
      </c>
      <c r="D36" s="374">
        <v>100</v>
      </c>
      <c r="E36" s="411">
        <f>C36</f>
        <v>0.74</v>
      </c>
      <c r="F36" s="400">
        <f>LOOKUP(E36,110:110,111:111)-LOOKUP(C36,110:110,111:111)+100</f>
        <v>100</v>
      </c>
      <c r="G36" s="411">
        <v>0.7</v>
      </c>
      <c r="H36" s="400">
        <f>LOOKUP(G36,110:110,111:111)-LOOKUP(C36,110:110,111:111)+100</f>
        <v>100</v>
      </c>
      <c r="I36" s="411">
        <v>0.7</v>
      </c>
      <c r="J36" s="374">
        <f>LOOKUP(I36,110:110,111:111)-LOOKUP(C36,110:110,111:111)+100</f>
        <v>100</v>
      </c>
      <c r="K36" s="538">
        <v>1</v>
      </c>
      <c r="L36" s="2491"/>
      <c r="M36" s="2486" t="s">
        <v>3505</v>
      </c>
      <c r="N36" s="2486">
        <f>ROUND((N34+N35)/2,2)</f>
        <v>85</v>
      </c>
      <c r="O36" s="2486">
        <v>100</v>
      </c>
      <c r="P36" s="3387"/>
      <c r="Q36" s="1263" t="str">
        <f t="shared" si="11"/>
        <v>成新度</v>
      </c>
      <c r="R36" s="667" t="s">
        <v>14</v>
      </c>
      <c r="S36" s="668">
        <f t="shared" si="12"/>
        <v>100</v>
      </c>
      <c r="T36" s="667" t="s">
        <v>14</v>
      </c>
      <c r="U36" s="668">
        <f t="shared" si="13"/>
        <v>100</v>
      </c>
      <c r="V36" s="667" t="s">
        <v>14</v>
      </c>
      <c r="W36" s="668">
        <f t="shared" si="14"/>
        <v>100</v>
      </c>
      <c r="X36" s="1265"/>
      <c r="Y36" s="3389"/>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t="s">
        <v>3502</v>
      </c>
      <c r="N37" s="2439">
        <f>O50</f>
        <v>79</v>
      </c>
      <c r="O37" s="2439">
        <f>ROUND(N37*O36/N36,0)</f>
        <v>93</v>
      </c>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5</v>
      </c>
      <c r="L38" s="2491"/>
      <c r="M38" s="2486"/>
      <c r="N38" s="2486"/>
      <c r="O38" s="2486"/>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v>5</v>
      </c>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v>2</v>
      </c>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v>2</v>
      </c>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5">
      <c r="A44" s="410"/>
      <c r="B44" s="1066">
        <v>111</v>
      </c>
      <c r="C44" s="407" t="s">
        <v>3499</v>
      </c>
      <c r="D44" s="119">
        <v>100</v>
      </c>
      <c r="E44" s="373" t="s">
        <v>3500</v>
      </c>
      <c r="F44" s="364">
        <f>SUMIF(126:126,E44,127:127)-SUMIF(126:126,C44,127:127)+100</f>
        <v>100</v>
      </c>
      <c r="G44" s="373"/>
      <c r="H44" s="119">
        <f>SUMIF(126:126,G44,127:127)-SUMIF(126:126,C44,127:127)+100</f>
        <v>100</v>
      </c>
      <c r="I44" s="373" t="s">
        <v>3500</v>
      </c>
      <c r="J44" s="119">
        <f>SUMIF(126:126,I44,127:127)-SUMIF(126:126,C44,127:127)+100</f>
        <v>100</v>
      </c>
      <c r="K44" s="539"/>
      <c r="L44" s="2487"/>
      <c r="M44" s="2439"/>
      <c r="N44" s="2439"/>
      <c r="O44" s="2439"/>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5">
      <c r="A45" s="409"/>
      <c r="B45" s="1066">
        <v>111</v>
      </c>
      <c r="C45" s="373">
        <f>'数据-基础表'!G13/'数据-基础表'!B3</f>
        <v>0.51496295291544458</v>
      </c>
      <c r="D45" s="374">
        <v>100</v>
      </c>
      <c r="E45" s="373" t="s">
        <v>3501</v>
      </c>
      <c r="F45" s="400">
        <f>SUMIF(128:128,E45,129:129)-SUMIF(128:128,C45,129:129)+100</f>
        <v>100</v>
      </c>
      <c r="G45" s="373"/>
      <c r="H45" s="374">
        <f>SUMIF(128:128,G45,129:129)-SUMIF(128:128,C45,129:129)+100</f>
        <v>100</v>
      </c>
      <c r="I45" s="3523">
        <v>0.5</v>
      </c>
      <c r="J45" s="374">
        <f>SUMIF(128:128,I45,129:129)-SUMIF(128:128,C45,129:129)+100</f>
        <v>100</v>
      </c>
      <c r="K45" s="539"/>
      <c r="L45" s="2491"/>
      <c r="M45" s="3518" t="s">
        <v>3506</v>
      </c>
      <c r="N45" s="3518" t="s">
        <v>3507</v>
      </c>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t="s">
        <v>3503</v>
      </c>
      <c r="N46" s="2486">
        <v>30</v>
      </c>
      <c r="O46" s="2486">
        <f>N46/N48</f>
        <v>0.3</v>
      </c>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c r="A47" s="416" t="s">
        <v>1708</v>
      </c>
      <c r="B47" s="417"/>
      <c r="C47" s="1081" t="s">
        <v>0</v>
      </c>
      <c r="D47" s="418"/>
      <c r="E47" s="419">
        <f>售价案例!O12</f>
        <v>49906</v>
      </c>
      <c r="F47" s="420"/>
      <c r="G47" s="421">
        <f>G51</f>
        <v>51729</v>
      </c>
      <c r="H47" s="422"/>
      <c r="I47" s="419">
        <f>售价案例!N123</f>
        <v>44488</v>
      </c>
      <c r="J47" s="422"/>
      <c r="K47" s="674"/>
      <c r="L47" s="2493"/>
      <c r="M47" s="2486" t="s">
        <v>3504</v>
      </c>
      <c r="N47" s="2486">
        <v>70</v>
      </c>
      <c r="O47" s="2486">
        <f>N47/N48</f>
        <v>0.7</v>
      </c>
      <c r="P47" s="3382" t="str">
        <f>A47</f>
        <v>成交单价（元/平方米）</v>
      </c>
      <c r="Q47" s="3382"/>
      <c r="R47" s="3383">
        <f>E47</f>
        <v>49906</v>
      </c>
      <c r="S47" s="3383"/>
      <c r="T47" s="3383">
        <f>G47</f>
        <v>51729</v>
      </c>
      <c r="U47" s="3383"/>
      <c r="V47" s="3383">
        <f>I47</f>
        <v>44488</v>
      </c>
      <c r="W47" s="3383"/>
      <c r="X47" s="385"/>
      <c r="Y47" s="673"/>
      <c r="Z47" s="385"/>
      <c r="AA47" s="385"/>
      <c r="AB47" s="385"/>
      <c r="AC47" s="385"/>
    </row>
    <row r="48" spans="1:29" ht="14.5" thickBot="1">
      <c r="A48" s="423" t="s">
        <v>1793</v>
      </c>
      <c r="B48" s="424"/>
      <c r="C48" s="1082">
        <f>R49</f>
        <v>44003</v>
      </c>
      <c r="D48" s="2141" t="s">
        <v>2138</v>
      </c>
      <c r="E48" s="1083">
        <f>R48</f>
        <v>46001</v>
      </c>
      <c r="F48" s="2142"/>
      <c r="G48" s="1082">
        <f>T48</f>
        <v>40283</v>
      </c>
      <c r="H48" s="2142"/>
      <c r="I48" s="1083">
        <f>V48</f>
        <v>45724</v>
      </c>
      <c r="J48" s="2142"/>
      <c r="K48" s="2144">
        <f>F48+H48+J48</f>
        <v>0</v>
      </c>
      <c r="L48" s="2493"/>
      <c r="M48" s="3518" t="s">
        <v>3508</v>
      </c>
      <c r="N48" s="2486">
        <v>100</v>
      </c>
      <c r="O48" s="2486"/>
      <c r="P48" s="3382" t="str">
        <f>A48</f>
        <v>比较价值（元/平方米）</v>
      </c>
      <c r="Q48" s="3382"/>
      <c r="R48" s="3383">
        <f>IF(F1="售价",ROUND(PRODUCT(R47,AA7:AA46),0),ROUND(PRODUCT(R47,AA7:AA46),1))</f>
        <v>46001</v>
      </c>
      <c r="S48" s="3383"/>
      <c r="T48" s="3383">
        <f>IF(F1="售价",ROUND(PRODUCT(T47,AB7:AB46),0),ROUND(PRODUCT(T47,AB7:AB46),1))</f>
        <v>40283</v>
      </c>
      <c r="U48" s="3383"/>
      <c r="V48" s="3383">
        <f>IF(F1="售价",ROUND(PRODUCT(V47,AC7:AC46),0),ROUND(PRODUCT(V47,AC7:AC46),1))</f>
        <v>45724</v>
      </c>
      <c r="W48" s="3383"/>
      <c r="X48" s="385"/>
      <c r="Y48" s="385"/>
      <c r="Z48" s="385"/>
      <c r="AA48" s="385"/>
      <c r="AB48" s="385"/>
      <c r="AC48" s="385"/>
    </row>
    <row r="49" spans="1:29" ht="14.5" thickBot="1">
      <c r="A49" s="427" t="s">
        <v>1794</v>
      </c>
      <c r="B49" s="428"/>
      <c r="C49" s="351">
        <f>R49</f>
        <v>44003</v>
      </c>
      <c r="D49" s="351"/>
      <c r="E49" s="351"/>
      <c r="F49" s="351"/>
      <c r="G49" s="351"/>
      <c r="H49" s="351"/>
      <c r="I49" s="351"/>
      <c r="J49" s="351"/>
      <c r="K49" s="675"/>
      <c r="L49" s="2493"/>
      <c r="M49" s="2486"/>
      <c r="N49" s="2486"/>
      <c r="O49" s="3518" t="s">
        <v>3510</v>
      </c>
      <c r="P49" s="3379" t="str">
        <f>A49</f>
        <v>估价对象XX用房的比较价值（楼面单价，元/平方米）</v>
      </c>
      <c r="Q49" s="3380"/>
      <c r="R49" s="3381">
        <f>IF(F1="售价",ROUND(IF(D48="简单平均",AVERAGE(R48:V48),R48*F48+T48*H48+V48*J48),0),ROUND(IF(D48="简单平均",AVERAGE(R48:V48),R48*F48+T48*H48+V48*J48),1))</f>
        <v>44003</v>
      </c>
      <c r="S49" s="3381"/>
      <c r="T49" s="3381"/>
      <c r="U49" s="3381"/>
      <c r="V49" s="3381"/>
      <c r="W49" s="3381"/>
      <c r="X49" s="385"/>
      <c r="Y49" s="385"/>
      <c r="Z49" s="385"/>
      <c r="AA49" s="385"/>
      <c r="AB49" s="385"/>
      <c r="AC49" s="385"/>
    </row>
    <row r="50" spans="1:29">
      <c r="A50" s="2486"/>
      <c r="B50" s="2486"/>
      <c r="C50" s="2486"/>
      <c r="D50" s="2486"/>
      <c r="E50" s="2486"/>
      <c r="F50" s="2486"/>
      <c r="G50" s="3521">
        <f>售价案例!O44</f>
        <v>60858</v>
      </c>
      <c r="H50" s="2486"/>
      <c r="I50" s="2486"/>
      <c r="J50" s="2486"/>
      <c r="K50" s="2498"/>
      <c r="L50" s="2494"/>
      <c r="M50" s="2486"/>
      <c r="N50" s="2486" t="s">
        <v>3509</v>
      </c>
      <c r="O50" s="2486">
        <f>ROUND(O46*N34+O47*N35,2)</f>
        <v>79</v>
      </c>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3522" t="s">
        <v>3529</v>
      </c>
      <c r="G51" s="2486">
        <f>ROUND(G50*N36/N34,0)</f>
        <v>51729</v>
      </c>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8.4889458924805927E-2</v>
      </c>
      <c r="F52" s="435" t="str">
        <f>IF(OR(E52&gt;=0.3,E52&lt;=-0.3),"超过30%","")</f>
        <v/>
      </c>
      <c r="G52" s="434">
        <f>IF(G47&lt;G48,G48/G47-1,G47/G48-1)</f>
        <v>0.28413971154084861</v>
      </c>
      <c r="H52" s="435" t="str">
        <f>IF(OR(G52&gt;=0.3,G52&lt;=-0.3),"超过30%","")</f>
        <v/>
      </c>
      <c r="I52" s="434">
        <f>IF(I47&lt;I48,I48/I47-1,I47/I48-1)</f>
        <v>2.7782772882575024E-2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0.14194573393242815</v>
      </c>
      <c r="F53" s="435" t="str">
        <f>IF(OR(E53&gt;=0.2,E53&lt;=-0.2),"超过20%","")</f>
        <v/>
      </c>
      <c r="G53" s="434">
        <f>IF(G48&lt;I48,I48/G48-1,G48/I48-1)</f>
        <v>0.13506938410743996</v>
      </c>
      <c r="H53" s="435" t="str">
        <f>IF(OR(G53&gt;=0.2,G53&lt;=-0.2),"超过20%","")</f>
        <v/>
      </c>
      <c r="I53" s="434">
        <f>IF(I48&lt;E48,E48/I48-1,I48/E48-1)</f>
        <v>6.0580876563729458E-3</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3.6528673906945031E-2</v>
      </c>
      <c r="F54" s="435" t="str">
        <f>IF(OR(E54&gt;=0.3,E54&lt;=-0.3),"超过30%","")</f>
        <v/>
      </c>
      <c r="G54" s="434">
        <f>IF(G47&lt;I47,I47/G47-1,G47/I47-1)</f>
        <v>0.16276299226757773</v>
      </c>
      <c r="H54" s="435" t="str">
        <f>IF(OR(G54&gt;=0.3,G54&lt;=-0.3),"超过30%","")</f>
        <v/>
      </c>
      <c r="I54" s="434">
        <f>IF(I47&lt;E47,E47/I47-1,I47/E47-1)</f>
        <v>0.1217856500629384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511" t="s">
        <v>3460</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16384:16384" ht="28.5" thickTop="1">
      <c r="A65" s="367"/>
      <c r="B65" s="469" t="s">
        <v>1688</v>
      </c>
      <c r="C65" s="513" t="s">
        <v>3514</v>
      </c>
      <c r="D65" s="513" t="s">
        <v>3515</v>
      </c>
      <c r="E65" s="513" t="s">
        <v>3461</v>
      </c>
      <c r="F65" s="513" t="s">
        <v>3516</v>
      </c>
      <c r="G65" s="513" t="s">
        <v>3517</v>
      </c>
      <c r="H65" s="513" t="s">
        <v>3518</v>
      </c>
      <c r="I65" s="513" t="s">
        <v>3519</v>
      </c>
      <c r="J65" s="513" t="s">
        <v>3520</v>
      </c>
      <c r="K65" s="514"/>
      <c r="L65" s="515"/>
      <c r="M65" s="516"/>
      <c r="N65" s="2520"/>
      <c r="O65" s="2520"/>
      <c r="P65" s="2512"/>
      <c r="Q65" s="2507"/>
      <c r="R65" s="2486"/>
      <c r="S65" s="2486"/>
      <c r="T65" s="2486"/>
      <c r="U65" s="2486"/>
      <c r="V65" s="2486"/>
      <c r="W65" s="2486"/>
      <c r="X65" s="2486"/>
      <c r="Y65" s="2486"/>
      <c r="Z65" s="2486"/>
      <c r="AA65" s="2486"/>
      <c r="AB65" s="2486"/>
      <c r="AC65" s="2486"/>
      <c r="XFD65" s="347">
        <v>2</v>
      </c>
    </row>
    <row r="66" spans="1:29 16384:16384" ht="14.5" thickBot="1">
      <c r="A66" s="367"/>
      <c r="B66" s="474"/>
      <c r="C66" s="467">
        <f t="shared" ref="C66:H66" si="17">D66-3</f>
        <v>79</v>
      </c>
      <c r="D66" s="467">
        <f t="shared" si="17"/>
        <v>82</v>
      </c>
      <c r="E66" s="467">
        <f t="shared" si="17"/>
        <v>85</v>
      </c>
      <c r="F66" s="467">
        <f t="shared" si="17"/>
        <v>88</v>
      </c>
      <c r="G66" s="467">
        <f t="shared" si="17"/>
        <v>91</v>
      </c>
      <c r="H66" s="467">
        <f t="shared" si="17"/>
        <v>94</v>
      </c>
      <c r="I66" s="467">
        <f>J66-3</f>
        <v>97</v>
      </c>
      <c r="J66" s="467">
        <v>100</v>
      </c>
      <c r="K66" s="467"/>
      <c r="L66" s="467"/>
      <c r="M66" s="468"/>
      <c r="N66" s="2521"/>
      <c r="O66" s="2521"/>
      <c r="P66" s="2512"/>
      <c r="Q66" s="2507"/>
      <c r="R66" s="2486"/>
      <c r="S66" s="2486"/>
      <c r="T66" s="2486"/>
      <c r="U66" s="2486"/>
      <c r="V66" s="2486"/>
      <c r="W66" s="2486"/>
      <c r="X66" s="2486"/>
      <c r="Y66" s="2486"/>
      <c r="Z66" s="2486"/>
      <c r="AA66" s="2486"/>
      <c r="AB66" s="2486"/>
      <c r="AC66" s="2486"/>
    </row>
    <row r="67" spans="1:29 16384:16384"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16384:16384">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16384:16384"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16384:16384"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16384:16384"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16384:16384"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16384:16384"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16384:16384"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16384:16384"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16384:1638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16384:16384" ht="14.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16384:16384"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16384:16384"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16384:16384"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512" t="s">
        <v>3462</v>
      </c>
      <c r="D86" s="3512" t="s">
        <v>3464</v>
      </c>
      <c r="E86" s="3512" t="s">
        <v>3466</v>
      </c>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98</v>
      </c>
      <c r="E87" s="475">
        <f t="shared" si="21"/>
        <v>96</v>
      </c>
      <c r="F87" s="475">
        <f t="shared" si="21"/>
        <v>94</v>
      </c>
      <c r="G87" s="475">
        <f t="shared" si="21"/>
        <v>92</v>
      </c>
      <c r="H87" s="475">
        <f t="shared" si="21"/>
        <v>90</v>
      </c>
      <c r="I87" s="475">
        <f t="shared" si="21"/>
        <v>88</v>
      </c>
      <c r="J87" s="475">
        <f t="shared" si="21"/>
        <v>86</v>
      </c>
      <c r="K87" s="475">
        <f t="shared" si="21"/>
        <v>84</v>
      </c>
      <c r="L87" s="475">
        <f t="shared" si="21"/>
        <v>82</v>
      </c>
      <c r="M87" s="475">
        <f t="shared" si="21"/>
        <v>80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512" t="s">
        <v>3467</v>
      </c>
      <c r="D88" s="3512" t="s">
        <v>3458</v>
      </c>
      <c r="E88" s="3512" t="s">
        <v>3468</v>
      </c>
      <c r="F88" s="3513" t="s">
        <v>3469</v>
      </c>
      <c r="G88" s="3512" t="s">
        <v>3470</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f>C89-5</f>
        <v>95</v>
      </c>
      <c r="E89" s="467">
        <f t="shared" ref="E89:G89" si="22">D89-5</f>
        <v>90</v>
      </c>
      <c r="F89" s="467">
        <f t="shared" si="22"/>
        <v>85</v>
      </c>
      <c r="G89" s="467">
        <f t="shared" si="22"/>
        <v>80</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512" t="s">
        <v>3471</v>
      </c>
      <c r="D90" s="3512" t="s">
        <v>3473</v>
      </c>
      <c r="E90" s="3512" t="s">
        <v>3468</v>
      </c>
      <c r="F90" s="3512" t="s">
        <v>3475</v>
      </c>
      <c r="G90" s="3512" t="s">
        <v>3476</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95</v>
      </c>
      <c r="E91" s="475">
        <f t="shared" ref="E91:M91" si="23">D91-$K27</f>
        <v>90</v>
      </c>
      <c r="F91" s="475">
        <f t="shared" si="23"/>
        <v>85</v>
      </c>
      <c r="G91" s="475">
        <f t="shared" si="23"/>
        <v>80</v>
      </c>
      <c r="H91" s="475">
        <f t="shared" si="23"/>
        <v>75</v>
      </c>
      <c r="I91" s="475">
        <f t="shared" si="23"/>
        <v>70</v>
      </c>
      <c r="J91" s="475">
        <f t="shared" si="23"/>
        <v>65</v>
      </c>
      <c r="K91" s="475">
        <f t="shared" si="23"/>
        <v>60</v>
      </c>
      <c r="L91" s="475">
        <f t="shared" si="23"/>
        <v>55</v>
      </c>
      <c r="M91" s="475">
        <f t="shared" si="23"/>
        <v>50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3477</v>
      </c>
      <c r="D92" s="485" t="s">
        <v>3478</v>
      </c>
      <c r="E92" s="485" t="s">
        <v>3502</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f>O34</f>
        <v>118</v>
      </c>
      <c r="D93" s="467">
        <f>O36</f>
        <v>100</v>
      </c>
      <c r="E93" s="467">
        <f>O37</f>
        <v>93</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520" t="s">
        <v>3523</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0(含)-100</v>
      </c>
      <c r="D102" s="509" t="str">
        <f t="shared" ref="D102:L102" si="25">D103&amp;"(含)"&amp;"-"&amp;E103</f>
        <v>100(含)-300</v>
      </c>
      <c r="E102" s="509" t="str">
        <f t="shared" si="25"/>
        <v>300(含)-500</v>
      </c>
      <c r="F102" s="509" t="str">
        <f t="shared" si="25"/>
        <v>500(含)-800</v>
      </c>
      <c r="G102" s="509" t="str">
        <f t="shared" si="25"/>
        <v>800(含)-1000</v>
      </c>
      <c r="H102" s="509" t="str">
        <f t="shared" si="25"/>
        <v>1000(含)-</v>
      </c>
      <c r="I102" s="509" t="str">
        <f t="shared" si="25"/>
        <v>(含)-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300</v>
      </c>
      <c r="F103" s="6">
        <v>500</v>
      </c>
      <c r="G103" s="6">
        <v>800</v>
      </c>
      <c r="H103" s="6">
        <v>1000</v>
      </c>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H104" si="26">D104-1</f>
        <v>98</v>
      </c>
      <c r="F104" s="467">
        <f t="shared" si="26"/>
        <v>97</v>
      </c>
      <c r="G104" s="467">
        <f t="shared" si="26"/>
        <v>96</v>
      </c>
      <c r="H104" s="467">
        <f t="shared" si="26"/>
        <v>95</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3512" t="s">
        <v>3479</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6">
        <f t="shared" si="28"/>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512" t="s">
        <v>3480</v>
      </c>
      <c r="D114" s="3512" t="s">
        <v>3481</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1">C115-$K38</f>
        <v>95</v>
      </c>
      <c r="E115" s="475">
        <f t="shared" si="31"/>
        <v>90</v>
      </c>
      <c r="F115" s="475">
        <f t="shared" si="31"/>
        <v>85</v>
      </c>
      <c r="G115" s="475">
        <f t="shared" si="31"/>
        <v>80</v>
      </c>
      <c r="H115" s="475">
        <f t="shared" si="31"/>
        <v>75</v>
      </c>
      <c r="I115" s="475">
        <f t="shared" si="31"/>
        <v>70</v>
      </c>
      <c r="J115" s="475">
        <f t="shared" si="31"/>
        <v>65</v>
      </c>
      <c r="K115" s="475">
        <f t="shared" si="31"/>
        <v>60</v>
      </c>
      <c r="L115" s="475">
        <f t="shared" si="31"/>
        <v>55</v>
      </c>
      <c r="M115" s="476">
        <f t="shared" si="31"/>
        <v>50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512" t="s">
        <v>3482</v>
      </c>
      <c r="D116" s="3512" t="s">
        <v>3483</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3512" t="s">
        <v>3484</v>
      </c>
      <c r="D122" s="3512" t="s">
        <v>3485</v>
      </c>
      <c r="E122" s="3512" t="s">
        <v>3486</v>
      </c>
      <c r="F122" s="3514" t="s">
        <v>3487</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589.79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5" t="s">
        <v>1673</v>
      </c>
      <c r="D5" s="3416"/>
      <c r="E5" s="3422" t="s">
        <v>1674</v>
      </c>
      <c r="F5" s="3423"/>
      <c r="G5" s="3415" t="s">
        <v>1675</v>
      </c>
      <c r="H5" s="3416"/>
      <c r="I5" s="3415" t="s">
        <v>1676</v>
      </c>
      <c r="J5" s="3416"/>
      <c r="K5" s="537"/>
      <c r="L5" s="2485"/>
      <c r="M5" s="2486"/>
      <c r="N5" s="2486"/>
      <c r="O5" s="2486"/>
      <c r="P5" s="3432"/>
      <c r="Q5" s="3404"/>
      <c r="R5" s="3409"/>
      <c r="S5" s="3410"/>
      <c r="T5" s="3409"/>
      <c r="U5" s="3410"/>
      <c r="V5" s="3383"/>
      <c r="W5" s="3383"/>
      <c r="X5" s="1265"/>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33"/>
      <c r="Q6" s="3406"/>
      <c r="R6" s="3409"/>
      <c r="S6" s="3410"/>
      <c r="T6" s="3411"/>
      <c r="U6" s="3412"/>
      <c r="V6" s="3383"/>
      <c r="W6" s="3383"/>
      <c r="X6" s="1265"/>
      <c r="Y6" s="3411"/>
      <c r="Z6" s="3412"/>
      <c r="AA6" s="3396"/>
      <c r="AB6" s="3396"/>
      <c r="AC6" s="3429"/>
    </row>
    <row r="7" spans="1:29" s="102" customFormat="1" ht="14.5" thickBot="1">
      <c r="A7" s="352" t="s">
        <v>1679</v>
      </c>
      <c r="B7" s="353"/>
      <c r="C7" s="354">
        <f>'数据-取费表'!B2</f>
        <v>45947</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7"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92"/>
      <c r="Q22" s="1263"/>
      <c r="R22" s="667"/>
      <c r="S22" s="668"/>
      <c r="T22" s="667"/>
      <c r="U22" s="668"/>
      <c r="V22" s="667"/>
      <c r="W22" s="668"/>
      <c r="X22" s="1265"/>
      <c r="Y22" s="338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92"/>
      <c r="Q26" s="1263"/>
      <c r="R26" s="667"/>
      <c r="S26" s="668"/>
      <c r="T26" s="667"/>
      <c r="U26" s="668"/>
      <c r="V26" s="667"/>
      <c r="W26" s="668"/>
      <c r="X26" s="1265"/>
      <c r="Y26" s="338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2"/>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93" t="str">
        <f>A48</f>
        <v>成交单价（元/平方米）</v>
      </c>
      <c r="Q48" s="3382"/>
      <c r="R48" s="3383">
        <f>E48</f>
        <v>0</v>
      </c>
      <c r="S48" s="3383"/>
      <c r="T48" s="3383">
        <f>G48</f>
        <v>0</v>
      </c>
      <c r="U48" s="3383"/>
      <c r="V48" s="3383">
        <f>I48</f>
        <v>0</v>
      </c>
      <c r="W48" s="3383"/>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589.79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82" t="str">
        <f>A37</f>
        <v>成交单价</v>
      </c>
      <c r="Q37" s="3382"/>
      <c r="R37" s="3383">
        <f>E37</f>
        <v>0</v>
      </c>
      <c r="S37" s="3383"/>
      <c r="T37" s="3383">
        <f>G37</f>
        <v>0</v>
      </c>
      <c r="U37" s="3383"/>
      <c r="V37" s="3383">
        <f>I37</f>
        <v>0</v>
      </c>
      <c r="W37" s="338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受贵公司委托，我公司对北京市朝阳区霞光里66号院甲5号楼1层、2层房地产抵押价值进行了预评估。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估价对象为北京市朝阳区霞光里66号院甲5号楼1层、2层房地产，为雷湘莲所有。根据《国有土地使用证》[]，估价对象（分摊）出让国有建设用地使用权面积为0平方米，建筑面积为589.79平方米。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霞光里66号院甲5号楼1层、2层房地产,属雷湘莲开发建设的商业项目，该项目尚在开发建设中。根据《国有土地使用证》[]，估价对象（分摊）出让国有建设用地使用权面积为0平方米，规划建筑面积为589.79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霞光里66号院甲5号楼1层、2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2025年10月17日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147</v>
      </c>
      <c r="G10" s="402"/>
      <c r="H10" s="119">
        <f>ROUND(100/'数据-取费表'!G16,0)</f>
        <v>147</v>
      </c>
      <c r="I10" s="402"/>
      <c r="J10" s="119">
        <f>ROUND(100/'数据-取费表'!G16,0)</f>
        <v>147</v>
      </c>
      <c r="K10" s="592"/>
      <c r="L10" s="2488"/>
      <c r="M10" s="2489"/>
      <c r="N10" s="2489"/>
      <c r="O10" s="2540"/>
      <c r="P10" s="3382"/>
      <c r="Q10" s="530" t="str">
        <f t="shared" si="6"/>
        <v>土地使用年限（年）</v>
      </c>
      <c r="R10" s="664" t="s">
        <v>14</v>
      </c>
      <c r="S10" s="665">
        <f t="shared" si="0"/>
        <v>147</v>
      </c>
      <c r="T10" s="664" t="s">
        <v>14</v>
      </c>
      <c r="U10" s="665">
        <f t="shared" si="1"/>
        <v>147</v>
      </c>
      <c r="V10" s="664" t="s">
        <v>14</v>
      </c>
      <c r="W10" s="665">
        <f t="shared" si="2"/>
        <v>147</v>
      </c>
      <c r="X10" s="666"/>
      <c r="Y10" s="3257"/>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5"/>
      <c r="Q28" s="530"/>
      <c r="R28" s="664"/>
      <c r="S28" s="665"/>
      <c r="T28" s="664"/>
      <c r="U28" s="665"/>
      <c r="V28" s="664"/>
      <c r="W28" s="665"/>
      <c r="X28" s="666"/>
      <c r="Y28" s="338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5"/>
      <c r="Q30" s="530"/>
      <c r="R30" s="664"/>
      <c r="S30" s="665"/>
      <c r="T30" s="664"/>
      <c r="U30" s="665"/>
      <c r="V30" s="664"/>
      <c r="W30" s="665"/>
      <c r="X30" s="666"/>
      <c r="Y30" s="338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9"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2" t="str">
        <f>A46</f>
        <v>成交单价</v>
      </c>
      <c r="Q46" s="3382"/>
      <c r="R46" s="3383">
        <f>E46</f>
        <v>0</v>
      </c>
      <c r="S46" s="3383"/>
      <c r="T46" s="3383">
        <f>G46</f>
        <v>0</v>
      </c>
      <c r="U46" s="3383"/>
      <c r="V46" s="3383">
        <f>I46</f>
        <v>0</v>
      </c>
      <c r="W46" s="338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589.79</v>
      </c>
      <c r="F56" s="833" t="e">
        <f t="shared" ref="F56:F64" si="15">ROUND(B56*E56/10000,0)</f>
        <v>#DIV/0!</v>
      </c>
      <c r="G56" s="3393"/>
      <c r="H56" s="338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0.7</v>
      </c>
      <c r="D57" s="891">
        <v>0.25</v>
      </c>
      <c r="E57" s="614"/>
      <c r="F57" s="833" t="e">
        <f t="shared" si="15"/>
        <v>#DIV/0!</v>
      </c>
      <c r="G57" s="2749" t="s">
        <v>1892</v>
      </c>
      <c r="H57" s="834" t="str">
        <f>项目基本情况!B37</f>
        <v>二级</v>
      </c>
      <c r="I57" s="838">
        <f>SUMIF(修正!A59:A70,H57,修正!B59:B70)</f>
        <v>0.7</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0.4</v>
      </c>
      <c r="D58" s="891">
        <v>0.25</v>
      </c>
      <c r="E58" s="614"/>
      <c r="F58" s="833" t="e">
        <f t="shared" si="15"/>
        <v>#DIV/0!</v>
      </c>
      <c r="G58" s="2750"/>
      <c r="H58" s="834" t="str">
        <f>项目基本情况!B37</f>
        <v>二级</v>
      </c>
      <c r="I58" s="838">
        <f>SUMIF(修正!A59:A70,H58,修正!C59:C70)</f>
        <v>0.4</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0.3</v>
      </c>
      <c r="D59" s="891">
        <v>0.25</v>
      </c>
      <c r="E59" s="614"/>
      <c r="F59" s="833" t="e">
        <f t="shared" si="15"/>
        <v>#DIV/0!</v>
      </c>
      <c r="G59" s="2750"/>
      <c r="H59" s="834" t="str">
        <f>项目基本情况!B37</f>
        <v>二级</v>
      </c>
      <c r="I59" s="838">
        <f>SUMIF(修正!A59:A70,H59,修正!D59:D70)</f>
        <v>0.3</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二级</v>
      </c>
      <c r="I63" s="838">
        <f>SUMIF(修正!A59:A70,H63,修正!G59:G70)</f>
        <v>0.2</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589.79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45947</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147</v>
      </c>
      <c r="G10" s="371"/>
      <c r="H10" s="119">
        <f>ROUND(100/'数据-取费表'!G16,0)</f>
        <v>147</v>
      </c>
      <c r="I10" s="371"/>
      <c r="J10" s="119">
        <f>ROUND(100/'数据-取费表'!G16,0)</f>
        <v>147</v>
      </c>
      <c r="K10" s="592"/>
      <c r="L10" s="2488"/>
      <c r="M10" s="2489"/>
      <c r="N10" s="2489"/>
      <c r="O10" s="2540"/>
      <c r="P10" s="3382"/>
      <c r="Q10" s="530" t="str">
        <f t="shared" si="6"/>
        <v>土地使用年限（年）</v>
      </c>
      <c r="R10" s="664" t="s">
        <v>14</v>
      </c>
      <c r="S10" s="665">
        <f t="shared" si="0"/>
        <v>147</v>
      </c>
      <c r="T10" s="664" t="s">
        <v>14</v>
      </c>
      <c r="U10" s="665">
        <f t="shared" si="1"/>
        <v>147</v>
      </c>
      <c r="V10" s="664" t="s">
        <v>14</v>
      </c>
      <c r="W10" s="665">
        <f t="shared" si="2"/>
        <v>147</v>
      </c>
      <c r="X10" s="666"/>
      <c r="Y10" s="3257"/>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5"/>
      <c r="Q24" s="530"/>
      <c r="R24" s="664"/>
      <c r="S24" s="665"/>
      <c r="T24" s="664"/>
      <c r="U24" s="665"/>
      <c r="V24" s="664"/>
      <c r="W24" s="665"/>
      <c r="X24" s="666"/>
      <c r="Y24" s="338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5"/>
      <c r="Q26" s="530"/>
      <c r="R26" s="664"/>
      <c r="S26" s="665"/>
      <c r="T26" s="664"/>
      <c r="U26" s="665"/>
      <c r="V26" s="664"/>
      <c r="W26" s="665"/>
      <c r="X26" s="666"/>
      <c r="Y26" s="338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9"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82" t="str">
        <f>A41</f>
        <v>成交单价</v>
      </c>
      <c r="Q41" s="3382"/>
      <c r="R41" s="3383">
        <f>E41</f>
        <v>0</v>
      </c>
      <c r="S41" s="3383"/>
      <c r="T41" s="3383">
        <f>G41</f>
        <v>0</v>
      </c>
      <c r="U41" s="3383"/>
      <c r="V41" s="3383">
        <f>I41</f>
        <v>0</v>
      </c>
      <c r="W41" s="338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2" t="str">
        <f>A42</f>
        <v>比较价值（元/平方米）</v>
      </c>
      <c r="Q42" s="3382"/>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79" t="str">
        <f>A43</f>
        <v>估价对象XX用房的比较价值（楼面单价，元/平方米）</v>
      </c>
      <c r="Q43" s="3380"/>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589.79</v>
      </c>
      <c r="F51" s="611" t="e">
        <f t="shared" ref="F51:F60" si="15">ROUND(B51*E51/10000,0)</f>
        <v>#DIV/0!</v>
      </c>
      <c r="G51" s="3393"/>
      <c r="H51" s="338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0.7</v>
      </c>
      <c r="D52" s="891">
        <v>0.25</v>
      </c>
      <c r="E52" s="614"/>
      <c r="F52" s="611" t="e">
        <f t="shared" si="15"/>
        <v>#DIV/0!</v>
      </c>
      <c r="G52" s="2749" t="s">
        <v>1892</v>
      </c>
      <c r="H52" s="834" t="str">
        <f>项目基本情况!B37</f>
        <v>二级</v>
      </c>
      <c r="I52" s="727">
        <f>SUMIF(修正!A59:A70,H52,修正!B59:B70)</f>
        <v>0.7</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0.4</v>
      </c>
      <c r="D53" s="891">
        <v>0.25</v>
      </c>
      <c r="E53" s="614"/>
      <c r="F53" s="611" t="e">
        <f t="shared" si="15"/>
        <v>#DIV/0!</v>
      </c>
      <c r="G53" s="2750"/>
      <c r="H53" s="834" t="str">
        <f>项目基本情况!B37</f>
        <v>二级</v>
      </c>
      <c r="I53" s="727">
        <f>SUMIF(修正!A59:A70,H53,修正!C59:C70)</f>
        <v>0.4</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0.3</v>
      </c>
      <c r="D54" s="891">
        <v>0.25</v>
      </c>
      <c r="E54" s="614"/>
      <c r="F54" s="611" t="e">
        <f t="shared" si="15"/>
        <v>#DIV/0!</v>
      </c>
      <c r="G54" s="2750"/>
      <c r="H54" s="834" t="str">
        <f>项目基本情况!B37</f>
        <v>二级</v>
      </c>
      <c r="I54" s="727">
        <f>SUMIF(修正!A59:A70,H54,修正!D59:D70)</f>
        <v>0.3</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二级</v>
      </c>
      <c r="I59" s="727">
        <f>SUMIF(修正!A59:A70,H59,修正!G59:G70)</f>
        <v>0.2</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5">
      <c r="A3" s="1984" t="s">
        <v>2076</v>
      </c>
      <c r="B3" s="2387" t="e">
        <f ca="1">ROUND(B2*10000/E2,0)</f>
        <v>#DIV/0!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18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854.18190000000004</v>
      </c>
      <c r="C2" s="1289" t="s">
        <v>879</v>
      </c>
      <c r="D2" s="1375">
        <f ca="1">C40+J29+L46</f>
        <v>8541819</v>
      </c>
      <c r="E2" s="1295" t="s">
        <v>880</v>
      </c>
      <c r="F2" s="1296"/>
      <c r="G2" s="2477"/>
      <c r="H2" s="2467"/>
      <c r="I2" s="2467"/>
      <c r="J2" s="2467"/>
      <c r="K2" s="2468"/>
      <c r="L2" s="2467"/>
      <c r="M2" s="2467"/>
    </row>
    <row r="3" spans="1:37" ht="18" customHeight="1" thickBot="1">
      <c r="A3" s="1297" t="s">
        <v>881</v>
      </c>
      <c r="B3" s="1298">
        <f ca="1">IF(ISERROR(D2/F43),0,ROUND(D2/F43,0))</f>
        <v>14483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721636</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720735</v>
      </c>
      <c r="D6" s="147" t="s">
        <v>2106</v>
      </c>
      <c r="E6" s="294" t="s">
        <v>696</v>
      </c>
      <c r="F6" s="295">
        <f ca="1">INDIRECT("'数据-取费表'!u"&amp;$G$1)</f>
        <v>3.72</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589.79</v>
      </c>
      <c r="G7" s="1292"/>
      <c r="H7" s="296"/>
      <c r="I7" s="3356"/>
      <c r="J7" s="298"/>
      <c r="K7" s="299"/>
      <c r="L7" s="294" t="s">
        <v>697</v>
      </c>
      <c r="M7" s="295">
        <f ca="1">F7</f>
        <v>589.79</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901</v>
      </c>
      <c r="D10" s="150" t="s">
        <v>2116</v>
      </c>
      <c r="E10" s="305" t="s">
        <v>701</v>
      </c>
      <c r="F10" s="1053" t="s">
        <v>3445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2981166</v>
      </c>
      <c r="D13" s="1018" t="s">
        <v>705</v>
      </c>
      <c r="E13" s="1018" t="s">
        <v>706</v>
      </c>
      <c r="F13" s="1019">
        <f ca="1">INDIRECT("'数据-取费表'!y"&amp;$G$1)</f>
        <v>0.74</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2654055</v>
      </c>
      <c r="D14" s="1257" t="s">
        <v>708</v>
      </c>
      <c r="E14" s="1255"/>
      <c r="F14" s="311"/>
      <c r="G14" s="1292"/>
      <c r="H14" s="928" t="s">
        <v>398</v>
      </c>
      <c r="I14" s="294" t="s">
        <v>709</v>
      </c>
      <c r="J14" s="21">
        <f ca="1">C29</f>
        <v>4028603</v>
      </c>
      <c r="K14" s="12"/>
      <c r="L14" s="759"/>
      <c r="M14" s="760"/>
    </row>
    <row r="15" spans="1:37" s="1304" customFormat="1" ht="18" customHeight="1" thickBot="1">
      <c r="A15" s="928" t="s">
        <v>399</v>
      </c>
      <c r="B15" s="294" t="s">
        <v>710</v>
      </c>
      <c r="C15" s="21">
        <f ca="1">ROUND(C14*F15,0)</f>
        <v>132703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40286</v>
      </c>
      <c r="K16" s="1024" t="s">
        <v>715</v>
      </c>
      <c r="L16" s="1025"/>
      <c r="M16" s="1009"/>
    </row>
    <row r="17" spans="1:37" s="1304" customFormat="1" ht="18" customHeight="1">
      <c r="A17" s="928" t="s">
        <v>681</v>
      </c>
      <c r="B17" s="294" t="s">
        <v>716</v>
      </c>
      <c r="C17" s="21">
        <f ca="1">ROUND(F17*(F43+INDIRECT("'数据-取费表'!S"&amp;$G$1)),0)</f>
        <v>117958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53081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2957797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59156</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40286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94431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-40286</v>
      </c>
      <c r="K25" s="1032" t="s">
        <v>753</v>
      </c>
      <c r="L25" s="1033"/>
      <c r="M25" s="1034"/>
    </row>
    <row r="26" spans="1:37" ht="18" customHeight="1">
      <c r="A26" s="928" t="s">
        <v>397</v>
      </c>
      <c r="B26" s="294" t="s">
        <v>754</v>
      </c>
      <c r="C26" s="21">
        <f ca="1">ROUND((C19+C20)*F26,0)</f>
        <v>603391</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4028603</v>
      </c>
      <c r="D29" s="1029"/>
      <c r="E29" s="1027"/>
      <c r="F29" s="1030"/>
      <c r="G29" s="1303"/>
      <c r="H29" s="325" t="s">
        <v>396</v>
      </c>
      <c r="I29" s="326" t="s">
        <v>768</v>
      </c>
      <c r="J29" s="327">
        <f ca="1">ROUND(J26/(1+F40)^F41,0)</f>
        <v>0</v>
      </c>
      <c r="K29" s="328" t="s">
        <v>769</v>
      </c>
      <c r="L29" s="329"/>
      <c r="M29" s="330">
        <f ca="1">INDIRECT("'数据-取费表'!k"&amp;$G$1)</f>
        <v>589.79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98532</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48049</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40286</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2981</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7216</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623104</v>
      </c>
      <c r="D39" s="1032" t="s">
        <v>773</v>
      </c>
      <c r="E39" s="1033"/>
      <c r="F39" s="1034"/>
      <c r="G39" s="1292"/>
      <c r="H39" s="2472"/>
      <c r="I39" s="1305"/>
      <c r="J39" s="1306"/>
      <c r="K39" s="2470"/>
      <c r="L39" s="2472"/>
      <c r="M39" s="2472"/>
    </row>
    <row r="40" spans="1:18" ht="18" customHeight="1">
      <c r="A40" s="291" t="s">
        <v>395</v>
      </c>
      <c r="B40" s="292" t="s">
        <v>774</v>
      </c>
      <c r="C40" s="293">
        <f ca="1">ROUND(C39*(1-((1+F42)/(1+F40))^F41)/(F40-F42),0)</f>
        <v>8103428</v>
      </c>
      <c r="D40" s="316" t="s">
        <v>758</v>
      </c>
      <c r="E40" s="294" t="s">
        <v>759</v>
      </c>
      <c r="F40" s="304">
        <f ca="1">INDIRECT("'数据-取费表'!I"&amp;$G$1)</f>
        <v>5.5E-2</v>
      </c>
      <c r="G40" s="1292"/>
      <c r="H40" s="1366">
        <f ca="1">C39/C5</f>
        <v>0.86346024865721782</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13740</v>
      </c>
      <c r="D43" s="328" t="s">
        <v>777</v>
      </c>
      <c r="E43" s="329" t="s">
        <v>778</v>
      </c>
      <c r="F43" s="330">
        <f ca="1">INDIRECT("'数据-取费表'!k"&amp;$G$1)</f>
        <v>589.79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-859.00120000000004</v>
      </c>
      <c r="D45" s="3129" t="s">
        <v>3351</v>
      </c>
      <c r="E45" s="1307"/>
      <c r="F45" s="1307"/>
      <c r="O45" s="1310" t="s">
        <v>808</v>
      </c>
      <c r="P45" s="1366"/>
      <c r="Q45" s="1366"/>
      <c r="R45" s="1366"/>
    </row>
    <row r="46" spans="1:18" s="1292" customFormat="1" ht="14" thickBot="1">
      <c r="A46" s="1311" t="s">
        <v>809</v>
      </c>
      <c r="C46" s="1312">
        <f ca="1">ROUND(C45,0)</f>
        <v>-859</v>
      </c>
      <c r="D46" s="1313" t="str">
        <f>C2</f>
        <v>万元</v>
      </c>
      <c r="I46" s="1314" t="s">
        <v>810</v>
      </c>
      <c r="J46" s="1315"/>
      <c r="K46" s="1316"/>
      <c r="L46" s="1317">
        <f ca="1">IF(M47="住宅",0,IF(L48&gt;J51,L60,J60))</f>
        <v>438391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3446</v>
      </c>
      <c r="K47" s="1323" t="s">
        <v>816</v>
      </c>
      <c r="L47" s="1324">
        <f ca="1">INDIRECT("'数据-取费表'!d"&amp;$G$1)</f>
        <v>40</v>
      </c>
      <c r="M47" s="1288" t="str">
        <f>IF(ISNUMBER(FIND("住宅",C1)),"住宅","非住宅")</f>
        <v>非住宅</v>
      </c>
      <c r="O47" s="1325" t="s">
        <v>403</v>
      </c>
      <c r="P47" s="1326" t="s">
        <v>817</v>
      </c>
      <c r="Q47" s="1327">
        <f ca="1">C40+J29</f>
        <v>8103428</v>
      </c>
      <c r="R47" s="1327" t="s">
        <v>818</v>
      </c>
    </row>
    <row r="48" spans="1:18" s="1292" customFormat="1" ht="43.5" thickBot="1">
      <c r="A48" s="1047" t="s">
        <v>438</v>
      </c>
      <c r="B48" s="292" t="s">
        <v>692</v>
      </c>
      <c r="C48" s="1268">
        <f ca="1">C49+C53+C55</f>
        <v>0</v>
      </c>
      <c r="D48" s="1049"/>
      <c r="E48" s="1050"/>
      <c r="F48" s="908"/>
      <c r="G48" s="681"/>
      <c r="H48" s="682"/>
      <c r="I48" s="1328" t="s">
        <v>819</v>
      </c>
      <c r="J48" s="1329" t="s">
        <v>3447</v>
      </c>
      <c r="K48" s="1330" t="s">
        <v>820</v>
      </c>
      <c r="L48" s="1331">
        <f ca="1">INDIRECT("'数据-取费表'!f"&amp;$G$1)</f>
        <v>18</v>
      </c>
      <c r="O48" s="1325" t="s">
        <v>404</v>
      </c>
      <c r="P48" s="1326" t="s">
        <v>821</v>
      </c>
      <c r="Q48" s="1327">
        <f ca="1">J60</f>
        <v>438391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2005</v>
      </c>
      <c r="K49" s="1330" t="s">
        <v>824</v>
      </c>
      <c r="L49" s="1333"/>
      <c r="O49" s="1334" t="s">
        <v>405</v>
      </c>
      <c r="P49" s="1326" t="s">
        <v>825</v>
      </c>
      <c r="Q49" s="1327">
        <f ca="1">C29</f>
        <v>4028603</v>
      </c>
      <c r="R49" s="1327" t="s">
        <v>818</v>
      </c>
    </row>
    <row r="50" spans="1:18" s="1292" customFormat="1" ht="13.5" thickBot="1">
      <c r="A50" s="922"/>
      <c r="B50" s="925"/>
      <c r="C50" s="926"/>
      <c r="D50" s="899"/>
      <c r="E50" s="993" t="s">
        <v>697</v>
      </c>
      <c r="F50" s="994">
        <f ca="1">F7</f>
        <v>589.79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7111109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v>
      </c>
      <c r="K53" s="3353" t="s">
        <v>837</v>
      </c>
      <c r="L53" s="3354"/>
      <c r="O53" s="1325" t="s">
        <v>409</v>
      </c>
      <c r="P53" s="1326" t="s">
        <v>838</v>
      </c>
      <c r="Q53" s="1327">
        <f ca="1">Q47+Q48</f>
        <v>8541819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2981166</v>
      </c>
      <c r="D56" s="1352"/>
      <c r="E56" s="1353"/>
      <c r="F56" s="1345"/>
      <c r="I56" s="1354" t="s">
        <v>842</v>
      </c>
      <c r="J56" s="1355" t="s">
        <v>3448</v>
      </c>
      <c r="K56" s="1328" t="s">
        <v>843</v>
      </c>
      <c r="L56" s="1331" t="str">
        <f ca="1">IF(L48&lt;J51,"——",L48-J51)</f>
        <v>——</v>
      </c>
      <c r="O56" s="1325" t="s">
        <v>403</v>
      </c>
      <c r="P56" s="1326" t="s">
        <v>817</v>
      </c>
      <c r="Q56" s="1327">
        <f ca="1">C40+J29</f>
        <v>8103428</v>
      </c>
      <c r="R56" s="1327" t="s">
        <v>818</v>
      </c>
    </row>
    <row r="57" spans="1:18" s="1292" customFormat="1" ht="26.5" thickBot="1">
      <c r="A57" s="1356"/>
      <c r="B57" s="896" t="s">
        <v>767</v>
      </c>
      <c r="C57" s="230">
        <f ca="1">C29</f>
        <v>4028603</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43267</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1611441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438391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12</v>
      </c>
      <c r="I62" s="1367" t="s">
        <v>858</v>
      </c>
      <c r="J62" s="610" t="s">
        <v>859</v>
      </c>
      <c r="K62" s="610" t="s">
        <v>860</v>
      </c>
      <c r="L62" s="610" t="s">
        <v>861</v>
      </c>
      <c r="M62" s="1368" t="s">
        <v>862</v>
      </c>
      <c r="O62" s="1325" t="s">
        <v>409</v>
      </c>
      <c r="P62" s="1326" t="s">
        <v>863</v>
      </c>
      <c r="Q62" s="1327">
        <f ca="1">Q56+Q57</f>
        <v>8103428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40286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2981</v>
      </c>
      <c r="D65" s="910" t="s">
        <v>743</v>
      </c>
      <c r="E65" s="896" t="s">
        <v>744</v>
      </c>
      <c r="F65" s="321">
        <f t="shared" ca="1" si="0"/>
        <v>1E-3</v>
      </c>
      <c r="I65" s="1367" t="s">
        <v>867</v>
      </c>
      <c r="J65" s="610">
        <v>40</v>
      </c>
      <c r="K65" s="610">
        <v>30</v>
      </c>
      <c r="L65" s="610">
        <v>50</v>
      </c>
      <c r="M65" s="1369">
        <v>0.02</v>
      </c>
      <c r="O65" s="1325" t="s">
        <v>403</v>
      </c>
      <c r="P65" s="1326" t="s">
        <v>868</v>
      </c>
      <c r="Q65" s="1327">
        <f ca="1">C40+J29</f>
        <v>8103428</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-43267</v>
      </c>
      <c r="D67" s="909" t="s">
        <v>753</v>
      </c>
      <c r="E67" s="914"/>
      <c r="F67" s="915"/>
      <c r="O67" s="1334" t="s">
        <v>405</v>
      </c>
      <c r="P67" s="1326" t="s">
        <v>850</v>
      </c>
      <c r="Q67" s="1370">
        <f ca="1">L51</f>
        <v>7111109</v>
      </c>
      <c r="R67" s="1327" t="s">
        <v>870</v>
      </c>
    </row>
    <row r="68" spans="1:18" s="1292" customFormat="1" ht="16" thickBot="1">
      <c r="A68" s="893" t="s">
        <v>395</v>
      </c>
      <c r="B68" s="894" t="s">
        <v>774</v>
      </c>
      <c r="C68" s="293">
        <f ca="1">ROUND(C67*(1-((1+F70)/(1+F68))^F69)/(F68-F70),0)</f>
        <v>-486584</v>
      </c>
      <c r="D68" s="911" t="s">
        <v>758</v>
      </c>
      <c r="E68" s="896" t="s">
        <v>759</v>
      </c>
      <c r="F68" s="304">
        <f ca="1">F40</f>
        <v>5.5E-2</v>
      </c>
      <c r="O68" s="1334" t="s">
        <v>406</v>
      </c>
      <c r="P68" s="1371" t="s">
        <v>871</v>
      </c>
      <c r="Q68" s="1327">
        <f ca="1">ROUND(Q69-Q70*Q71,0)</f>
        <v>414422</v>
      </c>
      <c r="R68" s="1327" t="s">
        <v>414</v>
      </c>
    </row>
    <row r="69" spans="1:18" s="1292" customFormat="1" ht="13.5" thickBot="1">
      <c r="A69" s="897"/>
      <c r="B69" s="898"/>
      <c r="C69" s="298"/>
      <c r="D69" s="916" t="s">
        <v>762</v>
      </c>
      <c r="E69" s="896" t="s">
        <v>763</v>
      </c>
      <c r="F69" s="324">
        <f ca="1">F41</f>
        <v>18</v>
      </c>
      <c r="O69" s="1334" t="s">
        <v>411</v>
      </c>
      <c r="P69" s="1371" t="s">
        <v>872</v>
      </c>
      <c r="Q69" s="1327">
        <f ca="1">C39</f>
        <v>623104</v>
      </c>
      <c r="R69" s="1327" t="s">
        <v>818</v>
      </c>
    </row>
    <row r="70" spans="1:18" s="1292" customFormat="1" ht="13.5" thickBot="1">
      <c r="A70" s="900"/>
      <c r="B70" s="901"/>
      <c r="C70" s="302"/>
      <c r="D70" s="912"/>
      <c r="E70" s="896" t="s">
        <v>766</v>
      </c>
      <c r="F70" s="991"/>
      <c r="O70" s="1334" t="s">
        <v>412</v>
      </c>
      <c r="P70" s="1371" t="s">
        <v>873</v>
      </c>
      <c r="Q70" s="1327">
        <f ca="1">C13</f>
        <v>2981166</v>
      </c>
      <c r="R70" s="1327" t="s">
        <v>818</v>
      </c>
    </row>
    <row r="71" spans="1:18" s="1292" customFormat="1" ht="13.5" thickBot="1">
      <c r="A71" s="917" t="s">
        <v>396</v>
      </c>
      <c r="B71" s="918" t="s">
        <v>776</v>
      </c>
      <c r="C71" s="327">
        <f ca="1">ROUND(C68/F71,0)</f>
        <v>-825</v>
      </c>
      <c r="D71" s="919" t="s">
        <v>777</v>
      </c>
      <c r="E71" s="920" t="s">
        <v>778</v>
      </c>
      <c r="F71" s="330">
        <f ca="1">F43</f>
        <v>589.79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208682</v>
      </c>
      <c r="D75" s="1292"/>
      <c r="E75" s="1292"/>
      <c r="F75" s="1292"/>
      <c r="K75" s="1309"/>
      <c r="L75" s="1292"/>
      <c r="O75" s="1325" t="s">
        <v>409</v>
      </c>
      <c r="P75" s="1326" t="s">
        <v>838</v>
      </c>
      <c r="Q75" s="1327">
        <f ca="1">Q65+Q66</f>
        <v>8103428</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0.66500000000000004</v>
      </c>
    </row>
    <row r="80" spans="1:18" ht="13">
      <c r="B80" s="331" t="s">
        <v>800</v>
      </c>
      <c r="C80" s="266">
        <f ca="1">ROUND(C75/C39,3)</f>
        <v>0.33500000000000002</v>
      </c>
    </row>
    <row r="81" spans="2:3" ht="13.5">
      <c r="B81" s="262" t="s">
        <v>801</v>
      </c>
      <c r="C81" s="230"/>
    </row>
    <row r="82" spans="2:3" ht="13">
      <c r="B82" s="265" t="s">
        <v>802</v>
      </c>
      <c r="C82" s="267">
        <f ca="1">1-C83</f>
        <v>0.63200000000000001</v>
      </c>
    </row>
    <row r="83" spans="2:3" ht="13">
      <c r="B83" s="265" t="s">
        <v>803</v>
      </c>
      <c r="C83" s="266">
        <f ca="1">ROUND(C13/C40,3)</f>
        <v>0.36799999999999999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FF24C-4A79-4760-9075-20DB7AF38F22}">
  <sheetPr>
    <tabColor rgb="FF7030A0"/>
  </sheetPr>
  <dimension ref="N21:O91"/>
  <sheetViews>
    <sheetView topLeftCell="D1" workbookViewId="0">
      <selection activeCell="V22" sqref="V22"/>
    </sheetView>
  </sheetViews>
  <sheetFormatPr defaultRowHeight="14"/>
  <sheetData>
    <row r="21" spans="14:14">
      <c r="N21" s="1405" t="s">
        <v>3491</v>
      </c>
    </row>
    <row r="43" spans="14:14">
      <c r="N43" s="1405" t="s">
        <v>3491</v>
      </c>
    </row>
    <row r="91" spans="15:15">
      <c r="O91" s="1405" t="s">
        <v>3491</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2234B-EBDB-4E94-936E-1AFBEE638BBD}">
  <sheetPr>
    <tabColor rgb="FF7030A0"/>
  </sheetPr>
  <dimension ref="N9:O123"/>
  <sheetViews>
    <sheetView topLeftCell="A115" workbookViewId="0">
      <selection activeCell="N124" sqref="N124"/>
    </sheetView>
  </sheetViews>
  <sheetFormatPr defaultRowHeight="14"/>
  <sheetData>
    <row r="9" spans="14:15">
      <c r="O9" s="1405" t="s">
        <v>3491</v>
      </c>
    </row>
    <row r="10" spans="14:15">
      <c r="O10" s="1405" t="s">
        <v>3492</v>
      </c>
    </row>
    <row r="11" spans="14:15">
      <c r="N11" s="1405" t="s">
        <v>3387</v>
      </c>
      <c r="O11">
        <v>333.63</v>
      </c>
    </row>
    <row r="12" spans="14:15">
      <c r="N12" s="1405" t="s">
        <v>3388</v>
      </c>
      <c r="O12">
        <v>49906</v>
      </c>
    </row>
    <row r="13" spans="14:15">
      <c r="N13" s="1405" t="s">
        <v>3493</v>
      </c>
      <c r="O13">
        <v>5.91</v>
      </c>
    </row>
    <row r="42" spans="15:15">
      <c r="O42" s="1405" t="s">
        <v>3494</v>
      </c>
    </row>
    <row r="43" spans="15:15">
      <c r="O43">
        <v>180.75</v>
      </c>
    </row>
    <row r="44" spans="15:15">
      <c r="O44">
        <v>60858</v>
      </c>
    </row>
    <row r="82" spans="14:14">
      <c r="N82" s="1405" t="s">
        <v>3524</v>
      </c>
    </row>
    <row r="83" spans="14:14">
      <c r="N83">
        <v>115</v>
      </c>
    </row>
    <row r="84" spans="14:14">
      <c r="N84">
        <v>60870</v>
      </c>
    </row>
    <row r="121" spans="14:14">
      <c r="N121" s="1405" t="s">
        <v>3491</v>
      </c>
    </row>
    <row r="122" spans="14:14">
      <c r="N122">
        <v>269.74</v>
      </c>
    </row>
    <row r="123" spans="14:14">
      <c r="N123">
        <v>44488</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2261.1329999999998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38338</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14051307</v>
      </c>
      <c r="D5" s="203" t="s">
        <v>1469</v>
      </c>
      <c r="E5" s="204" t="s">
        <v>1470</v>
      </c>
      <c r="F5" s="204" t="s">
        <v>1471</v>
      </c>
      <c r="G5" s="205"/>
    </row>
    <row r="6" spans="1:8" s="206" customFormat="1" ht="13.5" customHeight="1">
      <c r="A6" s="732" t="s">
        <v>1472</v>
      </c>
      <c r="B6" s="207" t="s">
        <v>1473</v>
      </c>
      <c r="C6" s="208">
        <f>ROUND(基准地价修正!T2*基准地价修正!U2+基准地价修正!T3*基准地价修正!U3,0)</f>
        <v>13520960</v>
      </c>
      <c r="D6" s="209"/>
      <c r="E6" s="210"/>
      <c r="F6" s="210"/>
      <c r="G6" s="211"/>
    </row>
    <row r="7" spans="1:8" s="206" customFormat="1" ht="13.5" customHeight="1">
      <c r="A7" s="732" t="s">
        <v>1474</v>
      </c>
      <c r="B7" s="207" t="s">
        <v>1475</v>
      </c>
      <c r="C7" s="212">
        <f>ROUND(C6*F7,0)</f>
        <v>412389</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117958</v>
      </c>
      <c r="D8" s="214"/>
      <c r="E8" s="212"/>
      <c r="F8" s="213"/>
      <c r="G8" s="1714" t="s">
        <v>3452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117958</v>
      </c>
      <c r="D10" s="795">
        <f ca="1">IF(B1="",'数据-汇总表'!E6,IF(INDIRECT("'数据-取费表'!c"&amp;$G$1)="住宅",INDIRECT("'数据-取费表'!s"&amp;$G$1),INDIRECT("'数据-取费表'!k"&amp;$G$1)+INDIRECT("'数据-取费表'!s"&amp;$G$1)))</f>
        <v>589.79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589.79</v>
      </c>
      <c r="E19" s="203">
        <f>'数据-取费表'!B31</f>
        <v>200</v>
      </c>
      <c r="F19" s="223"/>
      <c r="G19" s="1714" t="s">
        <v>3453</v>
      </c>
    </row>
    <row r="20" spans="1:7" s="206" customFormat="1" ht="13.5" customHeight="1">
      <c r="A20" s="247" t="s">
        <v>1574</v>
      </c>
      <c r="B20" s="202" t="s">
        <v>1575</v>
      </c>
      <c r="C20" s="224">
        <f ca="1">ROUND((C5+C19)*F20,0)</f>
        <v>281026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902174</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893378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8796</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2866467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2866467</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19630164</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2957797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2654055</v>
      </c>
      <c r="D34" s="209"/>
      <c r="E34" s="212"/>
      <c r="F34" s="249"/>
      <c r="G34" s="211"/>
    </row>
    <row r="35" spans="1:7" ht="13.5" customHeight="1">
      <c r="A35" s="734" t="s">
        <v>351</v>
      </c>
      <c r="B35" s="207" t="s">
        <v>1527</v>
      </c>
      <c r="C35" s="212">
        <f ca="1">ROUND(C34*F35,0)</f>
        <v>132703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117958</v>
      </c>
      <c r="D37" s="209">
        <f ca="1">D19</f>
        <v>589.79</v>
      </c>
      <c r="E37" s="241">
        <f>'数据-取费表'!B35</f>
        <v>200</v>
      </c>
      <c r="F37" s="251"/>
      <c r="G37" s="253"/>
    </row>
    <row r="38" spans="1:7" ht="13.5" customHeight="1">
      <c r="A38" s="734" t="s">
        <v>354</v>
      </c>
      <c r="B38" s="207" t="s">
        <v>1533</v>
      </c>
      <c r="C38" s="212">
        <f ca="1">ROUND(C34*F38,0)</f>
        <v>53081</v>
      </c>
      <c r="D38" s="212"/>
      <c r="E38" s="212"/>
      <c r="F38" s="251">
        <f>'数据-取费表'!B36</f>
        <v>0.02</v>
      </c>
      <c r="G38" s="211" t="s">
        <v>1528</v>
      </c>
    </row>
    <row r="39" spans="1:7" s="206" customFormat="1" ht="13.5" customHeight="1">
      <c r="A39" s="247" t="s">
        <v>1534</v>
      </c>
      <c r="B39" s="202" t="s">
        <v>1535</v>
      </c>
      <c r="C39" s="224">
        <f ca="1">ROUND(C33*F20,0)</f>
        <v>59156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94431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92579</v>
      </c>
      <c r="D42" s="230"/>
      <c r="E42" s="230"/>
      <c r="F42" s="231"/>
      <c r="G42" s="3350" t="s">
        <v>1591</v>
      </c>
    </row>
    <row r="43" spans="1:7" ht="13.5" customHeight="1">
      <c r="A43" s="734" t="s">
        <v>347</v>
      </c>
      <c r="B43" s="207" t="s">
        <v>1545</v>
      </c>
      <c r="C43" s="230">
        <f ca="1">ROUND(IF('数据-取费表'!B22&lt;=1,C39*F22*'数据-取费表'!B20/2,C39*(POWER((1+F22),'数据-取费表'!B20/2)-1)),0)</f>
        <v>1852</v>
      </c>
      <c r="D43" s="230"/>
      <c r="E43" s="230"/>
      <c r="F43" s="231"/>
      <c r="G43" s="3351"/>
    </row>
    <row r="44" spans="1:7" ht="13.5" customHeight="1">
      <c r="A44" s="734" t="s">
        <v>348</v>
      </c>
      <c r="B44" s="207" t="s">
        <v>1546</v>
      </c>
      <c r="C44" s="230">
        <f ca="1">ROUND(IF('数据-取费表'!B22&lt;=1,C40*F22*'数据-取费表'!B20/2,C40*(POWER((1+F22),'数据-取费表'!B20/2)-1)),4)</f>
        <v>5.9999999999999995E-4</v>
      </c>
      <c r="D44" s="230"/>
      <c r="E44" s="230"/>
      <c r="F44" s="231"/>
      <c r="G44" s="3352"/>
    </row>
    <row r="45" spans="1:7" s="206" customFormat="1" ht="13.5" customHeight="1">
      <c r="A45" s="247" t="s">
        <v>1547</v>
      </c>
      <c r="B45" s="236" t="s">
        <v>1513</v>
      </c>
      <c r="C45" s="237">
        <f ca="1">C46</f>
        <v>603391</v>
      </c>
      <c r="D45" s="227">
        <f ca="1">C47</f>
        <v>4.0000000000000001E-3</v>
      </c>
      <c r="E45" s="228" t="s">
        <v>1539</v>
      </c>
      <c r="F45" s="238">
        <f ca="1">F27</f>
        <v>0.2</v>
      </c>
      <c r="G45" s="239" t="s">
        <v>1548</v>
      </c>
    </row>
    <row r="46" spans="1:7" s="206" customFormat="1" ht="13.5" customHeight="1">
      <c r="A46" s="734" t="s">
        <v>346</v>
      </c>
      <c r="B46" s="240" t="s">
        <v>1549</v>
      </c>
      <c r="C46" s="241">
        <f ca="1">ROUND((C33+C39)*F27,0)</f>
        <v>603391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4028603</v>
      </c>
      <c r="D49" s="224"/>
      <c r="E49" s="224"/>
      <c r="F49" s="256"/>
      <c r="G49" s="226" t="s">
        <v>1554</v>
      </c>
    </row>
    <row r="50" spans="1:7" s="250" customFormat="1" ht="13.5">
      <c r="A50" s="247" t="s">
        <v>1555</v>
      </c>
      <c r="B50" s="202" t="s">
        <v>1556</v>
      </c>
      <c r="C50" s="224"/>
      <c r="D50" s="224"/>
      <c r="E50" s="224"/>
      <c r="F50" s="256">
        <f>IF('数据-取费表'!B24=0,'数据-取费表'!N16,1)</f>
        <v>0.74</v>
      </c>
      <c r="G50" s="239"/>
    </row>
    <row r="51" spans="1:7" ht="16.5" customHeight="1">
      <c r="A51" s="247" t="s">
        <v>1558</v>
      </c>
      <c r="B51" s="202" t="s">
        <v>1593</v>
      </c>
      <c r="C51" s="224">
        <f ca="1">ROUND(C49*F50,0)</f>
        <v>2981166</v>
      </c>
      <c r="D51" s="224"/>
      <c r="E51" s="224"/>
      <c r="F51" s="256"/>
      <c r="G51" s="226" t="s">
        <v>1560</v>
      </c>
    </row>
    <row r="52" spans="1:7" s="200" customFormat="1" ht="16.5" thickBot="1">
      <c r="A52" s="257" t="s">
        <v>1561</v>
      </c>
      <c r="B52" s="258"/>
      <c r="C52" s="259">
        <f ca="1">C31+C51</f>
        <v>22611330</v>
      </c>
      <c r="D52" s="258"/>
      <c r="E52" s="258"/>
      <c r="F52" s="258"/>
      <c r="G52" s="260"/>
    </row>
    <row r="55" spans="1:7" ht="15.5">
      <c r="B55" s="262" t="s">
        <v>1562</v>
      </c>
      <c r="C55" s="263"/>
    </row>
    <row r="56" spans="1:7" ht="13">
      <c r="B56" s="265" t="s">
        <v>802</v>
      </c>
      <c r="C56" s="267">
        <f ca="1">1-C57</f>
        <v>0.86799999999999999</v>
      </c>
    </row>
    <row r="57" spans="1:7" ht="13">
      <c r="B57" s="265" t="s">
        <v>803</v>
      </c>
      <c r="C57" s="266">
        <f ca="1">ROUND(C51/C52,3)</f>
        <v>0.13200000000000001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D1" zoomScaleNormal="80" zoomScaleSheetLayoutView="100" workbookViewId="0">
      <selection activeCell="E3" sqref="E3"/>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9" t="s">
        <v>673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Ⅱ—15</v>
      </c>
      <c r="J2" s="1842"/>
      <c r="K2" s="1056"/>
      <c r="L2" s="1847" t="s">
        <v>1939</v>
      </c>
      <c r="M2" s="811">
        <f>SUMPRODUCT((区片价!B10:B29=I2)*(区片价!C3:G3=E2)*(区片价!C10:G29))</f>
        <v>27930</v>
      </c>
      <c r="N2" s="813">
        <f>SUMPRODUCT((因素修正幅度!B10:B29=I2)*(因素修正幅度!C3:G3=E2)*(因素修正幅度!C10:G29))</f>
        <v>9.5000000000000001E-2</v>
      </c>
      <c r="O2" s="1056"/>
      <c r="P2" s="1056"/>
      <c r="Q2" s="1056"/>
      <c r="R2" s="1129">
        <v>1</v>
      </c>
      <c r="S2" s="3062">
        <f>ROUND(SUMPRODUCT((B106:B110=R2)*(C105:N105=G2)*(C106:N110)),4)</f>
        <v>1.5206</v>
      </c>
      <c r="T2" s="3062">
        <f t="shared" ref="T2:T16" si="0">ROUND($C$5*$C$22*$C$23*$C$24*S2*$C$28,0)</f>
        <v>25471</v>
      </c>
      <c r="U2" s="1130">
        <f>'数据-基础表'!G13</f>
        <v>303.72000000000003</v>
      </c>
      <c r="V2" s="3062">
        <f>ROUND(T2*U2/10000,0)</f>
        <v>774</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7" t="s">
        <v>2449</v>
      </c>
      <c r="F3" s="1848" t="s">
        <v>3490</v>
      </c>
      <c r="G3" s="708" t="e">
        <f>IF(F3="宗地容积率",'数据-汇总表'!I4,IF(F3="估价对象容积率",'数据-汇总表'!I6,'数据-汇总表'!I7))</f>
        <v>#DIV/0!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1.2072000000000001</v>
      </c>
      <c r="T3" s="3062">
        <f t="shared" si="0"/>
        <v>20222</v>
      </c>
      <c r="U3" s="1130">
        <f>'数据-基础表'!G14</f>
        <v>286.07</v>
      </c>
      <c r="V3" s="3062">
        <f t="shared" ref="V3:V16" si="1">ROUND(T3*U3/10000,0)</f>
        <v>578</v>
      </c>
      <c r="W3" s="1133"/>
      <c r="X3" s="1133"/>
      <c r="Y3" s="1133"/>
      <c r="Z3" s="1133"/>
      <c r="AA3" s="1133"/>
      <c r="AB3" s="1133"/>
      <c r="AC3" s="1134"/>
      <c r="AD3" s="1135"/>
      <c r="AE3" s="1135"/>
      <c r="AF3" s="1135"/>
      <c r="AG3" s="1135"/>
      <c r="AH3" s="1135"/>
      <c r="AI3" s="1135"/>
      <c r="AJ3" s="1136"/>
    </row>
    <row r="4" spans="1:36" ht="15.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1.0430999999999999</v>
      </c>
      <c r="T4" s="3062">
        <f t="shared" si="0"/>
        <v>17473</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27930</v>
      </c>
      <c r="D5" s="1252">
        <f>ROUND(C6*C17+C20,0)</f>
        <v>27930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0.94389999999999996</v>
      </c>
      <c r="T5" s="3062">
        <f t="shared" si="0"/>
        <v>15811</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27930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0.89959999999999996</v>
      </c>
      <c r="T6" s="3062">
        <f t="shared" si="0"/>
        <v>15069</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二级</v>
      </c>
      <c r="Y7" s="1131" t="s">
        <v>1956</v>
      </c>
      <c r="Z7" s="1132" t="e">
        <f>G3</f>
        <v>#DIV/0!</v>
      </c>
      <c r="AA7" s="1133"/>
      <c r="AB7" s="1133"/>
      <c r="AC7" s="1134"/>
      <c r="AD7" s="1135"/>
      <c r="AE7" s="1135"/>
      <c r="AF7" s="1135"/>
      <c r="AG7" s="1135"/>
      <c r="AH7" s="1135"/>
      <c r="AI7" s="1135"/>
      <c r="AJ7" s="1136"/>
    </row>
    <row r="8" spans="1:36" ht="25">
      <c r="A8" s="3008"/>
      <c r="B8" s="162" t="s">
        <v>1957</v>
      </c>
      <c r="C8" s="1870" t="s">
        <v>3438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0"/>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5" t="s">
        <v>3254</v>
      </c>
      <c r="B20" s="159" t="s">
        <v>1994</v>
      </c>
      <c r="C20" s="3030">
        <f>ROUND(IF(F21="与级别开发程度一致",0,(G21-E21)/C21),0)</f>
        <v>0</v>
      </c>
      <c r="D20" s="3045" t="s">
        <v>1998</v>
      </c>
      <c r="E20" s="3046"/>
      <c r="F20" s="3471" t="s">
        <v>1995</v>
      </c>
      <c r="G20" s="347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66"/>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0.8</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6" t="s">
        <v>2002</v>
      </c>
      <c r="E23" s="717">
        <v>44197</v>
      </c>
      <c r="F23" s="1896" t="s">
        <v>2003</v>
      </c>
      <c r="G23" s="718">
        <f>'数据-取费表'!B2</f>
        <v>45947</v>
      </c>
      <c r="H23" s="3047" t="s">
        <v>3440</v>
      </c>
      <c r="I23" s="3048" t="str">
        <f>IF(H23="季度增幅（自定义）",SUMIF(N25:N28,E2,O25:O28),"")</f>
        <v/>
      </c>
      <c r="J23" s="3140" t="s">
        <v>3441</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0.70089999999999997</v>
      </c>
      <c r="D24" s="1902" t="s">
        <v>2007</v>
      </c>
      <c r="E24" s="1248">
        <f>存贷款利率!E28/100</f>
        <v>4.3499999999999997E-2</v>
      </c>
      <c r="F24" s="1902" t="s">
        <v>1999</v>
      </c>
      <c r="G24" s="724">
        <f>SUMIF(M30:Q30,E2,M33:Q33)</f>
        <v>5.5E-2</v>
      </c>
      <c r="H24" s="1902" t="s">
        <v>2008</v>
      </c>
      <c r="I24" s="725">
        <f>SUMIF('数据-取费表'!C6:C15,E2,'数据-取费表'!F6:F15)/COUNTIF('数据-取费表'!C6:C15,E2)</f>
        <v>18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t="e">
        <f>IF(B25="容积率修正",IF(G3&lt;10,D26,J26),C27)</f>
        <v>#DIV/0!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3256</v>
      </c>
      <c r="J26" s="374" t="e">
        <f>IF(G3&gt;=10,D115,"——")</f>
        <v>#DIV/0!</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1.5206</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1.0432999999999999</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9"/>
      <c r="B37" s="1955" t="s">
        <v>2036</v>
      </c>
      <c r="C37" s="167">
        <f>ROUND(D5*C22*C23*C24*C28*F37,0)</f>
        <v>11726</v>
      </c>
      <c r="D37" s="1940"/>
      <c r="E37" s="163">
        <f>ROUND(C37*D37/10000,0)</f>
        <v>0</v>
      </c>
      <c r="F37" s="163">
        <f>SUMIF(修正!A59:A70,G2,修正!B59:B70)</f>
        <v>0.7</v>
      </c>
      <c r="G37" s="163">
        <f>ROUND(IF(E2="工业",C37*$M$42,C37*$M$41),0)</f>
        <v>2932</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0"/>
      <c r="B38" s="1884" t="s">
        <v>2037</v>
      </c>
      <c r="C38" s="167">
        <f>ROUND(D5*C22*C23*C24*C28*F38,0)</f>
        <v>6700</v>
      </c>
      <c r="D38" s="1940"/>
      <c r="E38" s="163">
        <f t="shared" ref="E38:E42" si="4">ROUND(C38*D38/10000,0)</f>
        <v>0</v>
      </c>
      <c r="F38" s="163">
        <f>SUMIF(修正!A59:A70,G2,修正!C59:C70)</f>
        <v>0.4</v>
      </c>
      <c r="G38" s="163">
        <f>ROUND(IF(E2="工业",C38*$M$42,C38*$M$41),0)</f>
        <v>1675</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3257</v>
      </c>
      <c r="C39" s="167">
        <f>ROUND(D5*C22*C23*C24*C28*F39,0)</f>
        <v>5025</v>
      </c>
      <c r="D39" s="1940"/>
      <c r="E39" s="163">
        <f t="shared" si="4"/>
        <v>0</v>
      </c>
      <c r="F39" s="163">
        <f>SUMIF(修正!A59:A70,G2,修正!D59:D70)</f>
        <v>0.3</v>
      </c>
      <c r="G39" s="163">
        <f>ROUND(IF(E2="工业",C39*$M$42,C39*$M$41),0)</f>
        <v>1256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5025</v>
      </c>
      <c r="D40" s="1940"/>
      <c r="E40" s="163">
        <f t="shared" si="4"/>
        <v>0</v>
      </c>
      <c r="F40" s="167">
        <f>SUMIF(修正!A59:A70,G2,修正!E59:E70)</f>
        <v>0.3</v>
      </c>
      <c r="G40" s="163">
        <f>ROUND(IF(E2="工业",C40*$M$42,C40*$M$41),0)</f>
        <v>1256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0.3</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1.0432999999999999</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t="s">
        <v>3449</v>
      </c>
      <c r="D50" s="1002">
        <f t="shared" ref="D50:D58" si="7">SUMIF($J$49:$N$49,C50,J50:N50)</f>
        <v>1.4200000000000001E-2</v>
      </c>
      <c r="E50" s="702">
        <f>ROUND(SUM(D50:D58),4)</f>
        <v>4.3299999999999998E-2</v>
      </c>
      <c r="F50" s="1675">
        <f>IF(E2="商业",SUMIF(L1:L12,G2,N1:N12),"——")</f>
        <v>9.5000000000000001E-2</v>
      </c>
      <c r="G50" s="1000">
        <v>1.4200000000000001E-2</v>
      </c>
      <c r="H50" s="1003">
        <f t="shared" ref="H50:H58" si="8">IFERROR(ROUNDDOWN($F$50*I50/2,4),"——")</f>
        <v>1.4200000000000001E-2</v>
      </c>
      <c r="I50" s="3067">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t="s">
        <v>3449</v>
      </c>
      <c r="D51" s="1002">
        <f t="shared" si="7"/>
        <v>1.04E-2</v>
      </c>
      <c r="E51" s="703"/>
      <c r="F51" s="1675"/>
      <c r="G51" s="1000">
        <v>1.04E-2</v>
      </c>
      <c r="H51" s="1003">
        <f t="shared" si="8"/>
        <v>1.04E-2</v>
      </c>
      <c r="I51" s="3067">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t="s">
        <v>3449</v>
      </c>
      <c r="D52" s="1002">
        <f t="shared" si="7"/>
        <v>5.7000000000000002E-3</v>
      </c>
      <c r="E52" s="703"/>
      <c r="F52" s="1675"/>
      <c r="G52" s="1000">
        <v>5.7000000000000002E-3</v>
      </c>
      <c r="H52" s="1003">
        <f t="shared" si="8"/>
        <v>5.7000000000000002E-3</v>
      </c>
      <c r="I52" s="3067">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9">
      <c r="A53" s="1970" t="s">
        <v>2054</v>
      </c>
      <c r="B53" s="1974" t="s">
        <v>2055</v>
      </c>
      <c r="C53" s="1887" t="s">
        <v>3449</v>
      </c>
      <c r="D53" s="1002">
        <f t="shared" si="7"/>
        <v>2.3E-3</v>
      </c>
      <c r="E53" s="703"/>
      <c r="F53" s="1675"/>
      <c r="G53" s="1000">
        <v>2.3E-3</v>
      </c>
      <c r="H53" s="1003">
        <f t="shared" si="8"/>
        <v>2.3E-3</v>
      </c>
      <c r="I53" s="3067">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t="s">
        <v>3450</v>
      </c>
      <c r="D54" s="1002">
        <f t="shared" si="7"/>
        <v>-3.8E-3</v>
      </c>
      <c r="E54" s="703"/>
      <c r="F54" s="1675"/>
      <c r="G54" s="1000">
        <v>3.8E-3</v>
      </c>
      <c r="H54" s="1003">
        <f t="shared" si="8"/>
        <v>3.8E-3</v>
      </c>
      <c r="I54" s="3067">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6">
      <c r="A55" s="1970" t="s">
        <v>2057</v>
      </c>
      <c r="B55" s="1975" t="s">
        <v>2058</v>
      </c>
      <c r="C55" s="1887" t="s">
        <v>3449</v>
      </c>
      <c r="D55" s="1002">
        <f t="shared" si="7"/>
        <v>2.3E-3</v>
      </c>
      <c r="E55" s="703"/>
      <c r="F55" s="1675"/>
      <c r="G55" s="1000">
        <v>2.3E-3</v>
      </c>
      <c r="H55" s="1003">
        <f t="shared" si="8"/>
        <v>2.3E-3</v>
      </c>
      <c r="I55" s="3067">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t="s">
        <v>3449</v>
      </c>
      <c r="D56" s="1002">
        <f t="shared" si="7"/>
        <v>2.3E-3</v>
      </c>
      <c r="E56" s="703"/>
      <c r="F56" s="1675"/>
      <c r="G56" s="1000">
        <v>2.3E-3</v>
      </c>
      <c r="H56" s="1003">
        <f t="shared" si="8"/>
        <v>2.3E-3</v>
      </c>
      <c r="I56" s="3067">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t="s">
        <v>3451</v>
      </c>
      <c r="D57" s="1002">
        <f t="shared" si="7"/>
        <v>7.6E-3</v>
      </c>
      <c r="E57" s="703"/>
      <c r="F57" s="1675"/>
      <c r="G57" s="1000">
        <v>3.8E-3</v>
      </c>
      <c r="H57" s="1003">
        <f t="shared" si="8"/>
        <v>3.8E-3</v>
      </c>
      <c r="I57" s="3067">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t="s">
        <v>3449</v>
      </c>
      <c r="D58" s="1002">
        <f t="shared" si="7"/>
        <v>2.3E-3</v>
      </c>
      <c r="E58" s="704"/>
      <c r="F58" s="1675"/>
      <c r="G58" s="1000">
        <v>2.3E-3</v>
      </c>
      <c r="H58" s="1003">
        <f t="shared" si="8"/>
        <v>2.3E-3</v>
      </c>
      <c r="I58" s="3068">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67" t="s">
        <v>3292</v>
      </c>
      <c r="B103" s="3467"/>
      <c r="C103" s="3467"/>
      <c r="D103" s="3467"/>
      <c r="E103" s="3467"/>
      <c r="F103" s="3467"/>
      <c r="G103" s="3467"/>
      <c r="H103" s="3467"/>
      <c r="I103" s="3467"/>
      <c r="J103" s="3467"/>
      <c r="K103" s="1667"/>
      <c r="L103" s="1667"/>
      <c r="M103" s="1667"/>
      <c r="N103" s="1667"/>
    </row>
    <row r="104" spans="1:14" ht="13">
      <c r="A104" s="3468" t="s">
        <v>3293</v>
      </c>
      <c r="B104" s="3468" t="s">
        <v>3294</v>
      </c>
      <c r="C104" s="3089" t="s">
        <v>3295</v>
      </c>
      <c r="D104" s="3090"/>
      <c r="E104" s="3090"/>
      <c r="F104" s="3090"/>
      <c r="G104" s="3090"/>
      <c r="H104" s="3090"/>
      <c r="I104" s="3090"/>
      <c r="J104" s="3091"/>
      <c r="K104" s="3092"/>
      <c r="L104" s="3092"/>
      <c r="M104" s="3092"/>
      <c r="N104" s="3092"/>
    </row>
    <row r="105" spans="1:14" ht="13">
      <c r="A105" s="3468"/>
      <c r="B105" s="3468"/>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4"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5"/>
      <c r="B111" s="3093" t="s">
        <v>3266</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56"/>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ht="13">
      <c r="A113" s="3457" t="s">
        <v>3309</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t="e">
        <f>G3</f>
        <v>#DIV/0!</v>
      </c>
      <c r="C116" s="3098" t="s">
        <v>3311</v>
      </c>
      <c r="D116" s="3099" t="e">
        <f>SUMPRODUCT((A118:A122=F116)*(B117:M117=H116)*B118:M122)</f>
        <v>#DIV/0!</v>
      </c>
      <c r="E116" s="162" t="s">
        <v>3312</v>
      </c>
      <c r="F116" s="3100" t="str">
        <f>E2</f>
        <v>商业</v>
      </c>
      <c r="G116" s="162" t="s">
        <v>3313</v>
      </c>
      <c r="H116" s="3100" t="str">
        <f>G2</f>
        <v>二级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5">I118</f>
        <v>#DIV/0!</v>
      </c>
      <c r="K118" s="3088" t="e">
        <f t="shared" si="35"/>
        <v>#DIV/0!</v>
      </c>
      <c r="L118" s="3088" t="e">
        <f t="shared" si="35"/>
        <v>#DIV/0!</v>
      </c>
      <c r="M118" s="3108" t="e">
        <f t="shared" si="35"/>
        <v>#DIV/0!</v>
      </c>
      <c r="N118" s="3096"/>
    </row>
    <row r="119" spans="1:14" ht="13">
      <c r="A119" s="3056" t="s">
        <v>3327</v>
      </c>
      <c r="B119" s="3088" t="e">
        <f>ROUND(0.993-0.0112*B116,4)</f>
        <v>#DIV/0!</v>
      </c>
      <c r="C119" s="3088" t="e">
        <f>B119</f>
        <v>#DIV/0!</v>
      </c>
      <c r="D119" s="3088" t="e">
        <f>ROUND(0.9415-0.0142*B116,4)</f>
        <v>#DIV/0!</v>
      </c>
      <c r="E119" s="3088" t="e">
        <f t="shared" ref="E119:H120" si="36">D119</f>
        <v>#DIV/0!</v>
      </c>
      <c r="F119" s="3088" t="e">
        <f t="shared" si="36"/>
        <v>#DIV/0!</v>
      </c>
      <c r="G119" s="3088" t="e">
        <f t="shared" si="36"/>
        <v>#DIV/0!</v>
      </c>
      <c r="H119" s="3088" t="e">
        <f t="shared" si="36"/>
        <v>#DIV/0!</v>
      </c>
      <c r="I119" s="3088" t="e">
        <f>ROUND(0.838-0.0182*B116,4)</f>
        <v>#DIV/0!</v>
      </c>
      <c r="J119" s="3088" t="e">
        <f t="shared" si="35"/>
        <v>#DIV/0!</v>
      </c>
      <c r="K119" s="3088" t="e">
        <f t="shared" si="35"/>
        <v>#DIV/0!</v>
      </c>
      <c r="L119" s="3088" t="e">
        <f t="shared" si="35"/>
        <v>#DIV/0!</v>
      </c>
      <c r="M119" s="3108" t="e">
        <f t="shared" si="35"/>
        <v>#DIV/0!</v>
      </c>
      <c r="N119" s="3096"/>
    </row>
    <row r="120" spans="1:14" ht="13">
      <c r="A120" s="3056" t="s">
        <v>3328</v>
      </c>
      <c r="B120" s="3088" t="e">
        <f>ROUND(0.9448-0.0115*B116,4)</f>
        <v>#DIV/0!</v>
      </c>
      <c r="C120" s="3088" t="e">
        <f>B120</f>
        <v>#DIV/0!</v>
      </c>
      <c r="D120" s="3088" t="e">
        <f>ROUND(0.937-0.0145*B116,4)</f>
        <v>#DIV/0!</v>
      </c>
      <c r="E120" s="3088" t="e">
        <f t="shared" si="36"/>
        <v>#DIV/0!</v>
      </c>
      <c r="F120" s="3088" t="e">
        <f t="shared" si="36"/>
        <v>#DIV/0!</v>
      </c>
      <c r="G120" s="3088" t="e">
        <f t="shared" si="36"/>
        <v>#DIV/0!</v>
      </c>
      <c r="H120" s="3088" t="e">
        <f t="shared" si="36"/>
        <v>#DIV/0!</v>
      </c>
      <c r="I120" s="3088" t="e">
        <f>ROUND(0.7965-0.0185*B116,4)</f>
        <v>#DIV/0!</v>
      </c>
      <c r="J120" s="3088" t="e">
        <f t="shared" si="35"/>
        <v>#DIV/0!</v>
      </c>
      <c r="K120" s="3088" t="e">
        <f t="shared" si="35"/>
        <v>#DIV/0!</v>
      </c>
      <c r="L120" s="3088" t="e">
        <f t="shared" si="35"/>
        <v>#DIV/0!</v>
      </c>
      <c r="M120" s="3108" t="e">
        <f t="shared" si="35"/>
        <v>#DIV/0!</v>
      </c>
      <c r="N120" s="3096"/>
    </row>
    <row r="121" spans="1:14" ht="13.5" thickBot="1">
      <c r="A121" s="3109" t="s">
        <v>3329</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5"/>
        <v>#DIV/0!</v>
      </c>
      <c r="K121" s="3110" t="e">
        <f t="shared" si="35"/>
        <v>#DIV/0!</v>
      </c>
      <c r="L121" s="3110" t="e">
        <f t="shared" si="35"/>
        <v>#DIV/0!</v>
      </c>
      <c r="M121" s="3111" t="e">
        <f t="shared" si="35"/>
        <v>#DIV/0!</v>
      </c>
      <c r="N121" s="3096"/>
    </row>
    <row r="122" spans="1:14" ht="13">
      <c r="A122" s="3112" t="s">
        <v>2612</v>
      </c>
      <c r="B122" s="3088" t="e">
        <f>ROUND(0.9404-0.0106*B116,4)</f>
        <v>#DIV/0!</v>
      </c>
      <c r="C122" s="3088" t="e">
        <f>B122</f>
        <v>#DIV/0!</v>
      </c>
      <c r="D122" s="3088" t="e">
        <f>ROUND(0.8955-0.0135*B116,4)</f>
        <v>#DIV/0!</v>
      </c>
      <c r="E122" s="3088" t="e">
        <f t="shared" ref="E122:H122" si="37">D122</f>
        <v>#DIV/0!</v>
      </c>
      <c r="F122" s="3088" t="e">
        <f t="shared" si="37"/>
        <v>#DIV/0!</v>
      </c>
      <c r="G122" s="3088" t="e">
        <f t="shared" si="37"/>
        <v>#DIV/0!</v>
      </c>
      <c r="H122" s="3088" t="e">
        <f t="shared" si="37"/>
        <v>#DIV/0!</v>
      </c>
      <c r="I122" s="3088" t="e">
        <f>ROUND(0.7632-0.0166*B116,4)</f>
        <v>#DIV/0!</v>
      </c>
      <c r="J122" s="3088" t="e">
        <f t="shared" si="35"/>
        <v>#DIV/0!</v>
      </c>
      <c r="K122" s="3088" t="e">
        <f t="shared" si="35"/>
        <v>#DIV/0!</v>
      </c>
      <c r="L122" s="3088" t="e">
        <f t="shared" si="35"/>
        <v>#DIV/0!</v>
      </c>
      <c r="M122" s="3108" t="e">
        <f t="shared" si="35"/>
        <v>#DIV/0!</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E1ECF-9960-4BC5-8510-4287A2C87F9E}">
  <dimension ref="A1"/>
  <sheetViews>
    <sheetView topLeftCell="A2" workbookViewId="0"/>
  </sheetViews>
  <sheetFormatPr defaultRowHeight="14"/>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91"/>
      <c r="B4" s="3172" t="s">
        <v>917</v>
      </c>
      <c r="C4" s="3172"/>
      <c r="D4" s="3172"/>
      <c r="E4" s="1391"/>
    </row>
    <row r="5" spans="1:5" ht="16" thickTop="1">
      <c r="B5" s="3170" t="s">
        <v>909</v>
      </c>
      <c r="C5" s="1392" t="s">
        <v>910</v>
      </c>
      <c r="D5" s="797">
        <f ca="1">结果表!H101</f>
        <v>1899</v>
      </c>
    </row>
    <row r="6" spans="1:5" ht="15.5">
      <c r="B6" s="3170"/>
      <c r="C6" s="1392" t="s">
        <v>911</v>
      </c>
      <c r="D6" s="797" t="str">
        <f ca="1">NUMBERSTRING(INT(D5*10000),2)&amp;"元整"</f>
        <v>壹仟捌佰玖拾玖万元整</v>
      </c>
    </row>
    <row r="7" spans="1:5" ht="15.5">
      <c r="B7" s="3175"/>
      <c r="C7" s="1393" t="s">
        <v>912</v>
      </c>
      <c r="D7" s="798">
        <f ca="1">结果表!H102</f>
        <v>32195</v>
      </c>
    </row>
    <row r="8" spans="1:5" ht="15.5">
      <c r="B8" s="3176" t="str">
        <f>结果表!E103</f>
        <v>2.估价师知悉的法定优先受偿款</v>
      </c>
      <c r="C8" s="1394" t="s">
        <v>913</v>
      </c>
      <c r="D8" s="798">
        <f>结果表!H103</f>
        <v>0</v>
      </c>
    </row>
    <row r="9" spans="1:5" ht="15.5">
      <c r="B9" s="317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9" t="str">
        <f>结果表!E107</f>
        <v>3.房地产抵押价值</v>
      </c>
      <c r="C13" s="1397" t="s">
        <v>910</v>
      </c>
      <c r="D13" s="800">
        <f ca="1">结果表!H107</f>
        <v>1899</v>
      </c>
    </row>
    <row r="14" spans="1:5" ht="15.5">
      <c r="B14" s="3170"/>
      <c r="C14" s="1392" t="s">
        <v>911</v>
      </c>
      <c r="D14" s="797" t="str">
        <f ca="1">NUMBERSTRING(INT(D13*10000),2)&amp;"元整"</f>
        <v>壹仟捌佰玖拾玖万元整</v>
      </c>
    </row>
    <row r="15" spans="1:5" ht="15.5">
      <c r="B15" s="3175"/>
      <c r="C15" s="1393" t="s">
        <v>921</v>
      </c>
      <c r="D15" s="806">
        <f ca="1">结果表!H108</f>
        <v>32195</v>
      </c>
    </row>
    <row r="16" spans="1:5" ht="15">
      <c r="B16" s="3176" t="str">
        <f>结果表!E109</f>
        <v>——</v>
      </c>
      <c r="C16" s="1397" t="s">
        <v>922</v>
      </c>
      <c r="D16" s="1398" t="str">
        <f>结果表!H109</f>
        <v>——</v>
      </c>
    </row>
    <row r="17" spans="1:5" ht="15.5">
      <c r="B17" s="3177"/>
      <c r="C17" s="1392" t="s">
        <v>923</v>
      </c>
      <c r="D17" s="797" t="e">
        <f>NUMBERSTRING(INT(D16*10000),2)&amp;"元整"</f>
        <v>#VALUE!</v>
      </c>
    </row>
    <row r="18" spans="1:5" ht="15.5">
      <c r="B18" s="3178"/>
      <c r="C18" s="1393" t="s">
        <v>912</v>
      </c>
      <c r="D18" s="806" t="str">
        <f>结果表!H110</f>
        <v>——</v>
      </c>
    </row>
    <row r="19" spans="1:5" ht="15.5">
      <c r="B19" s="3169" t="str">
        <f>结果表!E111</f>
        <v>——</v>
      </c>
      <c r="C19" s="1397" t="s">
        <v>910</v>
      </c>
      <c r="D19" s="798" t="str">
        <f>结果表!H111</f>
        <v>——</v>
      </c>
    </row>
    <row r="20" spans="1:5" ht="15.5">
      <c r="B20" s="3170"/>
      <c r="C20" s="1392" t="s">
        <v>923</v>
      </c>
      <c r="D20" s="797" t="e">
        <f>NUMBERSTRING(INT(D19*10000),2)&amp;"元整"</f>
        <v>#VALUE!</v>
      </c>
    </row>
    <row r="21" spans="1:5" ht="16" thickBot="1">
      <c r="B21" s="317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4" t="s">
        <v>2607</v>
      </c>
      <c r="B20" s="3477" t="s">
        <v>2628</v>
      </c>
      <c r="C20" s="3167" t="s">
        <v>2439</v>
      </c>
      <c r="D20" s="3167"/>
      <c r="E20" s="2843">
        <v>1</v>
      </c>
      <c r="F20" s="2844" t="s">
        <v>2440</v>
      </c>
      <c r="G20" s="2844"/>
    </row>
    <row r="21" spans="1:13" ht="19.5" customHeight="1">
      <c r="A21" s="3485"/>
      <c r="B21" s="3473"/>
      <c r="C21" s="2856" t="s">
        <v>2441</v>
      </c>
      <c r="D21" s="2856"/>
      <c r="E21" s="2847">
        <v>1</v>
      </c>
      <c r="F21" s="2844" t="s">
        <v>2442</v>
      </c>
      <c r="G21" s="2844"/>
    </row>
    <row r="22" spans="1:13" ht="19.5" customHeight="1">
      <c r="A22" s="3485"/>
      <c r="B22" s="3473"/>
      <c r="C22" s="2856" t="s">
        <v>2443</v>
      </c>
      <c r="D22" s="2856"/>
      <c r="E22" s="2847">
        <v>0.9</v>
      </c>
      <c r="F22" s="2844" t="s">
        <v>2444</v>
      </c>
      <c r="G22" s="2844"/>
    </row>
    <row r="23" spans="1:13" ht="19.5" customHeight="1">
      <c r="A23" s="3485"/>
      <c r="B23" s="3473"/>
      <c r="C23" s="2856" t="s">
        <v>2445</v>
      </c>
      <c r="D23" s="2856"/>
      <c r="E23" s="2847">
        <v>0.9</v>
      </c>
      <c r="F23" s="2844" t="s">
        <v>2446</v>
      </c>
      <c r="G23" s="2844"/>
    </row>
    <row r="24" spans="1:13" ht="19.5" customHeight="1">
      <c r="A24" s="3485"/>
      <c r="B24" s="3473"/>
      <c r="C24" s="2856" t="s">
        <v>2447</v>
      </c>
      <c r="D24" s="2856"/>
      <c r="E24" s="2847">
        <v>0.8</v>
      </c>
      <c r="F24" s="2844" t="s">
        <v>2448</v>
      </c>
      <c r="G24" s="2844"/>
    </row>
    <row r="25" spans="1:13" ht="19.5" customHeight="1">
      <c r="A25" s="3485"/>
      <c r="B25" s="3473"/>
      <c r="C25" s="2856" t="s">
        <v>2449</v>
      </c>
      <c r="D25" s="2856"/>
      <c r="E25" s="2847">
        <v>0.8</v>
      </c>
      <c r="F25" s="2844"/>
      <c r="G25" s="2844"/>
    </row>
    <row r="26" spans="1:13" ht="19.5" customHeight="1">
      <c r="A26" s="3485"/>
      <c r="B26" s="3473"/>
      <c r="C26" s="2856" t="s">
        <v>3407</v>
      </c>
      <c r="D26" s="2856"/>
      <c r="E26" s="2847">
        <v>0.43</v>
      </c>
      <c r="F26" s="2844"/>
      <c r="G26" s="2844"/>
    </row>
    <row r="27" spans="1:13" ht="19.5" customHeight="1" thickBot="1">
      <c r="A27" s="3486"/>
      <c r="B27" s="3478"/>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9" t="s">
        <v>2631</v>
      </c>
      <c r="B29" s="3482" t="s">
        <v>2612</v>
      </c>
      <c r="C29" s="2841" t="s">
        <v>2452</v>
      </c>
      <c r="D29" s="2842"/>
      <c r="E29" s="2843">
        <v>1</v>
      </c>
      <c r="F29" s="2844" t="s">
        <v>2453</v>
      </c>
      <c r="G29" s="2844"/>
    </row>
    <row r="30" spans="1:13" ht="19.5" customHeight="1">
      <c r="A30" s="3480"/>
      <c r="B30" s="3476"/>
      <c r="C30" s="2845" t="s">
        <v>2454</v>
      </c>
      <c r="D30" s="2846"/>
      <c r="E30" s="2847">
        <v>1</v>
      </c>
      <c r="F30" s="2844" t="s">
        <v>2455</v>
      </c>
      <c r="G30" s="2844"/>
    </row>
    <row r="31" spans="1:13" ht="19.5" customHeight="1">
      <c r="A31" s="3480"/>
      <c r="B31" s="3476"/>
      <c r="C31" s="2845" t="s">
        <v>2456</v>
      </c>
      <c r="D31" s="2846"/>
      <c r="E31" s="2847">
        <v>0.8</v>
      </c>
      <c r="F31" s="2844" t="s">
        <v>2457</v>
      </c>
      <c r="G31" s="2844"/>
    </row>
    <row r="32" spans="1:13" ht="19.5" customHeight="1">
      <c r="A32" s="3480"/>
      <c r="B32" s="3476"/>
      <c r="C32" s="2845" t="s">
        <v>2458</v>
      </c>
      <c r="D32" s="2846"/>
      <c r="E32" s="2847">
        <v>0.8</v>
      </c>
      <c r="F32" s="2844" t="s">
        <v>2459</v>
      </c>
      <c r="G32" s="2844"/>
    </row>
    <row r="33" spans="1:7" ht="19.5" customHeight="1">
      <c r="A33" s="3480"/>
      <c r="B33" s="3476"/>
      <c r="C33" s="2845" t="s">
        <v>2460</v>
      </c>
      <c r="D33" s="2846"/>
      <c r="E33" s="2847">
        <v>0.8</v>
      </c>
      <c r="F33" s="2844" t="s">
        <v>2461</v>
      </c>
      <c r="G33" s="2844"/>
    </row>
    <row r="34" spans="1:7" ht="19.5" customHeight="1">
      <c r="A34" s="3480"/>
      <c r="B34" s="3476"/>
      <c r="C34" s="2845" t="s">
        <v>2462</v>
      </c>
      <c r="D34" s="2846"/>
      <c r="E34" s="2847">
        <v>0.7</v>
      </c>
      <c r="F34" s="2844" t="s">
        <v>2463</v>
      </c>
      <c r="G34" s="2844"/>
    </row>
    <row r="35" spans="1:7" ht="19.5" customHeight="1">
      <c r="A35" s="3480"/>
      <c r="B35" s="3476"/>
      <c r="C35" s="2845" t="s">
        <v>2464</v>
      </c>
      <c r="D35" s="2846"/>
      <c r="E35" s="2847">
        <v>0.8</v>
      </c>
      <c r="F35" s="2844" t="s">
        <v>2465</v>
      </c>
      <c r="G35" s="2844"/>
    </row>
    <row r="36" spans="1:7" ht="19.5" customHeight="1">
      <c r="A36" s="3480"/>
      <c r="B36" s="3476"/>
      <c r="C36" s="2845" t="s">
        <v>2466</v>
      </c>
      <c r="D36" s="2846"/>
      <c r="E36" s="2847">
        <v>0.6</v>
      </c>
      <c r="F36" s="2844" t="s">
        <v>2467</v>
      </c>
      <c r="G36" s="2844"/>
    </row>
    <row r="37" spans="1:7" ht="19.5" customHeight="1">
      <c r="A37" s="3480"/>
      <c r="B37" s="3476"/>
      <c r="C37" s="2845" t="s">
        <v>2468</v>
      </c>
      <c r="D37" s="2846"/>
      <c r="E37" s="2847">
        <v>0.2</v>
      </c>
      <c r="F37" s="2844" t="s">
        <v>2469</v>
      </c>
      <c r="G37" s="2844"/>
    </row>
    <row r="38" spans="1:7" ht="19.5" customHeight="1">
      <c r="A38" s="3480"/>
      <c r="B38" s="3476"/>
      <c r="C38" s="2845" t="s">
        <v>2470</v>
      </c>
      <c r="D38" s="2846"/>
      <c r="E38" s="2847">
        <v>0.2</v>
      </c>
      <c r="F38" s="2844" t="s">
        <v>2471</v>
      </c>
      <c r="G38" s="2844"/>
    </row>
    <row r="39" spans="1:7" ht="19.5" customHeight="1">
      <c r="A39" s="3480"/>
      <c r="B39" s="3474" t="s">
        <v>2632</v>
      </c>
      <c r="C39" s="2845" t="s">
        <v>2472</v>
      </c>
      <c r="D39" s="2846"/>
      <c r="E39" s="2847">
        <v>0.6</v>
      </c>
      <c r="F39" s="2844" t="s">
        <v>2473</v>
      </c>
      <c r="G39" s="2844"/>
    </row>
    <row r="40" spans="1:7" ht="19.5" customHeight="1">
      <c r="A40" s="3480"/>
      <c r="B40" s="3476"/>
      <c r="C40" s="2845" t="s">
        <v>2474</v>
      </c>
      <c r="D40" s="2846"/>
      <c r="E40" s="2847">
        <v>0.6</v>
      </c>
      <c r="F40" s="2844" t="s">
        <v>2475</v>
      </c>
      <c r="G40" s="2844"/>
    </row>
    <row r="41" spans="1:7" ht="19.5" customHeight="1" thickBot="1">
      <c r="A41" s="3481"/>
      <c r="B41" s="348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4" t="s">
        <v>2610</v>
      </c>
      <c r="B43" s="3482" t="s">
        <v>2634</v>
      </c>
      <c r="C43" s="2841" t="s">
        <v>2479</v>
      </c>
      <c r="D43" s="2842"/>
      <c r="E43" s="2843">
        <v>1</v>
      </c>
      <c r="F43" s="2844" t="s">
        <v>2480</v>
      </c>
      <c r="G43" s="2844"/>
    </row>
    <row r="44" spans="1:7" ht="19.5" customHeight="1">
      <c r="A44" s="3485"/>
      <c r="B44" s="3476"/>
      <c r="C44" s="2845" t="s">
        <v>2481</v>
      </c>
      <c r="D44" s="2846"/>
      <c r="E44" s="2847">
        <v>1</v>
      </c>
      <c r="F44" s="2844" t="s">
        <v>2482</v>
      </c>
      <c r="G44" s="2844"/>
    </row>
    <row r="45" spans="1:7" ht="19.5" customHeight="1">
      <c r="A45" s="3485"/>
      <c r="B45" s="3475"/>
      <c r="C45" s="2845" t="s">
        <v>2483</v>
      </c>
      <c r="D45" s="2846"/>
      <c r="E45" s="2847">
        <v>1.5</v>
      </c>
      <c r="F45" s="2844" t="s">
        <v>2484</v>
      </c>
      <c r="G45" s="2844"/>
    </row>
    <row r="46" spans="1:7" ht="19.5" customHeight="1">
      <c r="A46" s="3485"/>
      <c r="B46" s="2856" t="s">
        <v>2635</v>
      </c>
      <c r="C46" s="2845" t="s">
        <v>2636</v>
      </c>
      <c r="D46" s="2846"/>
      <c r="E46" s="2847">
        <v>2</v>
      </c>
      <c r="F46" s="2844" t="s">
        <v>2485</v>
      </c>
      <c r="G46" s="2844"/>
    </row>
    <row r="47" spans="1:7" ht="19.5" customHeight="1">
      <c r="A47" s="3485"/>
      <c r="B47" s="3474" t="s">
        <v>2637</v>
      </c>
      <c r="C47" s="2845" t="s">
        <v>2486</v>
      </c>
      <c r="D47" s="2846"/>
      <c r="E47" s="2847">
        <v>1</v>
      </c>
      <c r="F47" s="2844" t="s">
        <v>2487</v>
      </c>
      <c r="G47" s="2844"/>
    </row>
    <row r="48" spans="1:7" ht="19.5" customHeight="1">
      <c r="A48" s="3485"/>
      <c r="B48" s="3476"/>
      <c r="C48" s="2845" t="s">
        <v>2488</v>
      </c>
      <c r="D48" s="2846"/>
      <c r="E48" s="2847">
        <v>1</v>
      </c>
      <c r="F48" s="2844" t="s">
        <v>2489</v>
      </c>
      <c r="G48" s="2844"/>
    </row>
    <row r="49" spans="1:7" ht="19.5" customHeight="1">
      <c r="A49" s="3485"/>
      <c r="B49" s="3476"/>
      <c r="C49" s="2845" t="s">
        <v>2490</v>
      </c>
      <c r="D49" s="2846"/>
      <c r="E49" s="2847">
        <v>1</v>
      </c>
      <c r="F49" s="2844" t="s">
        <v>2491</v>
      </c>
      <c r="G49" s="2844"/>
    </row>
    <row r="50" spans="1:7" ht="19.5" customHeight="1">
      <c r="A50" s="3485"/>
      <c r="B50" s="3476"/>
      <c r="C50" s="2845" t="s">
        <v>2492</v>
      </c>
      <c r="D50" s="2846"/>
      <c r="E50" s="2847">
        <v>1</v>
      </c>
      <c r="F50" s="2844" t="s">
        <v>2493</v>
      </c>
      <c r="G50" s="2844"/>
    </row>
    <row r="51" spans="1:7" ht="19.5" customHeight="1">
      <c r="A51" s="3485"/>
      <c r="B51" s="3476"/>
      <c r="C51" s="2845" t="s">
        <v>2494</v>
      </c>
      <c r="D51" s="2846"/>
      <c r="E51" s="2847">
        <v>1</v>
      </c>
      <c r="F51" s="2844" t="s">
        <v>2495</v>
      </c>
      <c r="G51" s="2844"/>
    </row>
    <row r="52" spans="1:7" ht="19.5" customHeight="1">
      <c r="A52" s="3485"/>
      <c r="B52" s="3476"/>
      <c r="C52" s="2845" t="s">
        <v>2496</v>
      </c>
      <c r="D52" s="2846"/>
      <c r="E52" s="2847">
        <v>1</v>
      </c>
      <c r="F52" s="2844" t="s">
        <v>2497</v>
      </c>
      <c r="G52" s="2844"/>
    </row>
    <row r="53" spans="1:7" ht="19.5" customHeight="1" thickBot="1">
      <c r="A53" s="3486"/>
      <c r="B53" s="348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74" t="s">
        <v>2651</v>
      </c>
      <c r="C75" s="2830" t="s">
        <v>2652</v>
      </c>
      <c r="D75" s="2830" t="s">
        <v>2653</v>
      </c>
      <c r="E75" s="2856">
        <v>0.2</v>
      </c>
      <c r="F75" s="2856">
        <v>25</v>
      </c>
    </row>
    <row r="76" spans="1:7" ht="26">
      <c r="A76" s="2856">
        <v>2</v>
      </c>
      <c r="B76" s="3476"/>
      <c r="C76" s="2830" t="s">
        <v>2654</v>
      </c>
      <c r="D76" s="2830" t="s">
        <v>2655</v>
      </c>
      <c r="E76" s="2856">
        <v>0.2</v>
      </c>
      <c r="F76" s="2856">
        <v>25</v>
      </c>
    </row>
    <row r="77" spans="1:7" ht="26">
      <c r="A77" s="2856">
        <v>3</v>
      </c>
      <c r="B77" s="3476"/>
      <c r="C77" s="2830" t="s">
        <v>2656</v>
      </c>
      <c r="D77" s="2830" t="s">
        <v>2657</v>
      </c>
      <c r="E77" s="2856">
        <v>0.2</v>
      </c>
      <c r="F77" s="2856">
        <v>25</v>
      </c>
    </row>
    <row r="78" spans="1:7" ht="14">
      <c r="A78" s="2856">
        <v>4</v>
      </c>
      <c r="B78" s="3476"/>
      <c r="C78" s="2830" t="s">
        <v>2658</v>
      </c>
      <c r="D78" s="2830" t="s">
        <v>2659</v>
      </c>
      <c r="E78" s="2856">
        <v>0.15</v>
      </c>
      <c r="F78" s="2856">
        <v>20</v>
      </c>
    </row>
    <row r="79" spans="1:7" ht="26">
      <c r="A79" s="2856">
        <v>5</v>
      </c>
      <c r="B79" s="3476"/>
      <c r="C79" s="2830" t="s">
        <v>2660</v>
      </c>
      <c r="D79" s="2830" t="s">
        <v>2661</v>
      </c>
      <c r="E79" s="2856">
        <v>0.15</v>
      </c>
      <c r="F79" s="2856">
        <v>20</v>
      </c>
    </row>
    <row r="80" spans="1:7" ht="26">
      <c r="A80" s="2856">
        <v>6</v>
      </c>
      <c r="B80" s="3476"/>
      <c r="C80" s="2830" t="s">
        <v>2662</v>
      </c>
      <c r="D80" s="2830" t="s">
        <v>2663</v>
      </c>
      <c r="E80" s="2856">
        <v>0.15</v>
      </c>
      <c r="F80" s="2856">
        <v>20</v>
      </c>
    </row>
    <row r="81" spans="1:6" ht="26">
      <c r="A81" s="2856">
        <v>7</v>
      </c>
      <c r="B81" s="3476"/>
      <c r="C81" s="2830" t="s">
        <v>2664</v>
      </c>
      <c r="D81" s="2830" t="s">
        <v>2665</v>
      </c>
      <c r="E81" s="2856">
        <v>0.15</v>
      </c>
      <c r="F81" s="2856">
        <v>20</v>
      </c>
    </row>
    <row r="82" spans="1:6" ht="26">
      <c r="A82" s="2856">
        <v>8</v>
      </c>
      <c r="B82" s="3476"/>
      <c r="C82" s="2830" t="s">
        <v>2666</v>
      </c>
      <c r="D82" s="2830" t="s">
        <v>2667</v>
      </c>
      <c r="E82" s="2856">
        <v>0.1</v>
      </c>
      <c r="F82" s="2856">
        <v>15</v>
      </c>
    </row>
    <row r="83" spans="1:6" ht="26">
      <c r="A83" s="2856">
        <v>9</v>
      </c>
      <c r="B83" s="3476"/>
      <c r="C83" s="2830" t="s">
        <v>2668</v>
      </c>
      <c r="D83" s="2830" t="s">
        <v>2669</v>
      </c>
      <c r="E83" s="2856">
        <v>0.1</v>
      </c>
      <c r="F83" s="2856">
        <v>15</v>
      </c>
    </row>
    <row r="84" spans="1:6" ht="26">
      <c r="A84" s="2856">
        <v>10</v>
      </c>
      <c r="B84" s="3476"/>
      <c r="C84" s="2830" t="s">
        <v>2670</v>
      </c>
      <c r="D84" s="2830" t="s">
        <v>2671</v>
      </c>
      <c r="E84" s="2856">
        <v>0.1</v>
      </c>
      <c r="F84" s="2856">
        <v>15</v>
      </c>
    </row>
    <row r="85" spans="1:6" ht="26">
      <c r="A85" s="2856">
        <v>11</v>
      </c>
      <c r="B85" s="3476"/>
      <c r="C85" s="2830" t="s">
        <v>2672</v>
      </c>
      <c r="D85" s="2830" t="s">
        <v>2673</v>
      </c>
      <c r="E85" s="2856">
        <v>0.1</v>
      </c>
      <c r="F85" s="2856">
        <v>15</v>
      </c>
    </row>
    <row r="86" spans="1:6" ht="26">
      <c r="A86" s="2856">
        <v>12</v>
      </c>
      <c r="B86" s="3476"/>
      <c r="C86" s="2830" t="s">
        <v>2674</v>
      </c>
      <c r="D86" s="2830" t="s">
        <v>2675</v>
      </c>
      <c r="E86" s="2856">
        <v>0.1</v>
      </c>
      <c r="F86" s="2856">
        <v>15</v>
      </c>
    </row>
    <row r="87" spans="1:6" ht="14">
      <c r="A87" s="2856">
        <v>13</v>
      </c>
      <c r="B87" s="3476"/>
      <c r="C87" s="2830" t="s">
        <v>2676</v>
      </c>
      <c r="D87" s="2830" t="s">
        <v>2677</v>
      </c>
      <c r="E87" s="2856">
        <v>0.1</v>
      </c>
      <c r="F87" s="2856">
        <v>15</v>
      </c>
    </row>
    <row r="88" spans="1:6" ht="14">
      <c r="A88" s="2856">
        <v>14</v>
      </c>
      <c r="B88" s="3476"/>
      <c r="C88" s="2830" t="s">
        <v>2678</v>
      </c>
      <c r="D88" s="2830" t="s">
        <v>2679</v>
      </c>
      <c r="E88" s="2856">
        <v>0.1</v>
      </c>
      <c r="F88" s="2856">
        <v>15</v>
      </c>
    </row>
    <row r="89" spans="1:6" ht="14">
      <c r="A89" s="2856">
        <v>15</v>
      </c>
      <c r="B89" s="3476"/>
      <c r="C89" s="2830" t="s">
        <v>2680</v>
      </c>
      <c r="D89" s="2830" t="s">
        <v>2681</v>
      </c>
      <c r="E89" s="2856">
        <v>0.1</v>
      </c>
      <c r="F89" s="2856">
        <v>15</v>
      </c>
    </row>
    <row r="90" spans="1:6" ht="26">
      <c r="A90" s="2856">
        <v>16</v>
      </c>
      <c r="B90" s="3476"/>
      <c r="C90" s="2830" t="s">
        <v>2682</v>
      </c>
      <c r="D90" s="2830" t="s">
        <v>2683</v>
      </c>
      <c r="E90" s="2856">
        <v>0.1</v>
      </c>
      <c r="F90" s="2856">
        <v>15</v>
      </c>
    </row>
    <row r="91" spans="1:6" ht="26">
      <c r="A91" s="2856">
        <v>17</v>
      </c>
      <c r="B91" s="3475"/>
      <c r="C91" s="2830" t="s">
        <v>2684</v>
      </c>
      <c r="D91" s="2830" t="s">
        <v>2685</v>
      </c>
      <c r="E91" s="2856">
        <v>0.1</v>
      </c>
      <c r="F91" s="2856">
        <v>15</v>
      </c>
    </row>
    <row r="92" spans="1:6" ht="14">
      <c r="A92" s="2856">
        <v>18</v>
      </c>
      <c r="B92" s="3474" t="s">
        <v>2686</v>
      </c>
      <c r="C92" s="2830" t="s">
        <v>2687</v>
      </c>
      <c r="D92" s="2830" t="s">
        <v>2688</v>
      </c>
      <c r="E92" s="2856">
        <v>0.2</v>
      </c>
      <c r="F92" s="2856">
        <v>25</v>
      </c>
    </row>
    <row r="93" spans="1:6" ht="26">
      <c r="A93" s="2856">
        <v>19</v>
      </c>
      <c r="B93" s="3476"/>
      <c r="C93" s="2830" t="s">
        <v>2689</v>
      </c>
      <c r="D93" s="2830" t="s">
        <v>2690</v>
      </c>
      <c r="E93" s="2856">
        <v>0.2</v>
      </c>
      <c r="F93" s="2856">
        <v>25</v>
      </c>
    </row>
    <row r="94" spans="1:6" ht="14">
      <c r="A94" s="2856">
        <v>20</v>
      </c>
      <c r="B94" s="3476"/>
      <c r="C94" s="2830" t="s">
        <v>2691</v>
      </c>
      <c r="D94" s="2830" t="s">
        <v>2692</v>
      </c>
      <c r="E94" s="2856">
        <v>0.15</v>
      </c>
      <c r="F94" s="2856">
        <v>20</v>
      </c>
    </row>
    <row r="95" spans="1:6" ht="26">
      <c r="A95" s="2856">
        <v>21</v>
      </c>
      <c r="B95" s="3476"/>
      <c r="C95" s="2830" t="s">
        <v>2693</v>
      </c>
      <c r="D95" s="2830" t="s">
        <v>2694</v>
      </c>
      <c r="E95" s="2856">
        <v>0.15</v>
      </c>
      <c r="F95" s="2856">
        <v>20</v>
      </c>
    </row>
    <row r="96" spans="1:6" ht="26">
      <c r="A96" s="2856">
        <v>22</v>
      </c>
      <c r="B96" s="3476"/>
      <c r="C96" s="2830" t="s">
        <v>2695</v>
      </c>
      <c r="D96" s="2830" t="s">
        <v>2696</v>
      </c>
      <c r="E96" s="2856">
        <v>0.15</v>
      </c>
      <c r="F96" s="2856">
        <v>20</v>
      </c>
    </row>
    <row r="97" spans="1:6" ht="39">
      <c r="A97" s="2856">
        <v>23</v>
      </c>
      <c r="B97" s="3476"/>
      <c r="C97" s="2830" t="s">
        <v>2697</v>
      </c>
      <c r="D97" s="2830" t="s">
        <v>2698</v>
      </c>
      <c r="E97" s="2856">
        <v>0.15</v>
      </c>
      <c r="F97" s="2856">
        <v>20</v>
      </c>
    </row>
    <row r="98" spans="1:6" ht="14">
      <c r="A98" s="2856">
        <v>24</v>
      </c>
      <c r="B98" s="3476"/>
      <c r="C98" s="2830" t="s">
        <v>2699</v>
      </c>
      <c r="D98" s="2830" t="s">
        <v>2700</v>
      </c>
      <c r="E98" s="2856">
        <v>0.1</v>
      </c>
      <c r="F98" s="2856">
        <v>15</v>
      </c>
    </row>
    <row r="99" spans="1:6" ht="26">
      <c r="A99" s="2856">
        <v>25</v>
      </c>
      <c r="B99" s="3476"/>
      <c r="C99" s="2830" t="s">
        <v>2701</v>
      </c>
      <c r="D99" s="2830" t="s">
        <v>2702</v>
      </c>
      <c r="E99" s="2856">
        <v>0.1</v>
      </c>
      <c r="F99" s="2856">
        <v>15</v>
      </c>
    </row>
    <row r="100" spans="1:6" ht="26">
      <c r="A100" s="2856">
        <v>26</v>
      </c>
      <c r="B100" s="3476"/>
      <c r="C100" s="2830" t="s">
        <v>2703</v>
      </c>
      <c r="D100" s="2830" t="s">
        <v>2704</v>
      </c>
      <c r="E100" s="2856">
        <v>0.1</v>
      </c>
      <c r="F100" s="2856">
        <v>15</v>
      </c>
    </row>
    <row r="101" spans="1:6" ht="26">
      <c r="A101" s="2856">
        <v>27</v>
      </c>
      <c r="B101" s="3476"/>
      <c r="C101" s="2830" t="s">
        <v>2705</v>
      </c>
      <c r="D101" s="2830" t="s">
        <v>2706</v>
      </c>
      <c r="E101" s="2856">
        <v>0.1</v>
      </c>
      <c r="F101" s="2856">
        <v>15</v>
      </c>
    </row>
    <row r="102" spans="1:6" ht="26">
      <c r="A102" s="2856">
        <v>28</v>
      </c>
      <c r="B102" s="3476"/>
      <c r="C102" s="2830" t="s">
        <v>2707</v>
      </c>
      <c r="D102" s="2830" t="s">
        <v>2708</v>
      </c>
      <c r="E102" s="2856">
        <v>0.1</v>
      </c>
      <c r="F102" s="2856">
        <v>15</v>
      </c>
    </row>
    <row r="103" spans="1:6" ht="26">
      <c r="A103" s="2856">
        <v>29</v>
      </c>
      <c r="B103" s="3476"/>
      <c r="C103" s="2830" t="s">
        <v>2709</v>
      </c>
      <c r="D103" s="2830" t="s">
        <v>2710</v>
      </c>
      <c r="E103" s="2856">
        <v>0.1</v>
      </c>
      <c r="F103" s="2856">
        <v>15</v>
      </c>
    </row>
    <row r="104" spans="1:6" ht="26">
      <c r="A104" s="2856">
        <v>30</v>
      </c>
      <c r="B104" s="3476"/>
      <c r="C104" s="2830" t="s">
        <v>2711</v>
      </c>
      <c r="D104" s="2830" t="s">
        <v>2712</v>
      </c>
      <c r="E104" s="2856">
        <v>0.1</v>
      </c>
      <c r="F104" s="2856">
        <v>15</v>
      </c>
    </row>
    <row r="105" spans="1:6" ht="26">
      <c r="A105" s="2856">
        <v>31</v>
      </c>
      <c r="B105" s="3476"/>
      <c r="C105" s="2830" t="s">
        <v>2713</v>
      </c>
      <c r="D105" s="2830" t="s">
        <v>2714</v>
      </c>
      <c r="E105" s="2856">
        <v>0.1</v>
      </c>
      <c r="F105" s="2856">
        <v>15</v>
      </c>
    </row>
    <row r="106" spans="1:6" ht="26">
      <c r="A106" s="2856">
        <v>32</v>
      </c>
      <c r="B106" s="3476"/>
      <c r="C106" s="2830" t="s">
        <v>2715</v>
      </c>
      <c r="D106" s="2830" t="s">
        <v>2716</v>
      </c>
      <c r="E106" s="2856">
        <v>0.1</v>
      </c>
      <c r="F106" s="2856">
        <v>15</v>
      </c>
    </row>
    <row r="107" spans="1:6" ht="26">
      <c r="A107" s="2856">
        <v>33</v>
      </c>
      <c r="B107" s="3476"/>
      <c r="C107" s="2830" t="s">
        <v>2717</v>
      </c>
      <c r="D107" s="2830" t="s">
        <v>2718</v>
      </c>
      <c r="E107" s="2856">
        <v>0.1</v>
      </c>
      <c r="F107" s="2856">
        <v>15</v>
      </c>
    </row>
    <row r="108" spans="1:6" ht="26">
      <c r="A108" s="2856">
        <v>34</v>
      </c>
      <c r="B108" s="3475"/>
      <c r="C108" s="2830" t="s">
        <v>2719</v>
      </c>
      <c r="D108" s="2830" t="s">
        <v>2720</v>
      </c>
      <c r="E108" s="2856">
        <v>0.1</v>
      </c>
      <c r="F108" s="2856">
        <v>15</v>
      </c>
    </row>
    <row r="109" spans="1:6" ht="26">
      <c r="A109" s="2856">
        <v>35</v>
      </c>
      <c r="B109" s="3474" t="s">
        <v>2721</v>
      </c>
      <c r="C109" s="2856" t="s">
        <v>2722</v>
      </c>
      <c r="D109" s="2830" t="s">
        <v>2723</v>
      </c>
      <c r="E109" s="2856">
        <v>0.15</v>
      </c>
      <c r="F109" s="2856">
        <v>20</v>
      </c>
    </row>
    <row r="110" spans="1:6" ht="26">
      <c r="A110" s="2856">
        <v>36</v>
      </c>
      <c r="B110" s="3476"/>
      <c r="C110" s="2856" t="s">
        <v>2724</v>
      </c>
      <c r="D110" s="2830" t="s">
        <v>2725</v>
      </c>
      <c r="E110" s="2856">
        <v>0.15</v>
      </c>
      <c r="F110" s="2856">
        <v>20</v>
      </c>
    </row>
    <row r="111" spans="1:6" ht="26">
      <c r="A111" s="2856">
        <v>37</v>
      </c>
      <c r="B111" s="3476"/>
      <c r="C111" s="2856" t="s">
        <v>2726</v>
      </c>
      <c r="D111" s="2830" t="s">
        <v>2727</v>
      </c>
      <c r="E111" s="2856">
        <v>0.15</v>
      </c>
      <c r="F111" s="2856">
        <v>20</v>
      </c>
    </row>
    <row r="112" spans="1:6" ht="14">
      <c r="A112" s="2856">
        <v>38</v>
      </c>
      <c r="B112" s="3476"/>
      <c r="C112" s="2856" t="s">
        <v>2728</v>
      </c>
      <c r="D112" s="2830" t="s">
        <v>2729</v>
      </c>
      <c r="E112" s="2856">
        <v>0.1</v>
      </c>
      <c r="F112" s="2856">
        <v>15</v>
      </c>
    </row>
    <row r="113" spans="1:6" ht="26">
      <c r="A113" s="2856">
        <v>39</v>
      </c>
      <c r="B113" s="3476"/>
      <c r="C113" s="2856" t="s">
        <v>2730</v>
      </c>
      <c r="D113" s="2830" t="s">
        <v>2731</v>
      </c>
      <c r="E113" s="2856">
        <v>0.1</v>
      </c>
      <c r="F113" s="2856">
        <v>15</v>
      </c>
    </row>
    <row r="114" spans="1:6" ht="26">
      <c r="A114" s="2856">
        <v>40</v>
      </c>
      <c r="B114" s="3475"/>
      <c r="C114" s="2856" t="s">
        <v>2732</v>
      </c>
      <c r="D114" s="2830" t="s">
        <v>2733</v>
      </c>
      <c r="E114" s="2856">
        <v>0.1</v>
      </c>
      <c r="F114" s="2856">
        <v>15</v>
      </c>
    </row>
    <row r="115" spans="1:6" ht="26">
      <c r="A115" s="2856">
        <v>41</v>
      </c>
      <c r="B115" s="3473" t="s">
        <v>2734</v>
      </c>
      <c r="C115" s="2856" t="s">
        <v>2735</v>
      </c>
      <c r="D115" s="2830" t="s">
        <v>2736</v>
      </c>
      <c r="E115" s="2856">
        <v>0.1</v>
      </c>
      <c r="F115" s="2856">
        <v>15</v>
      </c>
    </row>
    <row r="116" spans="1:6" ht="14">
      <c r="A116" s="2856">
        <v>42</v>
      </c>
      <c r="B116" s="3473"/>
      <c r="C116" s="2856" t="s">
        <v>2737</v>
      </c>
      <c r="D116" s="2830" t="s">
        <v>2738</v>
      </c>
      <c r="E116" s="2856">
        <v>0.1</v>
      </c>
      <c r="F116" s="2856">
        <v>15</v>
      </c>
    </row>
    <row r="117" spans="1:6" ht="26">
      <c r="A117" s="2856">
        <v>43</v>
      </c>
      <c r="B117" s="3473"/>
      <c r="C117" s="2856" t="s">
        <v>2739</v>
      </c>
      <c r="D117" s="2830" t="s">
        <v>2740</v>
      </c>
      <c r="E117" s="2856">
        <v>0.1</v>
      </c>
      <c r="F117" s="2856">
        <v>15</v>
      </c>
    </row>
    <row r="118" spans="1:6" ht="26">
      <c r="A118" s="2856">
        <v>44</v>
      </c>
      <c r="B118" s="3474" t="s">
        <v>2741</v>
      </c>
      <c r="C118" s="2856" t="s">
        <v>2742</v>
      </c>
      <c r="D118" s="2830" t="s">
        <v>2743</v>
      </c>
      <c r="E118" s="2856">
        <v>0.1</v>
      </c>
      <c r="F118" s="2856">
        <v>15</v>
      </c>
    </row>
    <row r="119" spans="1:6" ht="26">
      <c r="A119" s="2856">
        <v>45</v>
      </c>
      <c r="B119" s="3475"/>
      <c r="C119" s="2830" t="s">
        <v>2744</v>
      </c>
      <c r="D119" s="2830" t="s">
        <v>2745</v>
      </c>
      <c r="E119" s="2856">
        <v>0.1</v>
      </c>
      <c r="F119" s="2856">
        <v>15</v>
      </c>
    </row>
    <row r="120" spans="1:6" ht="26">
      <c r="A120" s="2856">
        <v>46</v>
      </c>
      <c r="B120" s="3474" t="s">
        <v>2746</v>
      </c>
      <c r="C120" s="2856" t="s">
        <v>2747</v>
      </c>
      <c r="D120" s="2830" t="s">
        <v>2748</v>
      </c>
      <c r="E120" s="2856">
        <v>0.1</v>
      </c>
      <c r="F120" s="2856">
        <v>15</v>
      </c>
    </row>
    <row r="121" spans="1:6" ht="26">
      <c r="A121" s="2856">
        <v>47</v>
      </c>
      <c r="B121" s="3475"/>
      <c r="C121" s="2856" t="s">
        <v>2749</v>
      </c>
      <c r="D121" s="2830" t="s">
        <v>2750</v>
      </c>
      <c r="E121" s="2856">
        <v>0.1</v>
      </c>
      <c r="F121" s="2856">
        <v>15</v>
      </c>
    </row>
    <row r="122" spans="1:6" ht="26">
      <c r="A122" s="2856">
        <v>48</v>
      </c>
      <c r="B122" s="3474" t="s">
        <v>2751</v>
      </c>
      <c r="C122" s="2856" t="s">
        <v>2752</v>
      </c>
      <c r="D122" s="2830" t="s">
        <v>2753</v>
      </c>
      <c r="E122" s="2856">
        <v>0.1</v>
      </c>
      <c r="F122" s="2856">
        <v>15</v>
      </c>
    </row>
    <row r="123" spans="1:6" ht="14">
      <c r="A123" s="2856">
        <v>49</v>
      </c>
      <c r="B123" s="3475"/>
      <c r="C123" s="2856" t="s">
        <v>2754</v>
      </c>
      <c r="D123" s="2830" t="s">
        <v>2755</v>
      </c>
      <c r="E123" s="2856">
        <v>0.1</v>
      </c>
      <c r="F123" s="2856">
        <v>15</v>
      </c>
    </row>
    <row r="124" spans="1:6" ht="26">
      <c r="A124" s="2856">
        <v>50</v>
      </c>
      <c r="B124" s="3473" t="s">
        <v>2756</v>
      </c>
      <c r="C124" s="2856" t="s">
        <v>2757</v>
      </c>
      <c r="D124" s="2830" t="s">
        <v>2758</v>
      </c>
      <c r="E124" s="2856">
        <v>0.1</v>
      </c>
      <c r="F124" s="2856">
        <v>15</v>
      </c>
    </row>
    <row r="125" spans="1:6" ht="26">
      <c r="A125" s="2856">
        <v>51</v>
      </c>
      <c r="B125" s="3473"/>
      <c r="C125" s="2856" t="s">
        <v>2759</v>
      </c>
      <c r="D125" s="2830" t="s">
        <v>2760</v>
      </c>
      <c r="E125" s="2856">
        <v>0.1</v>
      </c>
      <c r="F125" s="2856">
        <v>15</v>
      </c>
    </row>
    <row r="126" spans="1:6" ht="26">
      <c r="A126" s="2856">
        <v>52</v>
      </c>
      <c r="B126" s="3473" t="s">
        <v>2761</v>
      </c>
      <c r="C126" s="2856" t="s">
        <v>2762</v>
      </c>
      <c r="D126" s="2830" t="s">
        <v>2763</v>
      </c>
      <c r="E126" s="2856">
        <v>0.1</v>
      </c>
      <c r="F126" s="2856">
        <v>15</v>
      </c>
    </row>
    <row r="127" spans="1:6" ht="26">
      <c r="A127" s="2856">
        <v>53</v>
      </c>
      <c r="B127" s="3473"/>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3" t="s">
        <v>2769</v>
      </c>
      <c r="C129" s="2856" t="s">
        <v>2770</v>
      </c>
      <c r="D129" s="2830" t="s">
        <v>2771</v>
      </c>
      <c r="E129" s="2856">
        <v>0.1</v>
      </c>
      <c r="F129" s="2856">
        <v>15</v>
      </c>
    </row>
    <row r="130" spans="1:6" ht="14">
      <c r="A130" s="2856">
        <v>56</v>
      </c>
      <c r="B130" s="3473"/>
      <c r="C130" s="2856" t="s">
        <v>2772</v>
      </c>
      <c r="D130" s="2830" t="s">
        <v>2773</v>
      </c>
      <c r="E130" s="2856">
        <v>0.1</v>
      </c>
      <c r="F130" s="2856">
        <v>15</v>
      </c>
    </row>
    <row r="131" spans="1:6" ht="26">
      <c r="A131" s="2856">
        <v>57</v>
      </c>
      <c r="B131" s="3473"/>
      <c r="C131" s="2856" t="s">
        <v>2774</v>
      </c>
      <c r="D131" s="2830" t="s">
        <v>2775</v>
      </c>
      <c r="E131" s="2856">
        <v>0.1</v>
      </c>
      <c r="F131" s="2856">
        <v>15</v>
      </c>
    </row>
    <row r="132" spans="1:6" ht="26">
      <c r="A132" s="2856">
        <v>58</v>
      </c>
      <c r="B132" s="3473" t="s">
        <v>2776</v>
      </c>
      <c r="C132" s="2856" t="s">
        <v>2777</v>
      </c>
      <c r="D132" s="2830" t="s">
        <v>2778</v>
      </c>
      <c r="E132" s="2856">
        <v>0.1</v>
      </c>
      <c r="F132" s="2856">
        <v>15</v>
      </c>
    </row>
    <row r="133" spans="1:6" ht="26">
      <c r="A133" s="2856">
        <v>59</v>
      </c>
      <c r="B133" s="3473"/>
      <c r="C133" s="2856" t="s">
        <v>2779</v>
      </c>
      <c r="D133" s="2830" t="s">
        <v>2780</v>
      </c>
      <c r="E133" s="2856">
        <v>0.1</v>
      </c>
      <c r="F133" s="2856">
        <v>15</v>
      </c>
    </row>
    <row r="134" spans="1:6" ht="26">
      <c r="A134" s="2856">
        <v>60</v>
      </c>
      <c r="B134" s="3474" t="s">
        <v>2781</v>
      </c>
      <c r="C134" s="2856" t="s">
        <v>2782</v>
      </c>
      <c r="D134" s="2830" t="s">
        <v>2783</v>
      </c>
      <c r="E134" s="2856">
        <v>0.1</v>
      </c>
      <c r="F134" s="2856">
        <v>15</v>
      </c>
    </row>
    <row r="135" spans="1:6" ht="26">
      <c r="A135" s="2856">
        <v>61</v>
      </c>
      <c r="B135" s="3475"/>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3" t="s">
        <v>2789</v>
      </c>
      <c r="C137" s="2856" t="s">
        <v>2790</v>
      </c>
      <c r="D137" s="2830" t="s">
        <v>2791</v>
      </c>
      <c r="E137" s="2856">
        <v>0.1</v>
      </c>
      <c r="F137" s="2856">
        <v>15</v>
      </c>
    </row>
    <row r="138" spans="1:6" ht="14">
      <c r="A138" s="2856">
        <v>64</v>
      </c>
      <c r="B138" s="3473"/>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t="e">
        <f>SUMPRODUCT((A95:A184=ROUNDDOWN(基准地价修正!G3,1))*(B94:M94=基准地价修正!G2)*(B95:M184))</f>
        <v>#DIV/0!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t="e">
        <f>SUMPRODUCT((A371:A460=ROUNDDOWN(基准地价修正!G3,1))*(B370:M370=基准地价修正!G2)*(B371:M460))</f>
        <v>#DIV/0!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29107</v>
      </c>
      <c r="C2" s="2" t="s">
        <v>106</v>
      </c>
      <c r="D2" s="191"/>
      <c r="E2" s="191"/>
      <c r="F2" s="191"/>
      <c r="G2" s="191"/>
    </row>
    <row r="3" spans="1:7" s="192" customFormat="1" ht="18" customHeight="1" thickBot="1">
      <c r="A3" s="195" t="s">
        <v>58</v>
      </c>
      <c r="B3" s="196">
        <f ca="1">ROUND(B2*10000/'数据-汇总表'!E3,0)</f>
        <v>493515</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v>
      </c>
      <c r="D10" s="795">
        <f>'数据-汇总表'!E6</f>
        <v>589.79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589.79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1324</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4207</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4207</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28810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265</v>
      </c>
      <c r="D34" s="209"/>
      <c r="E34" s="212"/>
      <c r="F34" s="249">
        <f>IF('数据-取费表'!B24=0,1,'数据-取费表'!N16)</f>
        <v>1</v>
      </c>
      <c r="G34" s="211" t="s">
        <v>89</v>
      </c>
    </row>
    <row r="35" spans="1:7" ht="13.5" customHeight="1">
      <c r="A35" s="734" t="s">
        <v>351</v>
      </c>
      <c r="B35" s="207" t="s">
        <v>33</v>
      </c>
      <c r="C35" s="212">
        <f>ROUND(C34*F35,0)</f>
        <v>13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589.79</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6</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5.9999999999999995E-4</v>
      </c>
      <c r="D44" s="230"/>
      <c r="E44" s="230"/>
      <c r="F44" s="231"/>
      <c r="G44" s="3352"/>
    </row>
    <row r="45" spans="1:7" s="206" customFormat="1" ht="13.5" customHeight="1">
      <c r="A45" s="731" t="s">
        <v>341</v>
      </c>
      <c r="B45" s="236" t="s">
        <v>85</v>
      </c>
      <c r="C45" s="237">
        <f>C46</f>
        <v>60</v>
      </c>
      <c r="D45" s="227">
        <f>C47</f>
        <v>4.0000000000000001E-3</v>
      </c>
      <c r="E45" s="228" t="s">
        <v>102</v>
      </c>
      <c r="F45" s="238"/>
      <c r="G45" s="239" t="s">
        <v>434</v>
      </c>
    </row>
    <row r="46" spans="1:7" s="206" customFormat="1" ht="13.5" customHeight="1">
      <c r="A46" s="734" t="s">
        <v>349</v>
      </c>
      <c r="B46" s="240" t="s">
        <v>427</v>
      </c>
      <c r="C46" s="241">
        <f>ROUND((C33+C39)*F27,0)</f>
        <v>60</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401</v>
      </c>
      <c r="D49" s="224"/>
      <c r="E49" s="224"/>
      <c r="F49" s="256"/>
      <c r="G49" s="226" t="s">
        <v>435</v>
      </c>
    </row>
    <row r="50" spans="1:7" s="250" customFormat="1" ht="26">
      <c r="A50" s="731" t="s">
        <v>344</v>
      </c>
      <c r="B50" s="202" t="s">
        <v>97</v>
      </c>
      <c r="C50" s="224"/>
      <c r="D50" s="224"/>
      <c r="E50" s="224"/>
      <c r="F50" s="256">
        <f>IF('数据-取费表'!B24=0,'数据-取费表'!N16,1)</f>
        <v>0.74</v>
      </c>
      <c r="G50" s="239" t="s">
        <v>98</v>
      </c>
    </row>
    <row r="51" spans="1:7" ht="16.5" customHeight="1">
      <c r="A51" s="731" t="s">
        <v>345</v>
      </c>
      <c r="B51" s="202" t="s">
        <v>105</v>
      </c>
      <c r="C51" s="224">
        <f ca="1">ROUND(C49*F50,0)</f>
        <v>297</v>
      </c>
      <c r="D51" s="224"/>
      <c r="E51" s="224"/>
      <c r="F51" s="256"/>
      <c r="G51" s="226" t="s">
        <v>37</v>
      </c>
    </row>
    <row r="52" spans="1:7" s="200" customFormat="1" ht="16.5" thickBot="1">
      <c r="A52" s="257" t="s">
        <v>38</v>
      </c>
      <c r="B52" s="258"/>
      <c r="C52" s="259">
        <f ca="1">C31+C51</f>
        <v>29107</v>
      </c>
      <c r="D52" s="258"/>
      <c r="E52" s="258"/>
      <c r="F52" s="258"/>
      <c r="G52" s="260"/>
    </row>
    <row r="55" spans="1:7" ht="15.5">
      <c r="B55" s="262" t="s">
        <v>39</v>
      </c>
      <c r="C55" s="263"/>
    </row>
    <row r="56" spans="1:7" ht="13">
      <c r="B56" s="265" t="s">
        <v>40</v>
      </c>
      <c r="C56" s="266">
        <f ca="1">ROUND(C51/C52,3)</f>
        <v>0.01</v>
      </c>
    </row>
    <row r="57" spans="1:7" ht="13">
      <c r="B57" s="265" t="s">
        <v>41</v>
      </c>
      <c r="C57" s="267">
        <f ca="1">1-C56</f>
        <v>0.99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87" t="s">
        <v>3181</v>
      </c>
      <c r="B1" s="3487"/>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45947</v>
      </c>
      <c r="B1" s="2928" t="s">
        <v>3376</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490" t="s">
        <v>2827</v>
      </c>
      <c r="S29" s="3491"/>
      <c r="T29" s="3491"/>
      <c r="U29" s="3491"/>
      <c r="V29" s="3491"/>
      <c r="W29" s="3491"/>
      <c r="X29" s="2895"/>
      <c r="Y29" s="3490" t="s">
        <v>2828</v>
      </c>
      <c r="Z29" s="3491"/>
      <c r="AA29" s="3491"/>
      <c r="AB29" s="3491"/>
      <c r="AC29" s="3491"/>
      <c r="AD29" s="3491"/>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3" t="s">
        <v>2839</v>
      </c>
      <c r="B1" s="3503"/>
      <c r="C1" s="3503"/>
      <c r="D1" s="3503"/>
      <c r="E1" s="3503"/>
      <c r="F1" s="3503"/>
      <c r="G1" s="350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45947</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2"/>
      <c r="B3" s="3182"/>
      <c r="C3" s="3182"/>
      <c r="D3" s="801" t="s">
        <v>925</v>
      </c>
      <c r="E3" s="801" t="s">
        <v>931</v>
      </c>
      <c r="F3" s="801" t="s">
        <v>925</v>
      </c>
      <c r="G3" s="801" t="s">
        <v>926</v>
      </c>
      <c r="H3" s="801" t="s">
        <v>925</v>
      </c>
      <c r="I3" s="801" t="s">
        <v>926</v>
      </c>
    </row>
    <row r="4" spans="1:9" ht="15.5">
      <c r="A4" s="1403" t="str">
        <f>项目基本情况!S2</f>
        <v>北京市朝阳区霞光里66号院甲5号楼1层、2层房地产</v>
      </c>
      <c r="B4" s="801">
        <f>项目基本情况!C17</f>
        <v>589.79</v>
      </c>
      <c r="C4" s="801">
        <f>项目基本情况!C18</f>
        <v>0</v>
      </c>
      <c r="D4" s="801">
        <f>结果表!D118</f>
        <v>0</v>
      </c>
      <c r="E4" s="801">
        <f>结果表!E118</f>
        <v>0</v>
      </c>
      <c r="F4" s="801">
        <f>结果表!F118</f>
        <v>0</v>
      </c>
      <c r="G4" s="801">
        <f>结果表!G118</f>
        <v>0</v>
      </c>
      <c r="H4" s="801">
        <f ca="1">结果表!H118</f>
        <v>1899</v>
      </c>
      <c r="I4" s="801">
        <f ca="1">结果表!I118</f>
        <v>32195</v>
      </c>
    </row>
    <row r="5" spans="1:9" ht="30" customHeight="1">
      <c r="A5" s="3182" t="s">
        <v>927</v>
      </c>
      <c r="B5" s="3182"/>
      <c r="C5" s="3182"/>
      <c r="D5" s="3182" t="str">
        <f>结果表!D119</f>
        <v>零元整</v>
      </c>
      <c r="E5" s="3182"/>
      <c r="F5" s="3182" t="str">
        <f>结果表!F119</f>
        <v>零元整</v>
      </c>
      <c r="G5" s="3182"/>
      <c r="H5" s="3182" t="str">
        <f ca="1">结果表!H119</f>
        <v>壹仟捌佰玖拾玖万元整</v>
      </c>
      <c r="I5" s="3182"/>
    </row>
    <row r="6" spans="1:9" ht="15.5">
      <c r="A6" s="3181" t="str">
        <f>结果表!A120</f>
        <v>估价师知悉的法定优先受偿款</v>
      </c>
      <c r="B6" s="3181"/>
      <c r="C6" s="3181"/>
      <c r="D6" s="3181">
        <f>结果表!D120</f>
        <v>0</v>
      </c>
      <c r="E6" s="3181"/>
      <c r="F6" s="3181"/>
      <c r="G6" s="3181"/>
      <c r="H6" s="3181"/>
      <c r="I6" s="3181"/>
    </row>
    <row r="7" spans="1:9" ht="15.5">
      <c r="A7" s="3182" t="s">
        <v>927</v>
      </c>
      <c r="B7" s="3182"/>
      <c r="C7" s="3182"/>
      <c r="D7" s="3183" t="str">
        <f>结果表!D121</f>
        <v>零元整</v>
      </c>
      <c r="E7" s="3184"/>
      <c r="F7" s="3184"/>
      <c r="G7" s="3184"/>
      <c r="H7" s="3184"/>
      <c r="I7" s="3185"/>
    </row>
    <row r="8" spans="1:9" ht="15.5">
      <c r="A8" s="3181" t="str">
        <f>结果表!A122</f>
        <v>房地产抵押价值</v>
      </c>
      <c r="B8" s="3181"/>
      <c r="C8" s="3181"/>
      <c r="D8" s="3181">
        <f ca="1">结果表!D122</f>
        <v>1899</v>
      </c>
      <c r="E8" s="3181"/>
      <c r="F8" s="3181"/>
      <c r="G8" s="3181"/>
      <c r="H8" s="3181"/>
      <c r="I8" s="3181"/>
    </row>
    <row r="9" spans="1:9" ht="15.5">
      <c r="A9" s="3182" t="s">
        <v>927</v>
      </c>
      <c r="B9" s="3182"/>
      <c r="C9" s="3182"/>
      <c r="D9" s="3182" t="str">
        <f ca="1">结果表!D123</f>
        <v>壹仟捌佰玖拾玖万元整</v>
      </c>
      <c r="E9" s="3182"/>
      <c r="F9" s="3182"/>
      <c r="G9" s="3182"/>
      <c r="H9" s="3182"/>
      <c r="I9" s="3182"/>
    </row>
    <row r="10" spans="1:9" ht="15.5">
      <c r="A10" s="3181" t="str">
        <f>结果表!A124</f>
        <v/>
      </c>
      <c r="B10" s="3181"/>
      <c r="C10" s="3181"/>
      <c r="D10" s="3181" t="str">
        <f>结果表!D124</f>
        <v>——</v>
      </c>
      <c r="E10" s="3181"/>
      <c r="F10" s="3181"/>
      <c r="G10" s="3181"/>
      <c r="H10" s="3181"/>
      <c r="I10" s="3181"/>
    </row>
    <row r="11" spans="1:9" ht="15.5">
      <c r="A11" s="3182" t="s">
        <v>927</v>
      </c>
      <c r="B11" s="3182"/>
      <c r="C11" s="3182"/>
      <c r="D11" s="3182" t="e">
        <f>结果表!D125</f>
        <v>#VALUE!</v>
      </c>
      <c r="E11" s="3182"/>
      <c r="F11" s="3182"/>
      <c r="G11" s="3182"/>
      <c r="H11" s="3182"/>
      <c r="I11" s="3182"/>
    </row>
    <row r="12" spans="1:9" ht="15.5">
      <c r="A12" s="3181" t="str">
        <f>结果表!A126</f>
        <v/>
      </c>
      <c r="B12" s="3181"/>
      <c r="C12" s="3181"/>
      <c r="D12" s="3181" t="str">
        <f>结果表!D126</f>
        <v>——</v>
      </c>
      <c r="E12" s="3181"/>
      <c r="F12" s="3181"/>
      <c r="G12" s="3181"/>
      <c r="H12" s="3181"/>
      <c r="I12" s="3181"/>
    </row>
    <row r="13" spans="1:9" ht="16" thickBot="1">
      <c r="A13" s="3179" t="s">
        <v>927</v>
      </c>
      <c r="B13" s="3179"/>
      <c r="C13" s="3179"/>
      <c r="D13" s="3179" t="e">
        <f>结果表!D127</f>
        <v>#VALUE!</v>
      </c>
      <c r="E13" s="3179"/>
      <c r="F13" s="3179"/>
      <c r="G13" s="3179"/>
      <c r="H13" s="3179"/>
      <c r="I13" s="3179"/>
    </row>
    <row r="14" spans="1:9" ht="14.5" thickTop="1">
      <c r="A14" s="3180" t="s">
        <v>932</v>
      </c>
      <c r="B14" s="3180"/>
      <c r="C14" s="3180"/>
      <c r="D14" s="3180"/>
      <c r="E14" s="3180"/>
      <c r="F14" s="3180"/>
      <c r="G14" s="3180"/>
      <c r="H14" s="3180"/>
      <c r="I14" s="318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4" t="s">
        <v>949</v>
      </c>
      <c r="B1" s="3194"/>
      <c r="C1" s="3194"/>
      <c r="D1" s="3194"/>
    </row>
    <row r="2" spans="1:4" ht="18">
      <c r="A2" s="3195" t="s">
        <v>933</v>
      </c>
      <c r="B2" s="3195"/>
      <c r="C2" s="3195"/>
      <c r="D2" s="319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6" t="s">
        <v>942</v>
      </c>
      <c r="B11" s="3188"/>
      <c r="C11" s="3188"/>
      <c r="D11" s="3188"/>
    </row>
    <row r="12" spans="1:4" ht="15.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2" t="s">
        <v>956</v>
      </c>
      <c r="B15" s="3197" t="s">
        <v>109</v>
      </c>
      <c r="C15" s="3198"/>
    </row>
    <row r="16" spans="1:7" ht="14">
      <c r="A16" s="3203"/>
      <c r="B16" s="3197" t="s">
        <v>42</v>
      </c>
      <c r="C16" s="3198"/>
    </row>
    <row r="17" spans="1:3" ht="14">
      <c r="A17" s="3203"/>
      <c r="B17" s="3200" t="s">
        <v>957</v>
      </c>
      <c r="C17" s="1429" t="s">
        <v>956</v>
      </c>
    </row>
    <row r="18" spans="1:3" ht="14">
      <c r="A18" s="3203"/>
      <c r="B18" s="3200"/>
      <c r="C18" s="1429" t="s">
        <v>958</v>
      </c>
    </row>
    <row r="19" spans="1:3" ht="14">
      <c r="A19" s="3203"/>
      <c r="B19" s="3200"/>
      <c r="C19" s="1429" t="s">
        <v>959</v>
      </c>
    </row>
    <row r="20" spans="1:3" ht="14">
      <c r="A20" s="3204"/>
      <c r="B20" s="3199" t="s">
        <v>960</v>
      </c>
      <c r="C20" s="3198"/>
    </row>
    <row r="21" spans="1:3" ht="14">
      <c r="A21" s="1430" t="s">
        <v>961</v>
      </c>
      <c r="B21" s="1431"/>
      <c r="C21" s="1432"/>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9" t="s">
        <v>967</v>
      </c>
    </row>
    <row r="26" spans="1:3" ht="14">
      <c r="A26" s="3201"/>
      <c r="B26" s="3200"/>
      <c r="C26" s="1429" t="s">
        <v>968</v>
      </c>
    </row>
    <row r="27" spans="1:3" ht="14">
      <c r="A27" s="3201"/>
      <c r="B27" s="3200"/>
      <c r="C27" s="1429" t="s">
        <v>969</v>
      </c>
    </row>
    <row r="28" spans="1:3" ht="14">
      <c r="A28" s="3201"/>
      <c r="B28" s="3200"/>
      <c r="C28" s="1429" t="s">
        <v>970</v>
      </c>
    </row>
    <row r="29" spans="1:3" ht="14">
      <c r="A29" s="3201"/>
      <c r="B29" s="3200"/>
      <c r="C29" s="1429" t="s">
        <v>971</v>
      </c>
    </row>
    <row r="30" spans="1:3" ht="14">
      <c r="A30" s="3201"/>
      <c r="B30" s="3200"/>
      <c r="C30" s="1429" t="s">
        <v>972</v>
      </c>
    </row>
    <row r="31" spans="1:3" ht="14">
      <c r="A31" s="3201"/>
      <c r="B31" s="3200"/>
      <c r="C31" s="1429" t="s">
        <v>973</v>
      </c>
    </row>
    <row r="32" spans="1:3" ht="14">
      <c r="A32" s="3201"/>
      <c r="B32" s="3200"/>
      <c r="C32" s="1429" t="s">
        <v>974</v>
      </c>
    </row>
    <row r="33" spans="1:3" ht="14">
      <c r="A33" s="3201"/>
      <c r="B33" s="320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45947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(元)</vt:lpstr>
      <vt:lpstr>租金案例</vt:lpstr>
      <vt:lpstr>售价案例</vt:lpstr>
      <vt:lpstr>成本法 (元)</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2025-10-17T02:49:05Z</dcterms:modified>
</cp:coreProperties>
</file>