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海宁项目\资产评估资料\"/>
    </mc:Choice>
  </mc:AlternateContent>
  <bookViews>
    <workbookView xWindow="480" yWindow="216"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案例" sheetId="77"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68" l="1"/>
  <c r="S30" i="6" l="1"/>
  <c r="C16" i="74" l="1"/>
  <c r="B16" i="74"/>
  <c r="C15" i="74"/>
  <c r="B15" i="74"/>
  <c r="C11" i="39" l="1"/>
  <c r="F19" i="6"/>
  <c r="E9" i="6"/>
  <c r="A25" i="3"/>
  <c r="I38" i="39"/>
  <c r="G38" i="39"/>
  <c r="E38" i="39"/>
  <c r="I46" i="39"/>
  <c r="G46" i="39"/>
  <c r="E46" i="39"/>
  <c r="E71" i="39"/>
  <c r="F71" i="39"/>
  <c r="G71" i="39" s="1"/>
  <c r="H71" i="39" s="1"/>
  <c r="I71" i="39" s="1"/>
  <c r="J71" i="39" s="1"/>
  <c r="K71" i="39" s="1"/>
  <c r="L71" i="39" s="1"/>
  <c r="D71" i="39"/>
  <c r="I7" i="39"/>
  <c r="G7" i="39"/>
  <c r="E7" i="39"/>
  <c r="I5" i="39"/>
  <c r="G5" i="39"/>
  <c r="E5" i="39"/>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A20" i="62"/>
  <c r="A22" i="51"/>
  <c r="A21" i="51"/>
  <c r="A20" i="51"/>
  <c r="A15" i="62"/>
  <c r="B61" i="72" s="1"/>
  <c r="A14" i="62"/>
  <c r="A13" i="62"/>
  <c r="A19" i="62"/>
  <c r="A12" i="62"/>
  <c r="B58" i="72" s="1"/>
  <c r="A120" i="9"/>
  <c r="H2" i="52"/>
  <c r="A1" i="52"/>
  <c r="A3" i="53"/>
  <c r="Q11" i="71"/>
  <c r="P11" i="71"/>
  <c r="O11" i="71"/>
  <c r="N11"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2" i="71"/>
  <c r="Y3" i="71" s="1"/>
  <c r="Z3" i="71" s="1"/>
  <c r="P12" i="71"/>
  <c r="Q12" i="71"/>
  <c r="AB10" i="71" s="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59" i="72"/>
  <c r="B67"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N52" i="71" s="1"/>
  <c r="D50" i="71"/>
  <c r="Q49" i="71"/>
  <c r="P49" i="71"/>
  <c r="O49" i="71"/>
  <c r="N49" i="71"/>
  <c r="Q48" i="71"/>
  <c r="P48" i="71"/>
  <c r="O48" i="71"/>
  <c r="N48" i="71"/>
  <c r="Q47" i="71"/>
  <c r="P47" i="71"/>
  <c r="O47" i="71"/>
  <c r="C48" i="71" s="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E44" i="71" s="1"/>
  <c r="E45" i="71" s="1"/>
  <c r="U45" i="71" s="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C39" i="71"/>
  <c r="C40" i="71" s="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c r="U37" i="71" s="1"/>
  <c r="O34" i="71"/>
  <c r="C35" i="71" s="1"/>
  <c r="N34" i="71"/>
  <c r="B35" i="71" s="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C32" i="71" s="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Q22" i="71"/>
  <c r="F23" i="71" s="1"/>
  <c r="F24" i="71" s="1"/>
  <c r="F25" i="71" s="1"/>
  <c r="V25" i="71" s="1"/>
  <c r="P22" i="71"/>
  <c r="O22" i="71"/>
  <c r="N22" i="71"/>
  <c r="D22" i="71"/>
  <c r="Q21" i="71"/>
  <c r="AB21" i="71" s="1"/>
  <c r="P21" i="71"/>
  <c r="O21" i="71"/>
  <c r="Y21" i="71"/>
  <c r="Z21" i="71" s="1"/>
  <c r="N21" i="71"/>
  <c r="X18" i="71" s="1"/>
  <c r="Q20" i="71"/>
  <c r="AB20" i="71"/>
  <c r="P20" i="71"/>
  <c r="O20" i="71"/>
  <c r="Y15" i="71" s="1"/>
  <c r="Z15" i="71" s="1"/>
  <c r="N20" i="71"/>
  <c r="Q19" i="71"/>
  <c r="P19" i="71"/>
  <c r="AA19" i="71" s="1"/>
  <c r="O19" i="71"/>
  <c r="Y19" i="71"/>
  <c r="Z19" i="71" s="1"/>
  <c r="N19" i="71"/>
  <c r="Q18" i="71"/>
  <c r="F19" i="71" s="1"/>
  <c r="F20" i="71" s="1"/>
  <c r="F21" i="71" s="1"/>
  <c r="V21" i="71" s="1"/>
  <c r="P18" i="71"/>
  <c r="O18" i="71"/>
  <c r="N18" i="71"/>
  <c r="D18" i="71"/>
  <c r="Q17" i="71"/>
  <c r="P17" i="71"/>
  <c r="AA16" i="71" s="1"/>
  <c r="O17" i="71"/>
  <c r="Y17" i="71"/>
  <c r="Z17" i="71" s="1"/>
  <c r="N17" i="71"/>
  <c r="Q16" i="71"/>
  <c r="P16" i="71"/>
  <c r="O16" i="71"/>
  <c r="N16" i="71"/>
  <c r="Q15" i="71"/>
  <c r="AB15" i="71" s="1"/>
  <c r="P15" i="71"/>
  <c r="O15" i="71"/>
  <c r="N15" i="71"/>
  <c r="X15" i="71" s="1"/>
  <c r="Q14" i="71"/>
  <c r="F15" i="71" s="1"/>
  <c r="F16" i="71" s="1"/>
  <c r="F17" i="71" s="1"/>
  <c r="V17" i="71" s="1"/>
  <c r="P14" i="71"/>
  <c r="AA10" i="71" s="1"/>
  <c r="O14" i="71"/>
  <c r="N14" i="71"/>
  <c r="X12" i="71" s="1"/>
  <c r="D14" i="71"/>
  <c r="O13" i="71"/>
  <c r="N13" i="71"/>
  <c r="B15" i="71"/>
  <c r="B16" i="71" s="1"/>
  <c r="B17" i="71" s="1"/>
  <c r="S17" i="71" s="1"/>
  <c r="X14" i="71"/>
  <c r="B19" i="71"/>
  <c r="B20" i="71" s="1"/>
  <c r="B21" i="71"/>
  <c r="S21" i="71" s="1"/>
  <c r="E23" i="71"/>
  <c r="E24" i="71" s="1"/>
  <c r="E25" i="71" s="1"/>
  <c r="U25" i="71" s="1"/>
  <c r="AA22" i="71"/>
  <c r="N53" i="71"/>
  <c r="E19" i="71"/>
  <c r="E20" i="71" s="1"/>
  <c r="E21" i="71" s="1"/>
  <c r="U21" i="71" s="1"/>
  <c r="AA18" i="71"/>
  <c r="C15" i="71"/>
  <c r="Y14" i="71"/>
  <c r="Z14" i="71" s="1"/>
  <c r="AA15" i="71"/>
  <c r="AA17" i="71"/>
  <c r="C19" i="71"/>
  <c r="C20" i="71"/>
  <c r="C21" i="71" s="1"/>
  <c r="X19" i="71"/>
  <c r="X21" i="71"/>
  <c r="C23" i="71"/>
  <c r="C24" i="71" s="1"/>
  <c r="Y22" i="71"/>
  <c r="Z22" i="71"/>
  <c r="X23" i="71"/>
  <c r="F36" i="71"/>
  <c r="F37" i="71" s="1"/>
  <c r="V37" i="71"/>
  <c r="B13" i="71"/>
  <c r="B12" i="71"/>
  <c r="B11" i="71" s="1"/>
  <c r="X10" i="71"/>
  <c r="C16" i="71"/>
  <c r="C17" i="71" s="1"/>
  <c r="D15" i="71"/>
  <c r="D19" i="71"/>
  <c r="D23" i="71"/>
  <c r="D27" i="71"/>
  <c r="D32" i="71"/>
  <c r="D31" i="71"/>
  <c r="C36" i="71"/>
  <c r="D35" i="71"/>
  <c r="P13" i="71"/>
  <c r="E40" i="71"/>
  <c r="E41" i="71" s="1"/>
  <c r="U41" i="71" s="1"/>
  <c r="E48" i="71"/>
  <c r="E49" i="71" s="1"/>
  <c r="U49" i="71" s="1"/>
  <c r="U53" i="71"/>
  <c r="E52" i="71"/>
  <c r="Q13" i="71"/>
  <c r="D39" i="71"/>
  <c r="C44" i="71"/>
  <c r="D43" i="71"/>
  <c r="D47" i="71"/>
  <c r="B51" i="71"/>
  <c r="N51" i="71" s="1"/>
  <c r="T53" i="71"/>
  <c r="O53" i="71"/>
  <c r="D53" i="71"/>
  <c r="C52" i="71"/>
  <c r="Q53" i="71"/>
  <c r="C56" i="71"/>
  <c r="E56" i="71"/>
  <c r="E55" i="71" s="1"/>
  <c r="D57" i="71"/>
  <c r="C60" i="71"/>
  <c r="E60" i="71"/>
  <c r="E59" i="71" s="1"/>
  <c r="D61" i="71"/>
  <c r="C64" i="71"/>
  <c r="E64" i="71"/>
  <c r="E63" i="71" s="1"/>
  <c r="D65" i="71"/>
  <c r="C68" i="71"/>
  <c r="C72" i="71"/>
  <c r="C71" i="71" s="1"/>
  <c r="D71" i="71" s="1"/>
  <c r="S13" i="71"/>
  <c r="F13" i="71"/>
  <c r="F12" i="71" s="1"/>
  <c r="F11" i="71" s="1"/>
  <c r="AB11" i="71"/>
  <c r="AB13" i="71"/>
  <c r="E13" i="71"/>
  <c r="E12" i="71"/>
  <c r="E11" i="71" s="1"/>
  <c r="AA3" i="71"/>
  <c r="AA11" i="71"/>
  <c r="AA13" i="71"/>
  <c r="C51" i="71"/>
  <c r="O52" i="71"/>
  <c r="D52" i="71"/>
  <c r="D68" i="71"/>
  <c r="C67" i="71"/>
  <c r="D67" i="71"/>
  <c r="D60" i="71"/>
  <c r="C59" i="71"/>
  <c r="D59" i="71" s="1"/>
  <c r="N50" i="71"/>
  <c r="D72" i="71"/>
  <c r="D64" i="71"/>
  <c r="C63" i="71"/>
  <c r="D63" i="71" s="1"/>
  <c r="D56" i="71"/>
  <c r="C55" i="71"/>
  <c r="D55" i="71"/>
  <c r="C45" i="71"/>
  <c r="D44" i="71"/>
  <c r="P52" i="71"/>
  <c r="E51" i="71"/>
  <c r="P50" i="71" s="1"/>
  <c r="C37" i="71"/>
  <c r="D36" i="71"/>
  <c r="C29" i="71"/>
  <c r="D28" i="71"/>
  <c r="C25" i="71"/>
  <c r="D24" i="71"/>
  <c r="D20" i="71"/>
  <c r="D16" i="71"/>
  <c r="V13" i="71"/>
  <c r="P51" i="71"/>
  <c r="O51" i="71"/>
  <c r="D51" i="71"/>
  <c r="O50" i="71"/>
  <c r="T25" i="71"/>
  <c r="D25" i="71"/>
  <c r="T29" i="71"/>
  <c r="D29" i="71"/>
  <c r="T37" i="71"/>
  <c r="D37"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Q52" i="67" s="1"/>
  <c r="D46" i="67"/>
  <c r="F33" i="67"/>
  <c r="F61" i="67"/>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AC5" i="3" s="1"/>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I4" i="6" s="1"/>
  <c r="G3" i="43" s="1"/>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B54" i="72"/>
  <c r="H103" i="9"/>
  <c r="D8" i="53" s="1"/>
  <c r="B16" i="53"/>
  <c r="B33" i="72" s="1"/>
  <c r="C7" i="37"/>
  <c r="C52" i="37" s="1"/>
  <c r="D52" i="37" s="1"/>
  <c r="E52" i="37" s="1"/>
  <c r="F52" i="37" s="1"/>
  <c r="G52" i="37" s="1"/>
  <c r="H52" i="37" s="1"/>
  <c r="I52" i="37" s="1"/>
  <c r="J52" i="37" s="1"/>
  <c r="C7" i="34"/>
  <c r="C7" i="36"/>
  <c r="W35" i="40"/>
  <c r="J11" i="39"/>
  <c r="W11" i="39" s="1"/>
  <c r="F11" i="39"/>
  <c r="AA11" i="39" s="1"/>
  <c r="A12" i="52"/>
  <c r="B56" i="72" s="1"/>
  <c r="S11" i="39"/>
  <c r="G4" i="4"/>
  <c r="I4" i="4"/>
  <c r="K5" i="4"/>
  <c r="B47" i="48" s="1"/>
  <c r="N2" i="43"/>
  <c r="F59" i="4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Z506" i="3"/>
  <c r="AZ496" i="3"/>
  <c r="G548" i="3"/>
  <c r="G538" i="3"/>
  <c r="G520" i="3"/>
  <c r="G502" i="3"/>
  <c r="BP5" i="3"/>
  <c r="BN5" i="3"/>
  <c r="AZ343" i="3"/>
  <c r="BK5" i="3"/>
  <c r="BG5" i="3"/>
  <c r="BC5" i="3"/>
  <c r="G17" i="3"/>
  <c r="BA17" i="3"/>
  <c r="AZ350" i="3"/>
  <c r="AZ352" i="3"/>
  <c r="AZ356" i="3"/>
  <c r="AZ364" i="3"/>
  <c r="AZ368" i="3"/>
  <c r="BA15" i="3"/>
  <c r="AZ15" i="3" s="1"/>
  <c r="BR5" i="3"/>
  <c r="AZ380" i="3"/>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9"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K6" i="1"/>
  <c r="M6" i="1" s="1"/>
  <c r="O6" i="1" s="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R10" i="1" s="1"/>
  <c r="R10" i="1"/>
  <c r="B10" i="1"/>
  <c r="E10" i="1"/>
  <c r="D1" i="66"/>
  <c r="E10" i="66"/>
  <c r="AZ80" i="3"/>
  <c r="AZ84" i="3"/>
  <c r="AZ88" i="3"/>
  <c r="AZ107" i="3"/>
  <c r="AZ111" i="3"/>
  <c r="K12" i="1"/>
  <c r="M12" i="1" s="1"/>
  <c r="S13" i="1"/>
  <c r="AQ13" i="1" s="1"/>
  <c r="R13" i="1"/>
  <c r="S11" i="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15"/>
  <c r="F62" i="15" s="1"/>
  <c r="G13" i="3"/>
  <c r="BL17" i="3"/>
  <c r="AZ17" i="3" s="1"/>
  <c r="J56" i="9"/>
  <c r="J57" i="9"/>
  <c r="A24" i="51"/>
  <c r="B18" i="72" s="1"/>
  <c r="U29" i="34"/>
  <c r="E32" i="6"/>
  <c r="L19" i="6"/>
  <c r="G1" i="68"/>
  <c r="K1" i="12"/>
  <c r="E19" i="69"/>
  <c r="E19" i="11"/>
  <c r="E1" i="73"/>
  <c r="G22" i="68"/>
  <c r="G22" i="11"/>
  <c r="C100" i="43"/>
  <c r="E11" i="43"/>
  <c r="E10" i="43"/>
  <c r="E9" i="43"/>
  <c r="E8" i="43"/>
  <c r="C7" i="43"/>
  <c r="E81" i="43"/>
  <c r="B79" i="43"/>
  <c r="E48" i="43"/>
  <c r="B46" i="43"/>
  <c r="E70" i="43"/>
  <c r="B68" i="43"/>
  <c r="F100" i="43"/>
  <c r="H17" i="43"/>
  <c r="D9" i="53"/>
  <c r="B25" i="72" s="1"/>
  <c r="B24" i="72"/>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J46" i="36" s="1"/>
  <c r="K46" i="36" s="1"/>
  <c r="L46" i="36" s="1"/>
  <c r="M46" i="36" s="1"/>
  <c r="N46" i="36" s="1"/>
  <c r="O46" i="36" s="1"/>
  <c r="C59" i="34"/>
  <c r="D59" i="34"/>
  <c r="E59" i="34" s="1"/>
  <c r="F59" i="34" s="1"/>
  <c r="G59" i="34" s="1"/>
  <c r="H59" i="34" s="1"/>
  <c r="A4" i="51"/>
  <c r="B6" i="72" s="1"/>
  <c r="C48" i="35"/>
  <c r="D48" i="35"/>
  <c r="C94" i="9"/>
  <c r="C92" i="9"/>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C4" i="4"/>
  <c r="K4" i="4" s="1"/>
  <c r="B46" i="48" s="1"/>
  <c r="B4" i="72" s="1"/>
  <c r="F30" i="11"/>
  <c r="C48" i="11" s="1"/>
  <c r="C77" i="9"/>
  <c r="C74" i="9" s="1"/>
  <c r="S7" i="1"/>
  <c r="AR7" i="1" s="1"/>
  <c r="E7" i="70"/>
  <c r="AA39" i="40"/>
  <c r="S39" i="40"/>
  <c r="S12" i="33"/>
  <c r="AA12" i="33"/>
  <c r="C16" i="4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D121" i="9"/>
  <c r="D7" i="52"/>
  <c r="K120" i="9"/>
  <c r="A18" i="62" s="1"/>
  <c r="B64" i="72" s="1"/>
  <c r="J59" i="9"/>
  <c r="J61" i="9" s="1"/>
  <c r="R22" i="31"/>
  <c r="B21" i="31"/>
  <c r="C5" i="43"/>
  <c r="E48" i="35"/>
  <c r="F48" i="35" s="1"/>
  <c r="G48" i="35" s="1"/>
  <c r="B5" i="62"/>
  <c r="B73" i="72"/>
  <c r="AP7" i="1"/>
  <c r="AB45" i="21"/>
  <c r="AC33" i="21"/>
  <c r="W33" i="21"/>
  <c r="AA33" i="21"/>
  <c r="W32" i="21"/>
  <c r="AC32" i="21"/>
  <c r="AB9" i="21"/>
  <c r="U9" i="21"/>
  <c r="S32" i="21"/>
  <c r="AC9" i="21"/>
  <c r="U32" i="21"/>
  <c r="AA10" i="21"/>
  <c r="S10" i="21"/>
  <c r="E6" i="70"/>
  <c r="U32" i="39"/>
  <c r="AB32" i="39"/>
  <c r="AC32" i="39"/>
  <c r="W19" i="37"/>
  <c r="AC19" i="37"/>
  <c r="W23" i="37"/>
  <c r="AB11" i="37"/>
  <c r="U11" i="37"/>
  <c r="H63" i="37"/>
  <c r="I63" i="37" s="1"/>
  <c r="J63" i="37"/>
  <c r="K63" i="37" s="1"/>
  <c r="L63" i="37" s="1"/>
  <c r="M63" i="37" s="1"/>
  <c r="J11" i="37"/>
  <c r="AC11" i="37" s="1"/>
  <c r="AC10" i="37"/>
  <c r="U11" i="34"/>
  <c r="AB11" i="34"/>
  <c r="W10" i="34"/>
  <c r="I70" i="34"/>
  <c r="J70" i="34" s="1"/>
  <c r="K70" i="34"/>
  <c r="L70" i="34" s="1"/>
  <c r="M70" i="34" s="1"/>
  <c r="J11" i="34"/>
  <c r="AC36" i="33"/>
  <c r="U36" i="33"/>
  <c r="AB36" i="33"/>
  <c r="W27" i="33"/>
  <c r="AC27" i="33"/>
  <c r="W25" i="33"/>
  <c r="AC25" i="33"/>
  <c r="AB19" i="33"/>
  <c r="U19" i="33"/>
  <c r="AA17" i="33"/>
  <c r="S17" i="33"/>
  <c r="U23" i="21"/>
  <c r="AC23" i="21"/>
  <c r="W23" i="21"/>
  <c r="W11" i="37"/>
  <c r="W11" i="34"/>
  <c r="AC11" i="34"/>
  <c r="R7" i="1"/>
  <c r="R8" i="1"/>
  <c r="AE7" i="1"/>
  <c r="AE8" i="1"/>
  <c r="AG6" i="1"/>
  <c r="H109" i="9"/>
  <c r="H112" i="9"/>
  <c r="D21" i="53" s="1"/>
  <c r="B39" i="72" s="1"/>
  <c r="H111" i="9"/>
  <c r="D126" i="9"/>
  <c r="D19" i="53"/>
  <c r="D59" i="9"/>
  <c r="M55" i="9" s="1"/>
  <c r="B38" i="72"/>
  <c r="D20" i="53"/>
  <c r="B40" i="72" s="1"/>
  <c r="AD3" i="71"/>
  <c r="E2" i="69"/>
  <c r="M9" i="67"/>
  <c r="E2" i="68"/>
  <c r="B11" i="76"/>
  <c r="F6" i="73"/>
  <c r="M26" i="67"/>
  <c r="AO11" i="1"/>
  <c r="C76" i="67"/>
  <c r="M8" i="15"/>
  <c r="F35" i="67"/>
  <c r="F43" i="15"/>
  <c r="B8" i="76"/>
  <c r="AO10" i="1"/>
  <c r="F7" i="15"/>
  <c r="F4" i="73"/>
  <c r="B9" i="76"/>
  <c r="D2" i="35"/>
  <c r="M23" i="15"/>
  <c r="D2" i="33"/>
  <c r="E9" i="76"/>
  <c r="D2" i="37"/>
  <c r="M22" i="15"/>
  <c r="D35" i="9"/>
  <c r="M27" i="15"/>
  <c r="F20" i="31"/>
  <c r="B7" i="76"/>
  <c r="J15" i="67"/>
  <c r="F7" i="73"/>
  <c r="E7" i="76"/>
  <c r="F6" i="15"/>
  <c r="AO12" i="1"/>
  <c r="B13" i="76"/>
  <c r="D2" i="36"/>
  <c r="J15" i="15"/>
  <c r="M28" i="67"/>
  <c r="M21" i="67"/>
  <c r="M6" i="67"/>
  <c r="E12" i="76"/>
  <c r="AO13" i="1"/>
  <c r="F5" i="73"/>
  <c r="F13" i="15"/>
  <c r="F9" i="67"/>
  <c r="M26" i="15"/>
  <c r="M24" i="67"/>
  <c r="AO9" i="1"/>
  <c r="E8" i="76"/>
  <c r="B12" i="76"/>
  <c r="D34" i="9"/>
  <c r="M29" i="15"/>
  <c r="D2" i="21"/>
  <c r="B10" i="76"/>
  <c r="E11" i="76"/>
  <c r="M8" i="67"/>
  <c r="D2" i="34"/>
  <c r="F16" i="67"/>
  <c r="E10" i="76"/>
  <c r="F38" i="67"/>
  <c r="M23" i="67"/>
  <c r="M9" i="15"/>
  <c r="AO8" i="1"/>
  <c r="F3" i="73"/>
  <c r="F8" i="67"/>
  <c r="F6" i="67"/>
  <c r="L47" i="15"/>
  <c r="E13" i="76"/>
  <c r="AO7" i="1"/>
  <c r="M24" i="15"/>
  <c r="L47" i="67"/>
  <c r="F37" i="15"/>
  <c r="D22" i="15" l="1"/>
  <c r="G26" i="12"/>
  <c r="G22" i="69"/>
  <c r="G25" i="12"/>
  <c r="G41" i="11"/>
  <c r="G27" i="12"/>
  <c r="G41" i="68"/>
  <c r="D22" i="67"/>
  <c r="P61" i="15"/>
  <c r="F30" i="69"/>
  <c r="C48" i="69" s="1"/>
  <c r="D68" i="9"/>
  <c r="C30" i="69"/>
  <c r="M18" i="15"/>
  <c r="F52" i="9"/>
  <c r="F32" i="15"/>
  <c r="F60" i="15" s="1"/>
  <c r="F32" i="67"/>
  <c r="F60" i="67" s="1"/>
  <c r="F28" i="67"/>
  <c r="C28" i="67" s="1"/>
  <c r="C30" i="11"/>
  <c r="F54" i="9"/>
  <c r="F28" i="15"/>
  <c r="C28" i="15" s="1"/>
  <c r="M18" i="67"/>
  <c r="F31" i="12"/>
  <c r="F30" i="68"/>
  <c r="C30" i="68" s="1"/>
  <c r="D93" i="9"/>
  <c r="M20" i="67"/>
  <c r="F34" i="67"/>
  <c r="F62" i="67" s="1"/>
  <c r="F1" i="67"/>
  <c r="D23" i="15"/>
  <c r="D23" i="67"/>
  <c r="BJ5" i="3"/>
  <c r="BF5" i="3"/>
  <c r="BB5" i="3"/>
  <c r="BO5" i="3"/>
  <c r="BS5" i="3"/>
  <c r="BA20" i="3"/>
  <c r="BL20" i="3"/>
  <c r="BA25" i="3"/>
  <c r="BL25" i="3"/>
  <c r="BI5" i="3"/>
  <c r="BE5" i="3"/>
  <c r="BT5" i="3"/>
  <c r="AZ23" i="3"/>
  <c r="BL23" i="3"/>
  <c r="G29" i="6"/>
  <c r="E10" i="6"/>
  <c r="E8" i="6"/>
  <c r="F27" i="6" s="1"/>
  <c r="E12" i="6"/>
  <c r="E57" i="40" s="1"/>
  <c r="E11" i="6"/>
  <c r="E61" i="39" s="1"/>
  <c r="E14" i="6"/>
  <c r="E64" i="39" s="1"/>
  <c r="F29" i="6"/>
  <c r="G28" i="6"/>
  <c r="F28" i="6"/>
  <c r="L27" i="6"/>
  <c r="BL13" i="3"/>
  <c r="BL5" i="3" s="1"/>
  <c r="G27" i="3"/>
  <c r="G26" i="3"/>
  <c r="AZ25" i="3"/>
  <c r="G23" i="3"/>
  <c r="AR8" i="1"/>
  <c r="T8" i="1"/>
  <c r="E59" i="40"/>
  <c r="AZ18" i="3"/>
  <c r="BA5" i="3"/>
  <c r="E27" i="6" s="1"/>
  <c r="E15" i="6"/>
  <c r="E60" i="40" s="1"/>
  <c r="G14" i="3"/>
  <c r="G30" i="6"/>
  <c r="G31" i="6" s="1"/>
  <c r="E28" i="6"/>
  <c r="AQ7" i="1"/>
  <c r="K21" i="6"/>
  <c r="M21" i="6" s="1"/>
  <c r="I21" i="6" s="1"/>
  <c r="S21" i="6" s="1"/>
  <c r="G5" i="3"/>
  <c r="B3" i="3" s="1"/>
  <c r="E13" i="3" s="1"/>
  <c r="AR12" i="1"/>
  <c r="T12" i="1"/>
  <c r="AQ12" i="1"/>
  <c r="E2" i="70"/>
  <c r="E56" i="39"/>
  <c r="E5" i="6"/>
  <c r="E13" i="6"/>
  <c r="E56" i="40"/>
  <c r="Q16" i="1"/>
  <c r="F27" i="68" s="1"/>
  <c r="AQ9" i="1"/>
  <c r="T7" i="1"/>
  <c r="H16" i="1"/>
  <c r="K26" i="6"/>
  <c r="M26" i="6" s="1"/>
  <c r="I26" i="6" s="1"/>
  <c r="S26" i="6" s="1"/>
  <c r="T9" i="1"/>
  <c r="C36" i="69"/>
  <c r="O10" i="1"/>
  <c r="P10" i="1" s="1"/>
  <c r="P7" i="1"/>
  <c r="AQ11" i="1"/>
  <c r="T11" i="1"/>
  <c r="AR11" i="1"/>
  <c r="AR13" i="1"/>
  <c r="T13" i="1"/>
  <c r="AQ10" i="1"/>
  <c r="T10" i="1"/>
  <c r="E51" i="40"/>
  <c r="E62" i="39"/>
  <c r="AC11" i="39"/>
  <c r="S9" i="39"/>
  <c r="F22" i="43"/>
  <c r="F101" i="43"/>
  <c r="E22" i="43"/>
  <c r="H22" i="43"/>
  <c r="D101" i="43"/>
  <c r="I101" i="43"/>
  <c r="G22" i="43"/>
  <c r="AH11" i="43"/>
  <c r="AD11" i="43"/>
  <c r="Z11" i="43"/>
  <c r="AG11" i="43"/>
  <c r="AA11" i="43"/>
  <c r="AA13" i="43" s="1"/>
  <c r="Y11" i="43"/>
  <c r="Y13" i="43" s="1"/>
  <c r="J22" i="43"/>
  <c r="B113" i="43"/>
  <c r="K101" i="43"/>
  <c r="N101" i="43"/>
  <c r="G101" i="43"/>
  <c r="C101" i="43"/>
  <c r="J101" i="43"/>
  <c r="N104" i="46"/>
  <c r="L101" i="43"/>
  <c r="H101" i="43"/>
  <c r="M101" i="43"/>
  <c r="E101" i="43"/>
  <c r="AJ11" i="43"/>
  <c r="AJ13" i="43" s="1"/>
  <c r="AF11" i="43"/>
  <c r="AB11" i="43"/>
  <c r="AB13" i="43" s="1"/>
  <c r="Z7" i="43"/>
  <c r="AI11" i="43"/>
  <c r="AI13" i="43" s="1"/>
  <c r="AE11" i="43"/>
  <c r="AE13" i="43" s="1"/>
  <c r="AC11" i="43"/>
  <c r="A118" i="9"/>
  <c r="J50" i="40"/>
  <c r="G12" i="1"/>
  <c r="G10" i="1"/>
  <c r="G8" i="1"/>
  <c r="G13" i="1"/>
  <c r="G16" i="1"/>
  <c r="F10" i="40" s="1"/>
  <c r="A2" i="9"/>
  <c r="A4" i="52"/>
  <c r="B41" i="72" s="1"/>
  <c r="C65" i="40"/>
  <c r="D63" i="40"/>
  <c r="C13" i="12"/>
  <c r="C24" i="12"/>
  <c r="C48" i="68"/>
  <c r="J1" i="73"/>
  <c r="I59" i="34"/>
  <c r="J59" i="34" s="1"/>
  <c r="K59" i="34" s="1"/>
  <c r="L59" i="34" s="1"/>
  <c r="M59" i="34" s="1"/>
  <c r="N59" i="34" s="1"/>
  <c r="O59" i="34" s="1"/>
  <c r="F7" i="34"/>
  <c r="H48" i="35"/>
  <c r="I48" i="35" s="1"/>
  <c r="J48" i="35" s="1"/>
  <c r="K48" i="35" s="1"/>
  <c r="L48" i="35" s="1"/>
  <c r="M48" i="35" s="1"/>
  <c r="N48" i="35" s="1"/>
  <c r="O48" i="35" s="1"/>
  <c r="F7" i="35"/>
  <c r="K52" i="37"/>
  <c r="L52" i="37" s="1"/>
  <c r="M52" i="37" s="1"/>
  <c r="N52" i="37" s="1"/>
  <c r="O52" i="37" s="1"/>
  <c r="J7" i="37"/>
  <c r="P6" i="1"/>
  <c r="D58" i="21"/>
  <c r="D124" i="9"/>
  <c r="AA23" i="33"/>
  <c r="I14" i="74"/>
  <c r="B8" i="74" s="1"/>
  <c r="D127" i="9"/>
  <c r="D13" i="52" s="1"/>
  <c r="D12" i="52"/>
  <c r="D16" i="53"/>
  <c r="H110" i="9"/>
  <c r="D18" i="53" s="1"/>
  <c r="B35" i="72" s="1"/>
  <c r="H7" i="36"/>
  <c r="H7" i="35"/>
  <c r="U17" i="33"/>
  <c r="F10" i="39"/>
  <c r="O11" i="1"/>
  <c r="P11" i="1" s="1"/>
  <c r="J7" i="35"/>
  <c r="D58" i="33"/>
  <c r="E58" i="33" s="1"/>
  <c r="F58" i="33" s="1"/>
  <c r="G58" i="33" s="1"/>
  <c r="H58" i="33" s="1"/>
  <c r="I58" i="33" s="1"/>
  <c r="J58" i="33" s="1"/>
  <c r="K58" i="33" s="1"/>
  <c r="L58" i="33" s="1"/>
  <c r="M58" i="33" s="1"/>
  <c r="N58" i="33" s="1"/>
  <c r="O58" i="33" s="1"/>
  <c r="C70" i="39"/>
  <c r="D68" i="39"/>
  <c r="O12" i="1"/>
  <c r="P12" i="1" s="1"/>
  <c r="F30" i="6"/>
  <c r="F31" i="6" s="1"/>
  <c r="E29" i="6"/>
  <c r="AZ557" i="3"/>
  <c r="S12" i="21"/>
  <c r="AA12" i="21"/>
  <c r="B4" i="62"/>
  <c r="B71" i="72" s="1"/>
  <c r="H7" i="34"/>
  <c r="J7" i="34"/>
  <c r="J7" i="36"/>
  <c r="F7" i="37"/>
  <c r="H7" i="37"/>
  <c r="F7" i="36"/>
  <c r="U33" i="21"/>
  <c r="W17" i="21"/>
  <c r="J9" i="34"/>
  <c r="H9" i="34"/>
  <c r="J34" i="35"/>
  <c r="H34" i="35"/>
  <c r="F34" i="35"/>
  <c r="AZ398" i="3"/>
  <c r="AZ405" i="3"/>
  <c r="AZ407" i="3"/>
  <c r="AZ410" i="3"/>
  <c r="AZ415" i="3"/>
  <c r="AZ420" i="3"/>
  <c r="AZ426" i="3"/>
  <c r="AZ431" i="3"/>
  <c r="AZ448" i="3"/>
  <c r="AZ452" i="3"/>
  <c r="AZ461" i="3"/>
  <c r="AZ463" i="3"/>
  <c r="AZ468" i="3"/>
  <c r="AZ479" i="3"/>
  <c r="AZ485" i="3"/>
  <c r="U12" i="39"/>
  <c r="AA14" i="33"/>
  <c r="AA44" i="33"/>
  <c r="F9" i="34"/>
  <c r="H36" i="35"/>
  <c r="J36" i="35"/>
  <c r="AZ429" i="3"/>
  <c r="AZ439" i="3"/>
  <c r="AZ472" i="3"/>
  <c r="AZ475" i="3"/>
  <c r="AC31" i="35"/>
  <c r="AZ385" i="3"/>
  <c r="AZ210" i="3"/>
  <c r="AZ225" i="3"/>
  <c r="AZ239" i="3"/>
  <c r="AZ255" i="3"/>
  <c r="AZ270" i="3"/>
  <c r="AZ274" i="3"/>
  <c r="AZ277" i="3"/>
  <c r="C20" i="43"/>
  <c r="AZ134" i="3"/>
  <c r="AZ137" i="3"/>
  <c r="AZ145" i="3"/>
  <c r="AZ161" i="3"/>
  <c r="AZ177" i="3"/>
  <c r="AZ193" i="3"/>
  <c r="AZ34" i="3"/>
  <c r="AZ38" i="3"/>
  <c r="AZ44" i="3"/>
  <c r="AZ48" i="3"/>
  <c r="AZ60" i="3"/>
  <c r="AZ64" i="3"/>
  <c r="AZ78" i="3"/>
  <c r="AZ91" i="3"/>
  <c r="AZ98" i="3"/>
  <c r="AZ104" i="3"/>
  <c r="AZ284" i="3"/>
  <c r="AZ289" i="3"/>
  <c r="AZ292" i="3"/>
  <c r="AZ118" i="3"/>
  <c r="AZ121" i="3"/>
  <c r="AZ108" i="3"/>
  <c r="F3" i="35"/>
  <c r="T17" i="71"/>
  <c r="D17" i="71"/>
  <c r="T21" i="71"/>
  <c r="D21" i="71"/>
  <c r="D40" i="71"/>
  <c r="C41" i="71"/>
  <c r="C49" i="71"/>
  <c r="D48" i="71"/>
  <c r="C40" i="68"/>
  <c r="C40" i="69"/>
  <c r="S18" i="36"/>
  <c r="AA12" i="71"/>
  <c r="AB12" i="71"/>
  <c r="X20" i="71"/>
  <c r="AB14" i="71"/>
  <c r="Y16" i="71"/>
  <c r="Z16" i="71" s="1"/>
  <c r="AB16" i="71"/>
  <c r="X16" i="71"/>
  <c r="X17" i="71"/>
  <c r="AB17" i="71"/>
  <c r="AB19" i="71"/>
  <c r="AB18" i="71"/>
  <c r="AA20" i="71"/>
  <c r="AA21" i="71"/>
  <c r="B44" i="71"/>
  <c r="B45" i="71" s="1"/>
  <c r="S45" i="71" s="1"/>
  <c r="V53" i="71"/>
  <c r="F52" i="71"/>
  <c r="AJ10" i="43"/>
  <c r="C13" i="71"/>
  <c r="Y13" i="71"/>
  <c r="Z13" i="71" s="1"/>
  <c r="X11" i="71"/>
  <c r="X13" i="71"/>
  <c r="E15" i="71"/>
  <c r="E16" i="71" s="1"/>
  <c r="E17" i="71" s="1"/>
  <c r="U17" i="71" s="1"/>
  <c r="AA14" i="71"/>
  <c r="Y20" i="71"/>
  <c r="Z20" i="71" s="1"/>
  <c r="Y18" i="71"/>
  <c r="Z18" i="71" s="1"/>
  <c r="B23" i="71"/>
  <c r="B24" i="71" s="1"/>
  <c r="B25" i="71" s="1"/>
  <c r="S25" i="71" s="1"/>
  <c r="X22" i="71"/>
  <c r="AB23" i="71"/>
  <c r="AB22" i="71"/>
  <c r="Z12" i="43"/>
  <c r="Z10" i="43"/>
  <c r="AD12" i="43"/>
  <c r="AD10" i="43"/>
  <c r="AF12" i="43"/>
  <c r="AF10" i="43"/>
  <c r="AH12" i="43"/>
  <c r="AH10" i="43"/>
  <c r="Y10" i="71"/>
  <c r="Z10" i="71" s="1"/>
  <c r="Y11" i="71"/>
  <c r="Z11" i="71" s="1"/>
  <c r="Y12" i="71"/>
  <c r="Z12" i="71" s="1"/>
  <c r="Y9" i="71"/>
  <c r="Z9" i="71" s="1"/>
  <c r="Y8" i="71"/>
  <c r="Z8" i="71" s="1"/>
  <c r="AA8" i="71"/>
  <c r="AB8" i="71"/>
  <c r="Y7" i="71"/>
  <c r="Z7" i="71" s="1"/>
  <c r="AB7" i="71"/>
  <c r="Y6" i="71"/>
  <c r="Z6" i="71" s="1"/>
  <c r="AB6" i="71"/>
  <c r="AA6" i="71"/>
  <c r="AC12" i="43"/>
  <c r="AC10" i="43"/>
  <c r="AG12" i="43"/>
  <c r="AG10" i="43"/>
  <c r="X8" i="71"/>
  <c r="C7" i="71"/>
  <c r="D7" i="71" s="1"/>
  <c r="D8" i="71"/>
  <c r="AA7" i="71"/>
  <c r="X6" i="71"/>
  <c r="AA9" i="71"/>
  <c r="AB9" i="71"/>
  <c r="D9" i="71"/>
  <c r="U9" i="71" s="1"/>
  <c r="S9" i="71"/>
  <c r="T9" i="71"/>
  <c r="X7" i="71"/>
  <c r="AB5" i="71"/>
  <c r="X9" i="71"/>
  <c r="X5" i="71"/>
  <c r="AA5" i="71"/>
  <c r="F6" i="71"/>
  <c r="F5" i="71" s="1"/>
  <c r="Y5" i="71"/>
  <c r="Z5" i="71" s="1"/>
  <c r="B7" i="49"/>
  <c r="E7" i="49"/>
  <c r="B15" i="49"/>
  <c r="AB3" i="71"/>
  <c r="X3" i="71"/>
  <c r="E6" i="7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50" i="15"/>
  <c r="M7" i="15"/>
  <c r="B10" i="70"/>
  <c r="F66" i="67"/>
  <c r="L59" i="67"/>
  <c r="N59" i="67"/>
  <c r="N59" i="15"/>
  <c r="F65" i="15"/>
  <c r="Q71" i="67"/>
  <c r="B13" i="70"/>
  <c r="B8" i="70"/>
  <c r="C34" i="67"/>
  <c r="F63" i="67"/>
  <c r="C62" i="67" s="1"/>
  <c r="B20" i="31"/>
  <c r="B7" i="70"/>
  <c r="J20" i="67"/>
  <c r="F71" i="15"/>
  <c r="F51" i="67"/>
  <c r="B11" i="70"/>
  <c r="I1" i="73"/>
  <c r="B39" i="1" s="1"/>
  <c r="B12" i="70"/>
  <c r="B9" i="70"/>
  <c r="F31" i="67"/>
  <c r="M17" i="15"/>
  <c r="F31" i="15"/>
  <c r="F36" i="15"/>
  <c r="F26" i="67"/>
  <c r="F13" i="67"/>
  <c r="F38" i="15"/>
  <c r="M6" i="15"/>
  <c r="M27" i="67"/>
  <c r="D4" i="73"/>
  <c r="F8" i="15"/>
  <c r="F41" i="67"/>
  <c r="F37" i="67"/>
  <c r="L48" i="67"/>
  <c r="F42" i="67"/>
  <c r="F40" i="15"/>
  <c r="M22" i="67"/>
  <c r="F36" i="67"/>
  <c r="F26" i="15"/>
  <c r="D7" i="73"/>
  <c r="D5" i="73"/>
  <c r="D6" i="73"/>
  <c r="L48" i="15"/>
  <c r="F40" i="67"/>
  <c r="C76" i="15"/>
  <c r="F9" i="15"/>
  <c r="C17" i="15"/>
  <c r="M29" i="67"/>
  <c r="M28" i="15"/>
  <c r="F7" i="67"/>
  <c r="F16" i="15"/>
  <c r="F42" i="15"/>
  <c r="F43" i="67"/>
  <c r="D3" i="73"/>
  <c r="F28" i="12" l="1"/>
  <c r="AZ20" i="3"/>
  <c r="AZ13" i="3"/>
  <c r="E567" i="3"/>
  <c r="E353" i="3"/>
  <c r="E172" i="3"/>
  <c r="K19" i="6"/>
  <c r="S6" i="1" s="1"/>
  <c r="AN6" i="3"/>
  <c r="E227" i="3"/>
  <c r="E535" i="3"/>
  <c r="E278" i="3"/>
  <c r="E586" i="3"/>
  <c r="E495" i="3"/>
  <c r="E165" i="3"/>
  <c r="E461" i="3"/>
  <c r="E539" i="3"/>
  <c r="E445" i="3"/>
  <c r="E563" i="3"/>
  <c r="E69" i="3"/>
  <c r="K25" i="6"/>
  <c r="M25" i="6" s="1"/>
  <c r="I25" i="6" s="1"/>
  <c r="S25" i="6" s="1"/>
  <c r="K24" i="6"/>
  <c r="M24" i="6" s="1"/>
  <c r="I24" i="6" s="1"/>
  <c r="S24" i="6" s="1"/>
  <c r="E65" i="39"/>
  <c r="E578" i="3"/>
  <c r="AI6" i="3"/>
  <c r="E518" i="3"/>
  <c r="E385" i="3"/>
  <c r="E128" i="3"/>
  <c r="E205" i="3"/>
  <c r="E352" i="3"/>
  <c r="E510" i="3"/>
  <c r="E545" i="3"/>
  <c r="E329" i="3"/>
  <c r="E550" i="3"/>
  <c r="E260" i="3"/>
  <c r="E395" i="3"/>
  <c r="E415" i="3"/>
  <c r="E114" i="3"/>
  <c r="AC13" i="43"/>
  <c r="AH13" i="43"/>
  <c r="Z13" i="43"/>
  <c r="E549" i="3"/>
  <c r="AK6" i="3"/>
  <c r="E536" i="3"/>
  <c r="E16" i="3"/>
  <c r="I6" i="3"/>
  <c r="E511" i="3"/>
  <c r="E568" i="3"/>
  <c r="E314" i="3"/>
  <c r="E397" i="3"/>
  <c r="E293" i="3"/>
  <c r="E124" i="3"/>
  <c r="E246" i="3"/>
  <c r="E280" i="3"/>
  <c r="E336" i="3"/>
  <c r="E399" i="3"/>
  <c r="X6" i="3"/>
  <c r="AA6" i="3"/>
  <c r="E583" i="3"/>
  <c r="E347" i="3"/>
  <c r="E302" i="3"/>
  <c r="E503" i="3"/>
  <c r="E17" i="3"/>
  <c r="E361" i="3"/>
  <c r="E213" i="3"/>
  <c r="E183" i="3"/>
  <c r="E565" i="3"/>
  <c r="E528" i="3"/>
  <c r="E304" i="3"/>
  <c r="E261" i="3"/>
  <c r="E237" i="3"/>
  <c r="K20" i="6"/>
  <c r="M20" i="6" s="1"/>
  <c r="I20" i="6" s="1"/>
  <c r="S20" i="6" s="1"/>
  <c r="K14" i="1"/>
  <c r="K22" i="6"/>
  <c r="M22" i="6" s="1"/>
  <c r="I22" i="6" s="1"/>
  <c r="S22" i="6" s="1"/>
  <c r="K23" i="6"/>
  <c r="M23" i="6" s="1"/>
  <c r="I23" i="6" s="1"/>
  <c r="S23" i="6" s="1"/>
  <c r="AG13" i="43"/>
  <c r="F27" i="11"/>
  <c r="F27" i="69"/>
  <c r="C29" i="69" s="1"/>
  <c r="D27" i="69" s="1"/>
  <c r="E125" i="3"/>
  <c r="E217" i="3"/>
  <c r="E366" i="3"/>
  <c r="E526" i="3"/>
  <c r="E553" i="3"/>
  <c r="E268" i="3"/>
  <c r="E282" i="3"/>
  <c r="E322" i="3"/>
  <c r="N6" i="3"/>
  <c r="AJ6" i="3"/>
  <c r="E388" i="3"/>
  <c r="O6" i="3"/>
  <c r="E555" i="3"/>
  <c r="E574" i="3"/>
  <c r="E410" i="3"/>
  <c r="E359" i="3"/>
  <c r="E337" i="3"/>
  <c r="E285" i="3"/>
  <c r="E143" i="3"/>
  <c r="E97" i="3"/>
  <c r="E311" i="3"/>
  <c r="E358" i="3"/>
  <c r="E514" i="3"/>
  <c r="E559" i="3"/>
  <c r="E570" i="3"/>
  <c r="E551" i="3"/>
  <c r="M6" i="3"/>
  <c r="V6"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E175" i="3"/>
  <c r="E530" i="3"/>
  <c r="E343" i="3"/>
  <c r="E305" i="3"/>
  <c r="E508" i="3"/>
  <c r="E509" i="3"/>
  <c r="E579" i="3"/>
  <c r="E431" i="3"/>
  <c r="E247" i="3"/>
  <c r="E201" i="3"/>
  <c r="E390" i="3"/>
  <c r="S6" i="3"/>
  <c r="E523" i="3"/>
  <c r="E506"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53" i="3"/>
  <c r="E501" i="3"/>
  <c r="E426" i="3"/>
  <c r="E516" i="3"/>
  <c r="E396" i="3"/>
  <c r="E151" i="3"/>
  <c r="E270" i="3"/>
  <c r="AR6" i="3"/>
  <c r="E538" i="3"/>
  <c r="E453" i="3"/>
  <c r="E368" i="3"/>
  <c r="E244" i="3"/>
  <c r="E196" i="3"/>
  <c r="E156" i="3"/>
  <c r="E148" i="3"/>
  <c r="E122" i="3"/>
  <c r="E85" i="3"/>
  <c r="E238" i="3"/>
  <c r="E116" i="3"/>
  <c r="E105"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9" i="3"/>
  <c r="E153" i="3"/>
  <c r="E328" i="3"/>
  <c r="E239" i="3"/>
  <c r="E569" i="3"/>
  <c r="E229" i="3"/>
  <c r="E533" i="3"/>
  <c r="E561" i="3"/>
  <c r="E434" i="3"/>
  <c r="E306" i="3"/>
  <c r="E296" i="3"/>
  <c r="E262" i="3"/>
  <c r="E136" i="3"/>
  <c r="E236" i="3"/>
  <c r="E269" i="3"/>
  <c r="E89" i="3"/>
  <c r="E140" i="3"/>
  <c r="E223" i="3"/>
  <c r="E197" i="3"/>
  <c r="E173" i="3"/>
  <c r="E369" i="3"/>
  <c r="E525" i="3"/>
  <c r="E534"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7" i="68"/>
  <c r="D45" i="68" s="1"/>
  <c r="E58" i="40"/>
  <c r="E63" i="39"/>
  <c r="E16" i="6"/>
  <c r="D19" i="12"/>
  <c r="C19" i="12" s="1"/>
  <c r="D9" i="11"/>
  <c r="C9" i="11" s="1"/>
  <c r="D9" i="69"/>
  <c r="C9" i="69" s="1"/>
  <c r="D9" i="68"/>
  <c r="C9" i="68" s="1"/>
  <c r="H10" i="39"/>
  <c r="U10" i="39" s="1"/>
  <c r="K27" i="6"/>
  <c r="M19" i="6"/>
  <c r="E102" i="43"/>
  <c r="E106" i="43"/>
  <c r="E103" i="43"/>
  <c r="E109" i="43"/>
  <c r="E104" i="43"/>
  <c r="E107" i="43"/>
  <c r="E105" i="43"/>
  <c r="H102" i="43"/>
  <c r="H103" i="43"/>
  <c r="H104" i="43"/>
  <c r="H107" i="43"/>
  <c r="H106" i="43"/>
  <c r="H105" i="43"/>
  <c r="H109" i="43"/>
  <c r="F104" i="43"/>
  <c r="F102" i="43"/>
  <c r="F105" i="43"/>
  <c r="F109" i="43"/>
  <c r="F107" i="43"/>
  <c r="F106" i="43"/>
  <c r="F103" i="43"/>
  <c r="C104" i="43"/>
  <c r="C107" i="43"/>
  <c r="C103" i="43"/>
  <c r="C106" i="43"/>
  <c r="C105" i="43"/>
  <c r="C102" i="43"/>
  <c r="C109" i="43"/>
  <c r="N102" i="43"/>
  <c r="N105" i="43"/>
  <c r="N104" i="43"/>
  <c r="N103" i="43"/>
  <c r="N106" i="43"/>
  <c r="N107" i="43"/>
  <c r="N109" i="43"/>
  <c r="B115" i="43"/>
  <c r="D118" i="43"/>
  <c r="E118" i="43" s="1"/>
  <c r="F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I109" i="43"/>
  <c r="I102" i="43"/>
  <c r="I106" i="43"/>
  <c r="I103" i="43"/>
  <c r="I104" i="43"/>
  <c r="I107" i="43"/>
  <c r="I105" i="43"/>
  <c r="AF13" i="43"/>
  <c r="AD13" i="43"/>
  <c r="M109" i="43"/>
  <c r="M102" i="43"/>
  <c r="M106" i="43"/>
  <c r="M103" i="43"/>
  <c r="M104" i="43"/>
  <c r="M107" i="43"/>
  <c r="M105" i="43"/>
  <c r="L109" i="43"/>
  <c r="L102" i="43"/>
  <c r="L105" i="43"/>
  <c r="L104" i="43"/>
  <c r="L106" i="43"/>
  <c r="L107" i="43"/>
  <c r="L103" i="43"/>
  <c r="J104" i="43"/>
  <c r="J105" i="43"/>
  <c r="J107" i="43"/>
  <c r="J102" i="43"/>
  <c r="J109" i="43"/>
  <c r="J103" i="43"/>
  <c r="J106" i="43"/>
  <c r="G105" i="43"/>
  <c r="G102" i="43"/>
  <c r="G107" i="43"/>
  <c r="G104" i="43"/>
  <c r="G106" i="43"/>
  <c r="G109" i="43"/>
  <c r="G103" i="43"/>
  <c r="K103" i="43"/>
  <c r="K102" i="43"/>
  <c r="K105" i="43"/>
  <c r="K109" i="43"/>
  <c r="K107" i="43"/>
  <c r="K104" i="43"/>
  <c r="K106" i="43"/>
  <c r="D109" i="43"/>
  <c r="D103" i="43"/>
  <c r="D104" i="43"/>
  <c r="D107" i="43"/>
  <c r="D105" i="43"/>
  <c r="D106" i="43"/>
  <c r="D102" i="43"/>
  <c r="D22" i="43"/>
  <c r="J10" i="39"/>
  <c r="W10" i="39" s="1"/>
  <c r="AA10" i="40"/>
  <c r="S10" i="40"/>
  <c r="J10" i="40"/>
  <c r="W10" i="40" s="1"/>
  <c r="H10" i="40"/>
  <c r="AB10" i="40" s="1"/>
  <c r="E20" i="43"/>
  <c r="P17" i="43" s="1"/>
  <c r="K1" i="73"/>
  <c r="E63" i="40"/>
  <c r="D65" i="40"/>
  <c r="F64" i="67"/>
  <c r="C6" i="15"/>
  <c r="F51" i="15"/>
  <c r="C49" i="15" s="1"/>
  <c r="L56" i="67"/>
  <c r="L58" i="67"/>
  <c r="Q60" i="67" s="1"/>
  <c r="J57" i="67"/>
  <c r="J55" i="67" s="1"/>
  <c r="J58" i="67" s="1"/>
  <c r="Q50" i="67" s="1"/>
  <c r="I54" i="67"/>
  <c r="F68" i="15"/>
  <c r="F66" i="15"/>
  <c r="F68" i="67"/>
  <c r="C27" i="15"/>
  <c r="C27" i="67"/>
  <c r="J57" i="15"/>
  <c r="J55" i="15" s="1"/>
  <c r="J58" i="15" s="1"/>
  <c r="Q50" i="15" s="1"/>
  <c r="L56" i="15"/>
  <c r="L58" i="15"/>
  <c r="Q60" i="15" s="1"/>
  <c r="I54" i="15"/>
  <c r="F70" i="67"/>
  <c r="C6" i="67"/>
  <c r="M7" i="67"/>
  <c r="F50" i="67"/>
  <c r="C49" i="67" s="1"/>
  <c r="F64" i="15"/>
  <c r="F65" i="67"/>
  <c r="F71" i="67"/>
  <c r="F69" i="67"/>
  <c r="Q71" i="15"/>
  <c r="P23" i="43"/>
  <c r="B71" i="39" s="1"/>
  <c r="C6" i="71"/>
  <c r="C12" i="71"/>
  <c r="T13" i="71"/>
  <c r="D13" i="71"/>
  <c r="U13" i="71" s="1"/>
  <c r="F51" i="71"/>
  <c r="Q52" i="71"/>
  <c r="T49" i="71"/>
  <c r="D49" i="71"/>
  <c r="AC36" i="35"/>
  <c r="W36" i="35"/>
  <c r="AA9" i="34"/>
  <c r="S9" i="34"/>
  <c r="AB34" i="35"/>
  <c r="U34" i="35"/>
  <c r="AB9" i="34"/>
  <c r="U9" i="34"/>
  <c r="AB7" i="37"/>
  <c r="T42" i="37" s="1"/>
  <c r="G42" i="37" s="1"/>
  <c r="U7" i="37"/>
  <c r="AC7" i="36"/>
  <c r="V36" i="36" s="1"/>
  <c r="I36" i="36" s="1"/>
  <c r="W7" i="36"/>
  <c r="H7" i="33"/>
  <c r="J7" i="33"/>
  <c r="U7" i="36"/>
  <c r="AB7" i="36"/>
  <c r="T36" i="36" s="1"/>
  <c r="G36" i="36" s="1"/>
  <c r="B34" i="72"/>
  <c r="D17" i="53"/>
  <c r="B36" i="72" s="1"/>
  <c r="J6" i="15"/>
  <c r="T41" i="71"/>
  <c r="D41" i="71"/>
  <c r="AZ5" i="3"/>
  <c r="AB36" i="35"/>
  <c r="U36" i="35"/>
  <c r="S34" i="35"/>
  <c r="AA34" i="35"/>
  <c r="AC34" i="35"/>
  <c r="W34" i="35"/>
  <c r="W9" i="34"/>
  <c r="AC9" i="34"/>
  <c r="AA7" i="36"/>
  <c r="R36" i="36" s="1"/>
  <c r="S7" i="36"/>
  <c r="AA7" i="37"/>
  <c r="R42" i="37" s="1"/>
  <c r="S7" i="37"/>
  <c r="W7" i="34"/>
  <c r="AC7" i="34"/>
  <c r="V49" i="34" s="1"/>
  <c r="I49" i="34" s="1"/>
  <c r="U7" i="34"/>
  <c r="AB7" i="34"/>
  <c r="T49" i="34" s="1"/>
  <c r="G49" i="34" s="1"/>
  <c r="E30" i="6"/>
  <c r="E31" i="6" s="1"/>
  <c r="K15" i="1"/>
  <c r="D70" i="39"/>
  <c r="E68" i="39"/>
  <c r="F7" i="33"/>
  <c r="W7" i="35"/>
  <c r="AC7" i="35"/>
  <c r="V38" i="35" s="1"/>
  <c r="I38" i="35" s="1"/>
  <c r="AA10" i="39"/>
  <c r="S10" i="39"/>
  <c r="U7" i="35"/>
  <c r="AB7" i="35"/>
  <c r="T38" i="35" s="1"/>
  <c r="G38" i="35" s="1"/>
  <c r="D10" i="52"/>
  <c r="D125" i="9"/>
  <c r="D11" i="52" s="1"/>
  <c r="H14" i="74"/>
  <c r="B7" i="74" s="1"/>
  <c r="E58" i="21"/>
  <c r="F58" i="21" s="1"/>
  <c r="G58" i="21" s="1"/>
  <c r="H58" i="21" s="1"/>
  <c r="I58" i="21" s="1"/>
  <c r="J58" i="21" s="1"/>
  <c r="K58" i="21" s="1"/>
  <c r="L58" i="21" s="1"/>
  <c r="M58" i="21" s="1"/>
  <c r="N58" i="21" s="1"/>
  <c r="O58" i="21" s="1"/>
  <c r="H7" i="21"/>
  <c r="J7" i="21"/>
  <c r="W7" i="37"/>
  <c r="AC7" i="37"/>
  <c r="V42" i="37" s="1"/>
  <c r="I42" i="37" s="1"/>
  <c r="AA7" i="35"/>
  <c r="R38" i="35" s="1"/>
  <c r="S7" i="35"/>
  <c r="S7" i="34"/>
  <c r="AA7" i="34"/>
  <c r="R49" i="34" s="1"/>
  <c r="C5" i="71"/>
  <c r="D6" i="71"/>
  <c r="P25" i="43"/>
  <c r="M11" i="15"/>
  <c r="F11" i="67"/>
  <c r="F11" i="15"/>
  <c r="M11" i="67"/>
  <c r="J10" i="67" s="1"/>
  <c r="Q61" i="67"/>
  <c r="Q74" i="67"/>
  <c r="F59" i="15"/>
  <c r="M17" i="67"/>
  <c r="F59" i="67"/>
  <c r="C16" i="15"/>
  <c r="C17" i="67"/>
  <c r="C16" i="67"/>
  <c r="G1" i="73"/>
  <c r="C14" i="67"/>
  <c r="AQ6" i="1" l="1"/>
  <c r="AR6" i="1"/>
  <c r="S16" i="1"/>
  <c r="T6" i="1"/>
  <c r="C47" i="11"/>
  <c r="D45" i="11" s="1"/>
  <c r="K16" i="1"/>
  <c r="U10" i="40"/>
  <c r="E66" i="39"/>
  <c r="Q73" i="67"/>
  <c r="AC10" i="39"/>
  <c r="M17" i="43"/>
  <c r="C47" i="69"/>
  <c r="D45" i="69" s="1"/>
  <c r="AB10" i="39"/>
  <c r="AC10" i="40"/>
  <c r="H6" i="3"/>
  <c r="AC6" i="3"/>
  <c r="M14" i="1"/>
  <c r="C34" i="69"/>
  <c r="I19" i="6"/>
  <c r="M27" i="6"/>
  <c r="J10" i="15"/>
  <c r="J5" i="15" s="1"/>
  <c r="J24" i="15" s="1"/>
  <c r="C115" i="43"/>
  <c r="D113" i="43" s="1"/>
  <c r="S4" i="43"/>
  <c r="S3" i="43"/>
  <c r="S2" i="43"/>
  <c r="S5" i="43"/>
  <c r="C23" i="43"/>
  <c r="C21" i="43" s="1"/>
  <c r="S7" i="43"/>
  <c r="S6" i="43"/>
  <c r="Q73" i="15"/>
  <c r="O17" i="43"/>
  <c r="N17" i="43"/>
  <c r="B40" i="1"/>
  <c r="F24" i="67" s="1"/>
  <c r="C24" i="67" s="1"/>
  <c r="F63" i="40"/>
  <c r="E65" i="40"/>
  <c r="C15" i="67"/>
  <c r="C18" i="67"/>
  <c r="E49" i="34"/>
  <c r="R50" i="34"/>
  <c r="I46" i="37"/>
  <c r="J46" i="37" s="1"/>
  <c r="AB7" i="21"/>
  <c r="T48" i="21" s="1"/>
  <c r="G48" i="21" s="1"/>
  <c r="U7" i="21"/>
  <c r="I42" i="35"/>
  <c r="J42" i="35" s="1"/>
  <c r="AA7" i="33"/>
  <c r="R48" i="33" s="1"/>
  <c r="S7" i="33"/>
  <c r="R43" i="37"/>
  <c r="E42" i="37"/>
  <c r="I47" i="37" s="1"/>
  <c r="J47" i="37" s="1"/>
  <c r="R37" i="36"/>
  <c r="E36" i="36"/>
  <c r="U7" i="33"/>
  <c r="AB7" i="33"/>
  <c r="T48" i="33" s="1"/>
  <c r="G48" i="33" s="1"/>
  <c r="C11" i="71"/>
  <c r="D11" i="71" s="1"/>
  <c r="D12" i="71"/>
  <c r="F7" i="21"/>
  <c r="R39" i="35"/>
  <c r="E38" i="35"/>
  <c r="I43" i="35" s="1"/>
  <c r="J43" i="35" s="1"/>
  <c r="AC7" i="21"/>
  <c r="V48" i="21" s="1"/>
  <c r="I48" i="21" s="1"/>
  <c r="W7" i="21"/>
  <c r="G42" i="35"/>
  <c r="H42" i="35" s="1"/>
  <c r="G43" i="35"/>
  <c r="H43" i="35" s="1"/>
  <c r="F68" i="39"/>
  <c r="E70" i="39"/>
  <c r="G53" i="34"/>
  <c r="H53" i="34" s="1"/>
  <c r="G54" i="34"/>
  <c r="H54" i="34" s="1"/>
  <c r="I53" i="34"/>
  <c r="J53" i="34" s="1"/>
  <c r="I54" i="34"/>
  <c r="J54" i="34" s="1"/>
  <c r="AY6" i="3"/>
  <c r="E3" i="6"/>
  <c r="G40" i="36"/>
  <c r="H40" i="36" s="1"/>
  <c r="G41" i="36"/>
  <c r="H41" i="36" s="1"/>
  <c r="W7" i="33"/>
  <c r="AC7" i="33"/>
  <c r="V48" i="33" s="1"/>
  <c r="I48" i="33" s="1"/>
  <c r="I40" i="36"/>
  <c r="J40" i="36" s="1"/>
  <c r="I41" i="36"/>
  <c r="J41" i="36" s="1"/>
  <c r="G47" i="37"/>
  <c r="H47" i="37" s="1"/>
  <c r="G46" i="37"/>
  <c r="H46" i="37" s="1"/>
  <c r="Q51" i="71"/>
  <c r="Q50" i="71"/>
  <c r="J6" i="67"/>
  <c r="J5" i="67" s="1"/>
  <c r="D5" i="71"/>
  <c r="M20" i="43" s="1"/>
  <c r="C19" i="43" s="1"/>
  <c r="C53" i="67"/>
  <c r="C48" i="67" s="1"/>
  <c r="C10" i="67"/>
  <c r="C5" i="67" s="1"/>
  <c r="C53" i="15"/>
  <c r="C48" i="15" s="1"/>
  <c r="C10" i="15"/>
  <c r="C5" i="15" s="1"/>
  <c r="C14" i="15"/>
  <c r="C18" i="15" l="1"/>
  <c r="C15" i="15"/>
  <c r="E6" i="3"/>
  <c r="C38" i="69"/>
  <c r="C35" i="69"/>
  <c r="O14" i="1"/>
  <c r="O16" i="1" s="1"/>
  <c r="M16" i="1"/>
  <c r="N16" i="1" s="1"/>
  <c r="P14" i="1"/>
  <c r="P16" i="1" s="1"/>
  <c r="C11" i="12" s="1"/>
  <c r="T16" i="1"/>
  <c r="S19" i="6"/>
  <c r="S27" i="6" s="1"/>
  <c r="I27" i="6"/>
  <c r="J18" i="15"/>
  <c r="J26" i="15"/>
  <c r="F22" i="68"/>
  <c r="F24" i="15"/>
  <c r="C24" i="15" s="1"/>
  <c r="F22" i="69"/>
  <c r="C44" i="69" s="1"/>
  <c r="D41" i="69" s="1"/>
  <c r="C19" i="67"/>
  <c r="C20" i="67" s="1"/>
  <c r="C26" i="67" s="1"/>
  <c r="F25" i="12"/>
  <c r="F22" i="11"/>
  <c r="C44" i="11" s="1"/>
  <c r="D41" i="11" s="1"/>
  <c r="G63" i="40"/>
  <c r="F65" i="40"/>
  <c r="J26" i="67"/>
  <c r="J29" i="67" s="1"/>
  <c r="J24" i="67"/>
  <c r="J18" i="67"/>
  <c r="AA7" i="21"/>
  <c r="R48" i="21" s="1"/>
  <c r="S7" i="21"/>
  <c r="C37" i="36"/>
  <c r="B2" i="36" s="1"/>
  <c r="B3" i="36" s="1"/>
  <c r="C36" i="36"/>
  <c r="C43" i="37"/>
  <c r="C42" i="37"/>
  <c r="E54" i="34"/>
  <c r="F54" i="34" s="1"/>
  <c r="E53" i="34"/>
  <c r="F53" i="34" s="1"/>
  <c r="I52" i="33"/>
  <c r="J52" i="33" s="1"/>
  <c r="D3" i="34"/>
  <c r="D3" i="33"/>
  <c r="E6" i="6"/>
  <c r="C17" i="4"/>
  <c r="B4" i="52" s="1"/>
  <c r="B43" i="72" s="1"/>
  <c r="L18" i="9"/>
  <c r="D3" i="37"/>
  <c r="D19" i="11"/>
  <c r="C19" i="11" s="1"/>
  <c r="D14" i="12"/>
  <c r="D3" i="21"/>
  <c r="D37" i="11"/>
  <c r="M18" i="9"/>
  <c r="B118" i="9" s="1"/>
  <c r="B14" i="74" s="1"/>
  <c r="B1" i="74" s="1"/>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70" i="39"/>
  <c r="G68" i="39"/>
  <c r="I52" i="21"/>
  <c r="J52" i="21" s="1"/>
  <c r="C39" i="35"/>
  <c r="B2" i="35" s="1"/>
  <c r="B3" i="35" s="1"/>
  <c r="C38" i="35"/>
  <c r="G52" i="33"/>
  <c r="H52" i="33" s="1"/>
  <c r="G53" i="33"/>
  <c r="H53" i="33" s="1"/>
  <c r="E40" i="36"/>
  <c r="F40" i="36" s="1"/>
  <c r="E41" i="36"/>
  <c r="F41" i="36" s="1"/>
  <c r="E47" i="37"/>
  <c r="F47" i="37" s="1"/>
  <c r="E46" i="37"/>
  <c r="F46" i="37" s="1"/>
  <c r="R49" i="33"/>
  <c r="E48" i="33"/>
  <c r="G52" i="21"/>
  <c r="H52" i="21" s="1"/>
  <c r="G53" i="21"/>
  <c r="H53" i="21" s="1"/>
  <c r="C49" i="34"/>
  <c r="C50"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38" i="67"/>
  <c r="C32" i="67"/>
  <c r="C19" i="15" l="1"/>
  <c r="C20" i="15" s="1"/>
  <c r="C26" i="15" s="1"/>
  <c r="B23" i="1"/>
  <c r="C23" i="11" s="1"/>
  <c r="B24" i="1"/>
  <c r="F11" i="12" s="1"/>
  <c r="C14" i="12" s="1"/>
  <c r="C29" i="68"/>
  <c r="D27" i="68" s="1"/>
  <c r="C29" i="11"/>
  <c r="D27" i="11" s="1"/>
  <c r="B2" i="34"/>
  <c r="B3" i="34" s="1"/>
  <c r="L16" i="1"/>
  <c r="C12" i="12"/>
  <c r="C15" i="12"/>
  <c r="J38" i="39"/>
  <c r="F38" i="39"/>
  <c r="H38" i="39"/>
  <c r="C44" i="68"/>
  <c r="D41" i="68" s="1"/>
  <c r="C23" i="67"/>
  <c r="C29" i="67" s="1"/>
  <c r="C33" i="67" s="1"/>
  <c r="C31" i="67" s="1"/>
  <c r="C26" i="69"/>
  <c r="D22" i="69" s="1"/>
  <c r="C24" i="11"/>
  <c r="H63" i="40"/>
  <c r="G65" i="40"/>
  <c r="E53" i="33"/>
  <c r="F53" i="33" s="1"/>
  <c r="E52" i="33"/>
  <c r="F52" i="33" s="1"/>
  <c r="H68" i="39"/>
  <c r="G70" i="39"/>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H19" i="6"/>
  <c r="D17" i="12"/>
  <c r="C17" i="12" s="1"/>
  <c r="I53" i="33"/>
  <c r="J53" i="33" s="1"/>
  <c r="B2" i="37"/>
  <c r="B3" i="37" s="1"/>
  <c r="C48" i="33"/>
  <c r="C49" i="33"/>
  <c r="B2" i="33" s="1"/>
  <c r="B3" i="33" s="1"/>
  <c r="C8" i="74"/>
  <c r="C7" i="74"/>
  <c r="C20" i="11"/>
  <c r="D10" i="11"/>
  <c r="C10" i="11" s="1"/>
  <c r="D20" i="12"/>
  <c r="C20" i="12" s="1"/>
  <c r="C18" i="12" s="1"/>
  <c r="D10" i="69"/>
  <c r="D10" i="68"/>
  <c r="R49" i="21"/>
  <c r="E48"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3" i="15" l="1"/>
  <c r="C29" i="15" s="1"/>
  <c r="J19" i="15" s="1"/>
  <c r="F50" i="68"/>
  <c r="C26" i="11"/>
  <c r="D22" i="11" s="1"/>
  <c r="F50" i="11"/>
  <c r="F34" i="11"/>
  <c r="C36" i="11" s="1"/>
  <c r="C26" i="68"/>
  <c r="D22" i="68" s="1"/>
  <c r="F50" i="69"/>
  <c r="F34" i="68"/>
  <c r="C25" i="11"/>
  <c r="C22" i="11" s="1"/>
  <c r="M59" i="67"/>
  <c r="M59" i="15"/>
  <c r="L59" i="15" s="1"/>
  <c r="J53" i="15"/>
  <c r="C29" i="12"/>
  <c r="D28" i="12" s="1"/>
  <c r="C26" i="12"/>
  <c r="D25" i="12" s="1"/>
  <c r="H27" i="6"/>
  <c r="D16" i="6"/>
  <c r="D30" i="6"/>
  <c r="R26" i="6"/>
  <c r="C16" i="12"/>
  <c r="C21" i="12" s="1"/>
  <c r="AA38" i="39"/>
  <c r="S38" i="39"/>
  <c r="AB38" i="39"/>
  <c r="U38" i="39"/>
  <c r="W38" i="39"/>
  <c r="AC38" i="39"/>
  <c r="J59" i="15"/>
  <c r="J60" i="15" s="1"/>
  <c r="Q48" i="15" s="1"/>
  <c r="C36" i="15"/>
  <c r="J59" i="67"/>
  <c r="J60" i="67" s="1"/>
  <c r="Q48" i="67" s="1"/>
  <c r="C13" i="67"/>
  <c r="C37" i="67" s="1"/>
  <c r="Q49" i="67"/>
  <c r="J14" i="67"/>
  <c r="J22" i="67" s="1"/>
  <c r="C36" i="67"/>
  <c r="J19" i="67"/>
  <c r="J17" i="67" s="1"/>
  <c r="C57" i="67"/>
  <c r="C61" i="67" s="1"/>
  <c r="C59" i="67" s="1"/>
  <c r="R20" i="6"/>
  <c r="C33" i="15"/>
  <c r="I63" i="40"/>
  <c r="H65" i="40"/>
  <c r="E52" i="21"/>
  <c r="F52" i="21" s="1"/>
  <c r="E53" i="21"/>
  <c r="F53" i="21" s="1"/>
  <c r="I53" i="21"/>
  <c r="J53" i="21" s="1"/>
  <c r="C10" i="69"/>
  <c r="C8" i="69" s="1"/>
  <c r="C5" i="69" s="1"/>
  <c r="D19" i="69"/>
  <c r="C28" i="11"/>
  <c r="C27" i="11" s="1"/>
  <c r="D8" i="74"/>
  <c r="D7" i="74"/>
  <c r="A7" i="51"/>
  <c r="B7" i="72" s="1"/>
  <c r="C4" i="52"/>
  <c r="B45" i="72" s="1"/>
  <c r="A10" i="51"/>
  <c r="B9" i="72" s="1"/>
  <c r="R24" i="6"/>
  <c r="R22" i="6"/>
  <c r="R25" i="6"/>
  <c r="H70" i="39"/>
  <c r="I68" i="39"/>
  <c r="C48" i="21"/>
  <c r="C49" i="21"/>
  <c r="B2" i="21" s="1"/>
  <c r="B3" i="21" s="1"/>
  <c r="C10" i="68"/>
  <c r="D19" i="68"/>
  <c r="R23" i="6"/>
  <c r="D27" i="6"/>
  <c r="D31" i="6" s="1"/>
  <c r="R19" i="6"/>
  <c r="R21" i="6"/>
  <c r="C26" i="43"/>
  <c r="B2" i="43" s="1"/>
  <c r="C27" i="43"/>
  <c r="B6" i="76"/>
  <c r="E6" i="76"/>
  <c r="C57" i="15" l="1"/>
  <c r="C61" i="15" s="1"/>
  <c r="Q49" i="15"/>
  <c r="C13" i="15"/>
  <c r="C56" i="15" s="1"/>
  <c r="C65" i="15" s="1"/>
  <c r="J14" i="15"/>
  <c r="J13" i="15" s="1"/>
  <c r="J23" i="15" s="1"/>
  <c r="C37" i="11"/>
  <c r="C34" i="11"/>
  <c r="C36" i="68"/>
  <c r="C34" i="68"/>
  <c r="F1" i="15"/>
  <c r="Q52" i="15"/>
  <c r="Q74" i="15"/>
  <c r="Q61" i="15"/>
  <c r="C31" i="11"/>
  <c r="R27" i="6"/>
  <c r="R6" i="1"/>
  <c r="C75" i="67"/>
  <c r="J13" i="67"/>
  <c r="J23" i="67" s="1"/>
  <c r="J16" i="67" s="1"/>
  <c r="J25" i="67" s="1"/>
  <c r="Q70" i="67"/>
  <c r="L46" i="67"/>
  <c r="C64" i="67"/>
  <c r="C30" i="67"/>
  <c r="C39" i="67" s="1"/>
  <c r="Q69" i="67" s="1"/>
  <c r="C56" i="67"/>
  <c r="C65" i="67" s="1"/>
  <c r="C64" i="15"/>
  <c r="J63" i="40"/>
  <c r="I65" i="40"/>
  <c r="C22" i="12"/>
  <c r="C19" i="69"/>
  <c r="C24" i="69" s="1"/>
  <c r="D37" i="69"/>
  <c r="C37" i="69" s="1"/>
  <c r="C33" i="69" s="1"/>
  <c r="I6" i="6"/>
  <c r="I5" i="6"/>
  <c r="C19" i="68"/>
  <c r="D37" i="68"/>
  <c r="C37" i="68" s="1"/>
  <c r="J68" i="39"/>
  <c r="I70" i="39"/>
  <c r="C20" i="69"/>
  <c r="C25" i="69" s="1"/>
  <c r="C23" i="69"/>
  <c r="E2" i="76"/>
  <c r="B2" i="76"/>
  <c r="B3" i="43"/>
  <c r="AE6" i="1"/>
  <c r="F35" i="15"/>
  <c r="M21" i="15"/>
  <c r="J22" i="15" l="1"/>
  <c r="C75" i="15"/>
  <c r="Q70" i="15"/>
  <c r="C37" i="15"/>
  <c r="C38" i="11"/>
  <c r="C35" i="11"/>
  <c r="C38" i="68"/>
  <c r="C35" i="68"/>
  <c r="F63" i="15"/>
  <c r="C62" i="15" s="1"/>
  <c r="C59" i="15" s="1"/>
  <c r="C58" i="15" s="1"/>
  <c r="C67" i="15" s="1"/>
  <c r="C34" i="15"/>
  <c r="C31" i="15" s="1"/>
  <c r="C30" i="15" s="1"/>
  <c r="C39" i="15" s="1"/>
  <c r="J20" i="15"/>
  <c r="J17" i="15" s="1"/>
  <c r="J16" i="15" s="1"/>
  <c r="J25" i="15" s="1"/>
  <c r="R16" i="1"/>
  <c r="Q68" i="67"/>
  <c r="C80" i="67"/>
  <c r="C79" i="67" s="1"/>
  <c r="C40" i="67"/>
  <c r="Q47" i="67" s="1"/>
  <c r="Q53" i="67" s="1"/>
  <c r="C58" i="67"/>
  <c r="C67" i="67" s="1"/>
  <c r="C68" i="67" s="1"/>
  <c r="C71" i="67" s="1"/>
  <c r="J65" i="40"/>
  <c r="K63" i="40"/>
  <c r="C22" i="69"/>
  <c r="J70" i="39"/>
  <c r="K68" i="39"/>
  <c r="C24" i="68"/>
  <c r="C28" i="69"/>
  <c r="C27" i="69" s="1"/>
  <c r="C39" i="69"/>
  <c r="C42" i="69"/>
  <c r="B3" i="76"/>
  <c r="L51" i="67"/>
  <c r="L51" i="15"/>
  <c r="F41" i="15"/>
  <c r="C33" i="11" l="1"/>
  <c r="C39" i="11" s="1"/>
  <c r="C43" i="11" s="1"/>
  <c r="Q67" i="67"/>
  <c r="L57" i="67"/>
  <c r="L60" i="67" s="1"/>
  <c r="Q57" i="67" s="1"/>
  <c r="J29" i="15"/>
  <c r="F69" i="15"/>
  <c r="C68" i="15" s="1"/>
  <c r="C71" i="15" s="1"/>
  <c r="C33" i="68"/>
  <c r="C39" i="68" s="1"/>
  <c r="C40" i="15"/>
  <c r="C80" i="15"/>
  <c r="C79" i="15" s="1"/>
  <c r="Q67" i="15"/>
  <c r="L57" i="15"/>
  <c r="L60" i="15" s="1"/>
  <c r="L46" i="15" s="1"/>
  <c r="Q69" i="15"/>
  <c r="Q68" i="15" s="1"/>
  <c r="Q56" i="67"/>
  <c r="D2" i="67"/>
  <c r="B3" i="67" s="1"/>
  <c r="Q65" i="67"/>
  <c r="C83" i="67"/>
  <c r="C82" i="67" s="1"/>
  <c r="C43" i="67"/>
  <c r="C45" i="67"/>
  <c r="C46" i="67" s="1"/>
  <c r="C31" i="69"/>
  <c r="L63" i="40"/>
  <c r="K65" i="40"/>
  <c r="L68" i="39"/>
  <c r="K70" i="39"/>
  <c r="C46" i="69"/>
  <c r="C45" i="69" s="1"/>
  <c r="C43" i="69"/>
  <c r="C41" i="69" s="1"/>
  <c r="Q66" i="67"/>
  <c r="C42" i="11" l="1"/>
  <c r="C41" i="11" s="1"/>
  <c r="C46" i="11"/>
  <c r="C45" i="11" s="1"/>
  <c r="Q65" i="15"/>
  <c r="C42" i="68"/>
  <c r="C43" i="68"/>
  <c r="C46" i="68"/>
  <c r="C45" i="68" s="1"/>
  <c r="Q47" i="15"/>
  <c r="Q53" i="15" s="1"/>
  <c r="C46" i="15"/>
  <c r="B2" i="15"/>
  <c r="B2" i="67"/>
  <c r="C83" i="15"/>
  <c r="C82" i="15" s="1"/>
  <c r="Q56" i="15"/>
  <c r="C43" i="15"/>
  <c r="Q62" i="67"/>
  <c r="Q66" i="15"/>
  <c r="Q75" i="15" s="1"/>
  <c r="Q57" i="15"/>
  <c r="C8" i="12"/>
  <c r="C4" i="12" s="1"/>
  <c r="Q75" i="67"/>
  <c r="C49" i="69"/>
  <c r="C51" i="69" s="1"/>
  <c r="C52" i="69" s="1"/>
  <c r="B2" i="69" s="1"/>
  <c r="B3" i="69" s="1"/>
  <c r="L65" i="40"/>
  <c r="M63" i="40"/>
  <c r="L70" i="39"/>
  <c r="M68" i="39"/>
  <c r="AO6" i="1"/>
  <c r="C49" i="11" l="1"/>
  <c r="C51" i="11" s="1"/>
  <c r="C52" i="11" s="1"/>
  <c r="C41" i="68"/>
  <c r="C49" i="68" s="1"/>
  <c r="C51" i="68" s="1"/>
  <c r="Q62" i="15"/>
  <c r="B6" i="70"/>
  <c r="B2" i="70" s="1"/>
  <c r="B3" i="70" s="1"/>
  <c r="B3" i="15"/>
  <c r="C6" i="12" s="1"/>
  <c r="C23" i="12"/>
  <c r="C31" i="12"/>
  <c r="M65" i="40"/>
  <c r="N63" i="40"/>
  <c r="N68" i="39"/>
  <c r="M70" i="39"/>
  <c r="C57" i="69"/>
  <c r="C56" i="69" s="1"/>
  <c r="B2" i="11" l="1"/>
  <c r="B3" i="11" s="1"/>
  <c r="C56" i="11"/>
  <c r="C57" i="11" s="1"/>
  <c r="C30" i="12"/>
  <c r="C28" i="12" s="1"/>
  <c r="C27" i="12"/>
  <c r="C25" i="12" s="1"/>
  <c r="O63" i="40"/>
  <c r="O65" i="40" s="1"/>
  <c r="N65" i="40"/>
  <c r="N70" i="39"/>
  <c r="O68" i="39"/>
  <c r="O70" i="39" s="1"/>
  <c r="C32" i="12" l="1"/>
  <c r="B2" i="12" s="1"/>
  <c r="J7" i="40"/>
  <c r="F7" i="40"/>
  <c r="H7" i="40"/>
  <c r="F7" i="39"/>
  <c r="J7" i="39"/>
  <c r="H7" i="39"/>
  <c r="D19" i="9"/>
  <c r="D102" i="9" l="1"/>
  <c r="D21" i="9"/>
  <c r="B3" i="12"/>
  <c r="S7" i="40"/>
  <c r="AA7" i="40"/>
  <c r="R42" i="40" s="1"/>
  <c r="U7" i="40"/>
  <c r="AB7" i="40"/>
  <c r="T42" i="40" s="1"/>
  <c r="G42" i="40" s="1"/>
  <c r="W7" i="40"/>
  <c r="AC7" i="40"/>
  <c r="V42" i="40" s="1"/>
  <c r="I42" i="40" s="1"/>
  <c r="AB7" i="39"/>
  <c r="T47" i="39" s="1"/>
  <c r="G47" i="39" s="1"/>
  <c r="U7" i="39"/>
  <c r="AC7" i="39"/>
  <c r="V47" i="39" s="1"/>
  <c r="I47" i="39" s="1"/>
  <c r="W7" i="39"/>
  <c r="S7" i="39"/>
  <c r="AA7" i="39"/>
  <c r="R47" i="39" s="1"/>
  <c r="D20" i="9"/>
  <c r="D103" i="9" l="1"/>
  <c r="I46" i="40"/>
  <c r="J46" i="40" s="1"/>
  <c r="G46" i="40"/>
  <c r="H46" i="40" s="1"/>
  <c r="G47" i="40"/>
  <c r="H47" i="40" s="1"/>
  <c r="E42" i="40"/>
  <c r="I47" i="40" s="1"/>
  <c r="J47" i="40" s="1"/>
  <c r="R43" i="40"/>
  <c r="I51" i="39"/>
  <c r="J51" i="39" s="1"/>
  <c r="E47" i="39"/>
  <c r="I52" i="39" s="1"/>
  <c r="J52" i="39" s="1"/>
  <c r="R48" i="39"/>
  <c r="G51" i="39"/>
  <c r="H51" i="39" s="1"/>
  <c r="G52" i="39"/>
  <c r="H52" i="39" s="1"/>
  <c r="C42" i="40" l="1"/>
  <c r="C43" i="40"/>
  <c r="E46" i="40"/>
  <c r="F46" i="40" s="1"/>
  <c r="E47" i="40"/>
  <c r="F47" i="40" s="1"/>
  <c r="C48" i="39"/>
  <c r="C47" i="39"/>
  <c r="E52" i="39"/>
  <c r="F52" i="39" s="1"/>
  <c r="E51" i="39"/>
  <c r="F51" i="39" s="1"/>
  <c r="B55" i="40" l="1"/>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7" i="68" l="1"/>
  <c r="C5" i="68" s="1"/>
  <c r="C23" i="68" s="1"/>
  <c r="C20" i="68" l="1"/>
  <c r="C25" i="68" s="1"/>
  <c r="C22" i="68" s="1"/>
  <c r="C28" i="68" l="1"/>
  <c r="C27" i="68" s="1"/>
  <c r="C31" i="68" s="1"/>
  <c r="C52" i="68" s="1"/>
  <c r="B2" i="68" s="1"/>
  <c r="C19" i="9"/>
  <c r="D22" i="9" l="1"/>
  <c r="G19" i="9"/>
  <c r="C102" i="9"/>
  <c r="C21" i="9"/>
  <c r="B3" i="68"/>
  <c r="C57" i="68"/>
  <c r="C56" i="68" s="1"/>
  <c r="C20" i="9"/>
  <c r="C103" i="9" l="1"/>
  <c r="G20" i="9"/>
  <c r="C32" i="9"/>
  <c r="G21" i="9"/>
  <c r="H118" i="9" l="1"/>
  <c r="C35" i="9"/>
  <c r="F118" i="9" s="1"/>
  <c r="C34" i="9" l="1"/>
  <c r="D118" i="9" s="1"/>
  <c r="D4" i="52" s="1"/>
  <c r="B47" i="72" s="1"/>
  <c r="F119" i="9"/>
  <c r="F5" i="52" s="1"/>
  <c r="B53" i="72" s="1"/>
  <c r="F4" i="52"/>
  <c r="B51" i="72" s="1"/>
  <c r="G118" i="9"/>
  <c r="G4" i="52" s="1"/>
  <c r="B52" i="72" s="1"/>
  <c r="D119" i="9"/>
  <c r="D5" i="52" s="1"/>
  <c r="B49" i="72" s="1"/>
  <c r="D14" i="74"/>
  <c r="H101" i="9"/>
  <c r="H4" i="52"/>
  <c r="H119" i="9"/>
  <c r="H5" i="52" s="1"/>
  <c r="C104" i="9"/>
  <c r="I118" i="9"/>
  <c r="C105" i="9" l="1"/>
  <c r="I4" i="52"/>
  <c r="H102" i="9"/>
  <c r="D7" i="53" s="1"/>
  <c r="B21" i="72" s="1"/>
  <c r="E118" i="9"/>
  <c r="E4" i="52" s="1"/>
  <c r="B48" i="72" s="1"/>
  <c r="E14" i="74"/>
  <c r="F14" i="74"/>
  <c r="D45" i="9"/>
  <c r="M48" i="9"/>
  <c r="D5" i="53"/>
  <c r="H107" i="9"/>
  <c r="B20" i="72" l="1"/>
  <c r="D6" i="53"/>
  <c r="B22" i="72" s="1"/>
  <c r="C64" i="9"/>
  <c r="C63" i="9" s="1"/>
  <c r="C67" i="9" s="1"/>
  <c r="C68" i="9" s="1"/>
  <c r="D54" i="9" s="1"/>
  <c r="D52" i="9"/>
  <c r="C85" i="9"/>
  <c r="C72" i="9"/>
  <c r="C93" i="9"/>
  <c r="C86" i="9" s="1"/>
  <c r="C78" i="9"/>
  <c r="C73" i="9" s="1"/>
  <c r="D53" i="9"/>
  <c r="D55" i="9"/>
  <c r="M53" i="9" s="1"/>
  <c r="M49" i="9"/>
  <c r="H108" i="9"/>
  <c r="D15" i="53" s="1"/>
  <c r="B31" i="72" s="1"/>
  <c r="D122" i="9"/>
  <c r="D13" i="53"/>
  <c r="G14" i="74" l="1"/>
  <c r="D8" i="52"/>
  <c r="D123" i="9"/>
  <c r="D9" i="52" s="1"/>
  <c r="D14" i="53"/>
  <c r="B32" i="72" s="1"/>
  <c r="B30" i="72"/>
  <c r="C79" i="9"/>
  <c r="L66" i="9"/>
  <c r="M66" i="9" s="1"/>
  <c r="L67" i="9"/>
  <c r="M67" i="9" s="1"/>
  <c r="L63" i="9"/>
  <c r="M63" i="9" s="1"/>
  <c r="L65" i="9"/>
  <c r="M65" i="9" s="1"/>
  <c r="L64" i="9"/>
  <c r="M64" i="9" s="1"/>
  <c r="L68" i="9"/>
  <c r="M68" i="9" s="1"/>
  <c r="C95" i="9"/>
  <c r="M69" i="9" l="1"/>
  <c r="N69" i="9" s="1"/>
  <c r="C96" i="9"/>
  <c r="E96" i="9" s="1"/>
  <c r="E97" i="9" s="1"/>
  <c r="C80" i="9"/>
  <c r="E80" i="9" s="1"/>
  <c r="E81" i="9" s="1"/>
  <c r="C81" i="9" l="1"/>
  <c r="C97" i="9"/>
  <c r="D58" i="9" s="1"/>
  <c r="D56" i="9" s="1"/>
  <c r="M54" i="9" s="1"/>
  <c r="N57" i="9" s="1"/>
  <c r="N58" i="9" s="1"/>
  <c r="P57" i="9" l="1"/>
  <c r="N59" i="9"/>
  <c r="N60" i="9" s="1"/>
  <c r="N61" i="9" l="1"/>
  <c r="D16" i="74" l="1"/>
  <c r="G16" i="74" l="1"/>
  <c r="F16" i="74"/>
  <c r="E16" i="74"/>
  <c r="D15" i="74" l="1"/>
  <c r="G15" i="74" l="1"/>
  <c r="B6" i="74" s="1"/>
  <c r="E15" i="74"/>
  <c r="F15"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<sst xmlns="http://schemas.openxmlformats.org/spreadsheetml/2006/main" count="9117" uniqueCount="3455">
  <si>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</si>
  <si>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</si>
  <si>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</si>
  <si>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</si>
  <si>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</si>
  <si>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</si>
  <si>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</si>
  <si>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</si>
  <si>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</si>
  <si>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</si>
  <si>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</si>
  <si>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</si>
  <si>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</si>
  <si>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</si>
  <si>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</si>
  <si>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</si>
  <si>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</si>
  <si>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</si>
  <si>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</si>
  <si>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</si>
  <si>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</si>
  <si>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</si>
  <si>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</si>
  <si>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</si>
  <si>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</si>
  <si>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</si>
  <si>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</si>
  <si>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</si>
  <si>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</si>
  <si>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</si>
  <si>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</si>
  <si>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</si>
  <si>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</si>
  <si>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</si>
  <si>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</si>
  <si>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</si>
  <si>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</si>
  <si>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</si>
  <si>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</si>
  <si>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</si>
  <si>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</si>
  <si>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</si>
  <si>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</si>
  <si>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</si>
  <si>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</si>
  <si>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</si>
  <si>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</si>
  <si>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</si>
  <si>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</si>
  <si>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</si>
  <si>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</si>
  <si>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</si>
  <si>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</si>
  <si>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</si>
  <si>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</si>
  <si>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</si>
  <si>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</si>
  <si>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</si>
  <si>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</si>
  <si>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</si>
  <si>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</si>
  <si>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</si>
  <si>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</si>
  <si>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</si>
  <si>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</si>
  <si>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</si>
  <si>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</si>
  <si>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</si>
  <si>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</si>
  <si>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</si>
  <si>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</si>
  <si>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</si>
  <si>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</si>
  <si>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</si>
  <si>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</si>
  <si>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</si>
  <si>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</si>
  <si>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</si>
  <si>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</si>
  <si>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</si>
  <si>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</si>
  <si>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</si>
  <si>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</si>
  <si>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</si>
  <si>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</si>
  <si>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</si>
  <si>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</si>
  <si>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</si>
  <si>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</si>
  <si>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</si>
  <si>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</si>
  <si>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</si>
  <si>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</si>
  <si>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</si>
  <si>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</si>
  <si>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</si>
  <si>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</si>
  <si>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</si>
  <si>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</si>
  <si>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</si>
  <si>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</si>
  <si>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</si>
  <si>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</si>
  <si>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</si>
  <si>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</si>
  <si>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</si>
  <si>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</si>
  <si>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</si>
  <si>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</si>
  <si>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</si>
  <si>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</si>
  <si>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</si>
  <si>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</si>
  <si>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</si>
  <si>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</si>
  <si>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</si>
  <si>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</si>
  <si>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</si>
  <si>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</si>
  <si>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</si>
  <si>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</si>
  <si>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</si>
  <si>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</si>
  <si>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</si>
  <si>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</si>
  <si>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</si>
  <si>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</si>
  <si>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</si>
  <si>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</si>
  <si>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</si>
  <si>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</si>
  <si>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</si>
  <si>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</si>
  <si>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</si>
  <si>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</si>
  <si>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</si>
  <si>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</si>
  <si>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</si>
  <si>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</si>
  <si>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</si>
  <si>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</si>
  <si>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</si>
  <si>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</si>
  <si>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</si>
  <si>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</si>
  <si>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</si>
  <si>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</si>
  <si>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</si>
  <si>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</si>
  <si>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</si>
  <si>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</si>
  <si>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</si>
  <si>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</si>
  <si>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</si>
  <si>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</si>
  <si>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</si>
  <si>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</si>
  <si>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</si>
  <si>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</si>
  <si>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</si>
  <si>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</si>
  <si>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</si>
  <si>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</si>
  <si>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</si>
  <si>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</si>
  <si>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</si>
  <si>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</si>
  <si>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</si>
  <si>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</si>
  <si>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</si>
  <si>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</si>
  <si>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</si>
  <si>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</si>
  <si>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</si>
  <si>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</si>
  <si>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</si>
  <si>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</si>
  <si>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</si>
  <si>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</si>
  <si>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</si>
  <si>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</si>
  <si>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</si>
  <si>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</si>
  <si>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</si>
  <si>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</si>
  <si>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</si>
  <si>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</si>
  <si>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</si>
  <si>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</si>
  <si>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</si>
  <si>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</si>
  <si>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</si>
  <si>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</si>
  <si>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</si>
  <si>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</si>
  <si>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</si>
  <si>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</si>
  <si>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</si>
  <si>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</si>
  <si>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</si>
  <si>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</si>
  <si>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</si>
  <si>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</si>
  <si>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</si>
  <si>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</si>
  <si>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</si>
  <si>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</si>
  <si>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</si>
  <si>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</si>
  <si>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</si>
  <si>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</si>
  <si>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</si>
  <si>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</si>
  <si>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</si>
  <si>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</si>
  <si>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</si>
  <si>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</si>
  <si>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</si>
  <si>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</si>
  <si>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</si>
  <si>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</si>
  <si>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</si>
  <si>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</si>
  <si>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</si>
  <si>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</si>
  <si>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</si>
  <si>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</si>
  <si>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</si>
  <si>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</si>
  <si>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</si>
  <si>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</si>
  <si>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</si>
  <si>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</si>
  <si>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</si>
  <si>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</si>
  <si>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</si>
  <si>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</si>
  <si>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</si>
  <si>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</si>
  <si>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</si>
  <si>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</si>
  <si>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</si>
  <si>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</si>
  <si>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</si>
  <si>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</si>
  <si>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</si>
  <si>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</si>
  <si>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</si>
  <si>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</si>
  <si>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</si>
  <si>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</si>
  <si>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</si>
  <si>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</si>
  <si>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</si>
  <si>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</si>
  <si>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</si>
  <si>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</si>
  <si>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</si>
  <si>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</si>
  <si>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</si>
  <si>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</si>
  <si>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</si>
  <si>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</si>
  <si>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</si>
  <si>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</si>
  <si>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</si>
  <si>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</si>
  <si>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</si>
  <si>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</si>
  <si>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</si>
  <si>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</si>
  <si>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</si>
  <si>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</si>
  <si>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</si>
  <si>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</si>
  <si>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</si>
  <si>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</si>
  <si>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</si>
  <si>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</si>
  <si>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</si>
  <si>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</si>
  <si>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</si>
  <si>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</si>
  <si>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</si>
  <si>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</si>
  <si>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</si>
  <si>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</si>
  <si>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</si>
  <si>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</si>
  <si>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</si>
  <si>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</si>
  <si>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</si>
  <si>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</si>
  <si>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</si>
  <si>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</si>
  <si>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</si>
  <si>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</si>
  <si>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</si>
  <si>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</si>
  <si>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</si>
  <si>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</si>
  <si>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</si>
  <si>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</si>
  <si>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</si>
  <si>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</si>
  <si>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</si>
  <si>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</si>
  <si>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</si>
  <si>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</si>
  <si>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</si>
  <si>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</si>
  <si>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</si>
  <si>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</si>
  <si>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</si>
  <si>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</si>
  <si>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</si>
  <si>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</si>
  <si>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</si>
  <si>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</si>
  <si>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</si>
  <si>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</si>
  <si>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</si>
  <si>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</si>
  <si>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</si>
  <si>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</si>
  <si>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</si>
  <si>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</si>
  <si>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</si>
  <si>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</si>
  <si>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</si>
  <si>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</si>
  <si>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</si>
  <si>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</si>
  <si>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</si>
  <si>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</si>
  <si>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</si>
  <si>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</si>
  <si>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</si>
  <si>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</si>
  <si>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</si>
  <si>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</si>
  <si>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</si>
  <si>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</si>
  <si>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</si>
  <si>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</si>
  <si>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</si>
  <si>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</si>
  <si>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</si>
  <si>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</si>
  <si>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</si>
  <si>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</si>
  <si>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</si>
  <si>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</si>
  <si>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</si>
  <si>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</si>
  <si>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</si>
  <si>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</si>
  <si>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</si>
  <si>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</si>
  <si>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</si>
  <si>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</si>
  <si>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</si>
  <si>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</si>
  <si>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</si>
  <si>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</si>
  <si>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</si>
  <si>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</si>
  <si>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</si>
  <si>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</si>
  <si>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</si>
  <si>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</si>
  <si>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</si>
  <si>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</si>
  <si>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</si>
  <si>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</si>
  <si>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</si>
  <si>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</si>
  <si>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</si>
  <si>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</si>
  <si>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</si>
  <si>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</si>
  <si>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</si>
  <si>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</si>
  <si>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</si>
  <si>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</si>
  <si>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</si>
  <si>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</si>
  <si>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</si>
  <si>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</si>
  <si>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</si>
  <si>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</si>
  <si>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</si>
  <si>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</si>
  <si>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</si>
  <si>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</si>
  <si>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</si>
  <si>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</si>
  <si>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</si>
  <si>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</si>
  <si>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</si>
  <si>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</si>
  <si>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</si>
  <si>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</si>
  <si>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</si>
  <si>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</si>
  <si>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</si>
  <si>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</si>
  <si>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</si>
  <si>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</si>
  <si>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</si>
  <si>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</si>
  <si>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</si>
  <si>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</si>
  <si>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</si>
  <si>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</si>
  <si>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</si>
  <si>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</si>
  <si>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</si>
  <si>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</si>
  <si>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</si>
  <si>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</si>
  <si>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</si>
  <si>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</si>
  <si>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</si>
  <si>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</si>
  <si>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</si>
  <si>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</si>
  <si>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</si>
  <si>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</si>
  <si>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</si>
  <si>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</si>
  <si>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</si>
  <si>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</si>
  <si>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</si>
  <si>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</si>
  <si>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</si>
  <si>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</si>
  <si>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</si>
  <si>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</si>
  <si>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</si>
  <si>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</si>
  <si>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</si>
  <si>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</si>
  <si>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</si>
  <si>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</si>
  <si>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</si>
  <si>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</si>
  <si>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</si>
  <si>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</si>
  <si>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</si>
  <si>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</si>
  <si>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</si>
  <si>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</si>
  <si>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</si>
  <si>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</si>
  <si>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</si>
  <si>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</si>
  <si>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</si>
  <si>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</si>
  <si>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</si>
  <si>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</si>
  <si>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</si>
  <si>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</si>
  <si>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</si>
  <si>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</si>
  <si>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</si>
  <si>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</si>
  <si>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</si>
  <si>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</si>
  <si>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</si>
  <si>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</si>
  <si>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</si>
  <si>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</si>
  <si>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</si>
  <si>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</si>
  <si>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</si>
  <si>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</si>
  <si>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</si>
  <si>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</si>
  <si>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</si>
  <si>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</si>
  <si>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</si>
  <si>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</si>
  <si>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</si>
  <si>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</si>
  <si>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</si>
  <si>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</si>
  <si>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</si>
  <si>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</si>
  <si>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</si>
  <si>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</si>
  <si>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</si>
  <si>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</si>
  <si>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</si>
  <si>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</si>
  <si>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</si>
  <si>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</si>
  <si>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</si>
  <si>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</si>
  <si>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</si>
  <si>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</si>
  <si>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</si>
  <si>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</si>
  <si>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</si>
  <si>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</si>
  <si>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</si>
  <si>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</si>
  <si>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</si>
  <si>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</si>
  <si>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</si>
  <si>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</si>
  <si>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</si>
  <si>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</si>
  <si>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</si>
  <si>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</si>
  <si>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</si>
  <si>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</si>
  <si>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</si>
  <si>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</si>
  <si>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</si>
  <si>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</si>
  <si>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</si>
  <si>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</si>
  <si>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</si>
  <si>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</si>
  <si>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</si>
  <si>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</si>
  <si>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</si>
  <si>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</si>
  <si>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</si>
  <si>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</si>
  <si>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</si>
  <si>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</si>
  <si>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</si>
  <si>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</si>
  <si>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</si>
  <si>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</si>
  <si>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</si>
  <si>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</si>
  <si>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</si>
  <si>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</si>
  <si>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</si>
  <si>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</si>
  <si>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</si>
  <si>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</si>
  <si>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</si>
  <si>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</si>
  <si>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</si>
  <si>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</si>
  <si>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</si>
  <si>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</si>
  <si>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</si>
  <si>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</si>
  <si>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</si>
  <si>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</si>
  <si>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</si>
  <si>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</si>
  <si>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</si>
  <si>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</si>
  <si>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</si>
  <si>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</si>
  <si>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</si>
  <si>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</si>
  <si>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</si>
  <si>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</si>
  <si>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</si>
  <si>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</si>
  <si>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</si>
  <si>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</si>
  <si>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</si>
  <si>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</si>
  <si>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</si>
  <si>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</si>
  <si>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</si>
  <si>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</si>
  <si>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</si>
  <si>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</si>
  <si>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</si>
  <si>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</si>
  <si>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</si>
  <si>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</si>
  <si>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</si>
  <si>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</si>
  <si>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</si>
  <si>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</si>
  <si>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</si>
  <si>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</si>
  <si>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</si>
  <si>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</si>
  <si>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</si>
  <si>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</si>
  <si>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</si>
  <si>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</si>
  <si>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</si>
  <si>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</si>
  <si>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</si>
  <si>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</si>
  <si>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</si>
  <si>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</si>
  <si>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</si>
  <si>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</si>
  <si>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</si>
  <si>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</si>
  <si>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</si>
  <si>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</si>
  <si>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</si>
  <si>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</si>
  <si>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</si>
  <si>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</si>
  <si>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</si>
  <si>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</si>
  <si>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</si>
  <si>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</si>
  <si>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</si>
  <si>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</si>
  <si>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</si>
  <si>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</si>
  <si>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</si>
  <si>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</si>
  <si>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</si>
  <si>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</si>
  <si>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</si>
  <si>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</si>
  <si>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</si>
  <si>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</si>
  <si>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</si>
  <si>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</si>
  <si>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</si>
  <si>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</si>
  <si>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</si>
  <si>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</si>
  <si>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</si>
  <si>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</si>
  <si>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</si>
  <si>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</si>
  <si>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</si>
  <si>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</si>
  <si>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</si>
  <si>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</si>
  <si>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</si>
  <si>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</si>
  <si>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</si>
  <si>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</si>
  <si>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</si>
  <si>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</si>
  <si>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</si>
  <si>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</si>
  <si>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</si>
  <si>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</si>
  <si>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</si>
  <si>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</si>
  <si>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</si>
  <si>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</si>
  <si>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</si>
  <si>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</si>
  <si>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</si>
  <si>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</si>
  <si>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</si>
  <si>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</si>
  <si>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</si>
  <si>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</si>
  <si>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</si>
  <si>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</si>
  <si>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</si>
  <si>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</si>
  <si>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</si>
  <si>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</si>
  <si>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</si>
  <si>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</si>
  <si>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</si>
  <si>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</si>
  <si>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</si>
  <si>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</si>
  <si>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</si>
  <si>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</si>
  <si>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</si>
  <si>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</si>
  <si>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</si>
  <si>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</si>
  <si>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</si>
  <si>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</si>
  <si>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</si>
  <si>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</si>
  <si>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</si>
  <si>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</si>
  <si>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</si>
  <si>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</si>
  <si>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</si>
  <si>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</si>
  <si>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</si>
  <si>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</si>
  <si>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</si>
  <si>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</si>
  <si>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</si>
  <si>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</si>
  <si>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</si>
  <si>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</si>
  <si>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</si>
  <si>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</si>
  <si>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</si>
  <si>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</si>
  <si>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</si>
  <si>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</si>
  <si>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</si>
  <si>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</si>
  <si>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</si>
  <si>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</si>
  <si>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</si>
  <si>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</si>
  <si>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</si>
  <si>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</si>
  <si>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</si>
  <si>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</si>
  <si>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</si>
  <si>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</si>
  <si>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</si>
  <si>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</si>
  <si>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</si>
  <si>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</si>
  <si>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</si>
  <si>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</si>
  <si>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</si>
  <si>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</si>
  <si>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</si>
  <si>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</si>
  <si>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</si>
  <si>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</si>
  <si>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</si>
  <si>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</si>
  <si>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</si>
  <si>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</si>
  <si>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</si>
  <si>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</si>
  <si>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</si>
  <si>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</si>
  <si>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</si>
  <si>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</si>
  <si>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</si>
  <si>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</si>
  <si>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</si>
  <si>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</si>
  <si>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</si>
  <si>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</si>
  <si>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</si>
  <si>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</si>
  <si>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</si>
  <si>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</si>
  <si>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</si>
  <si>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</si>
  <si>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</si>
  <si>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</si>
  <si>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</si>
  <si>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</si>
  <si>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</si>
  <si>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</si>
  <si>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</si>
  <si>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</si>
  <si>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</si>
  <si>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</si>
  <si>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</si>
  <si>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</si>
  <si>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</si>
  <si>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</si>
  <si>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</si>
  <si>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</si>
  <si>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</si>
  <si>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</si>
  <si>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</si>
  <si>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</si>
  <si>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</si>
  <si>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</si>
  <si>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</si>
  <si>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</si>
  <si>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</si>
  <si>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</si>
  <si>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</si>
  <si>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</si>
  <si>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</si>
  <si>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</si>
  <si>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</si>
  <si>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</si>
  <si>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</si>
  <si>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</si>
  <si>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</si>
  <si>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</si>
  <si>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</si>
  <si>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</si>
  <si>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</si>
  <si>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</si>
  <si>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</si>
  <si>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</si>
  <si>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</si>
  <si>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</si>
  <si>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</si>
  <si>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</si>
  <si>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</si>
  <si>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</si>
  <si>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</si>
  <si>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</si>
  <si>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</si>
  <si>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</si>
  <si>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</si>
  <si>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</si>
  <si>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</si>
  <si>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</si>
  <si>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</si>
  <si>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</si>
  <si>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</si>
  <si>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</si>
  <si>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</si>
  <si>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</si>
  <si>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</si>
  <si>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</si>
  <si>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</si>
  <si>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</si>
  <si>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</si>
  <si>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</si>
  <si>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</si>
  <si>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</si>
  <si>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</si>
  <si>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</si>
  <si>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</si>
  <si>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</si>
  <si>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</si>
  <si>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</si>
  <si>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</si>
  <si>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</si>
  <si>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</si>
  <si>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</si>
  <si>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</si>
  <si>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</si>
  <si>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</si>
  <si>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</si>
  <si>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</si>
  <si>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</si>
  <si>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</si>
  <si>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</si>
  <si>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</si>
  <si>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</si>
  <si>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</si>
  <si>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</si>
  <si>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</si>
  <si>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</si>
  <si>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</si>
  <si>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</si>
  <si>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</si>
  <si>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</si>
  <si>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</si>
  <si>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</si>
  <si>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</si>
  <si>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</si>
  <si>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</si>
  <si>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</si>
  <si>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</si>
  <si>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</si>
  <si>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</si>
  <si>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</si>
  <si>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</si>
  <si>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</si>
  <si>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</si>
  <si>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</si>
  <si>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</si>
  <si>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</si>
  <si>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</si>
  <si>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</si>
  <si>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</si>
  <si>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</si>
  <si>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</si>
  <si>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</si>
  <si>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</si>
  <si>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</si>
  <si>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</si>
  <si>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</si>
  <si>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</si>
  <si>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</si>
  <si>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</si>
  <si>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</si>
  <si>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</si>
  <si>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</si>
  <si>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</si>
  <si>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</si>
  <si>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</si>
  <si>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</si>
  <si>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</si>
  <si>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</si>
  <si>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</si>
  <si>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</si>
  <si>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</si>
  <si>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</si>
  <si>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</si>
  <si>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</si>
  <si>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</si>
  <si>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</si>
  <si>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</si>
  <si>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</si>
  <si>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</si>
  <si>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</si>
  <si>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</si>
  <si>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</si>
  <si>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</si>
  <si>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</si>
  <si>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</si>
  <si>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</si>
  <si>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</si>
  <si>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</si>
  <si>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</si>
  <si>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</si>
  <si>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</si>
  <si>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</si>
  <si>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</si>
  <si>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</si>
  <si>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</si>
  <si>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</si>
  <si>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</si>
  <si>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</si>
  <si>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</si>
  <si>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</si>
  <si>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</si>
  <si>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</si>
  <si>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</si>
  <si>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</si>
  <si>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</si>
  <si>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</si>
  <si>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</si>
  <si>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</si>
  <si>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</si>
  <si>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</si>
  <si>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</si>
  <si>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</si>
  <si>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</si>
  <si>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</si>
  <si>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</si>
  <si>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</si>
  <si>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</si>
  <si>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</si>
  <si>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</si>
  <si>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</si>
  <si>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</si>
  <si>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</si>
  <si>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</si>
  <si>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</si>
  <si>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</si>
  <si>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</si>
  <si>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</si>
  <si>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</si>
  <si>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</si>
  <si>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</si>
  <si>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</si>
  <si>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</si>
  <si>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</si>
  <si>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</si>
  <si>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</si>
  <si>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</si>
  <si>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</si>
  <si>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</si>
  <si>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</si>
  <si>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</si>
  <si>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</si>
  <si>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</si>
  <si>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</si>
  <si>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</si>
  <si>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</si>
  <si>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</si>
  <si>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</si>
  <si>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</si>
  <si>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</si>
  <si>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</si>
  <si>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</si>
  <si>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</si>
  <si>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</si>
  <si>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</si>
  <si>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</si>
  <si>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</si>
  <si>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</si>
  <si>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</si>
  <si>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</si>
  <si>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</si>
  <si>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</si>
  <si>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</si>
  <si>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</si>
  <si>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</si>
  <si>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</si>
  <si>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</si>
  <si>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</si>
  <si>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</si>
  <si>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</si>
  <si>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</si>
  <si>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</si>
  <si>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</si>
  <si>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</si>
  <si>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</si>
  <si>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</si>
  <si>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</si>
  <si>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</si>
  <si>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</si>
  <si>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</si>
  <si>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</si>
  <si>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</si>
  <si>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</si>
  <si>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</si>
  <si>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</si>
  <si>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</si>
  <si>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</si>
  <si>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</si>
  <si>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</si>
  <si>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</si>
  <si>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</si>
  <si>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</si>
  <si>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</si>
  <si>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</si>
  <si>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</si>
  <si>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</si>
  <si>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</si>
  <si>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</si>
  <si>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</si>
  <si>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</si>
  <si>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</si>
  <si>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</si>
  <si>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</si>
  <si>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</si>
  <si>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</si>
  <si>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</si>
  <si>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</si>
  <si>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</si>
  <si>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</si>
  <si>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</si>
  <si>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</si>
  <si>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</si>
  <si>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</si>
  <si>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</si>
  <si>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</si>
  <si>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</si>
  <si>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</si>
  <si>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</si>
  <si>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</si>
  <si>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</si>
  <si>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</si>
  <si>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</si>
  <si>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</si>
  <si>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</si>
  <si>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</si>
  <si>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</si>
  <si>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</si>
  <si>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</si>
  <si>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</si>
  <si>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</si>
  <si>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</si>
  <si>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</si>
  <si>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</si>
  <si>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</si>
  <si>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</si>
  <si>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</si>
  <si>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</si>
  <si>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</si>
  <si>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</si>
  <si>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</si>
  <si>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</si>
  <si>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</si>
  <si>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</si>
  <si>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</si>
  <si>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</si>
  <si>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</si>
  <si>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</si>
  <si>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</si>
  <si>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</si>
  <si>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</si>
  <si>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</si>
  <si>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</si>
  <si>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</si>
  <si>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</si>
  <si>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</si>
  <si>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</si>
  <si>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</si>
  <si>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</si>
  <si>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</si>
  <si>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</si>
  <si>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</si>
  <si>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</si>
  <si>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</si>
  <si>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</si>
  <si>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</si>
  <si>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</si>
  <si>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</si>
  <si>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</si>
  <si>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</si>
  <si>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</si>
  <si>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</si>
  <si>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</si>
  <si>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</si>
  <si>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</si>
  <si>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</si>
  <si>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</si>
  <si>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</si>
  <si>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</si>
  <si>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</si>
  <si>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</si>
  <si>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</si>
  <si>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</si>
  <si>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</si>
  <si>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</si>
  <si>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</si>
  <si>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</si>
  <si>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</si>
  <si>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</si>
  <si>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</si>
  <si>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</si>
  <si>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</si>
  <si>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</si>
  <si>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</si>
  <si>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</si>
  <si>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</si>
  <si>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</si>
  <si>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</si>
  <si>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</si>
  <si>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</si>
  <si>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</si>
  <si>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</si>
  <si>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</si>
  <si>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</si>
  <si>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</si>
  <si>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</si>
  <si>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</si>
  <si>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</si>
  <si>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</si>
  <si>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</si>
  <si>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</si>
  <si>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</si>
  <si>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</si>
  <si>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</si>
  <si>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</si>
  <si>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</si>
  <si>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</si>
  <si>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</si>
  <si>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</si>
  <si>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</si>
  <si>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</si>
  <si>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</si>
  <si>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</si>
  <si>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</si>
  <si>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</si>
  <si>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</si>
  <si>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</si>
  <si>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</si>
  <si>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</si>
  <si>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</si>
  <si>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</si>
  <si>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</si>
  <si>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</si>
  <si>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</si>
  <si>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</si>
  <si>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</si>
  <si>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</si>
  <si>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</si>
  <si>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</si>
  <si>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</si>
  <si>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</si>
  <si>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</si>
  <si>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</si>
  <si>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</si>
  <si>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</si>
  <si>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</si>
  <si>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</si>
  <si>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</si>
  <si>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</si>
  <si>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</si>
  <si>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</si>
  <si>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</si>
  <si>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</si>
  <si>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</si>
  <si>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</si>
  <si>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</si>
  <si>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</si>
  <si>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</si>
  <si>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</si>
  <si>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</si>
  <si>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</si>
  <si>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</si>
  <si>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</si>
  <si>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</si>
  <si>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</si>
  <si>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</si>
  <si>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</si>
  <si>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</si>
  <si>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</si>
  <si>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</si>
  <si>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</si>
  <si>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</si>
  <si>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</si>
  <si>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</si>
  <si>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</si>
  <si>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</si>
  <si>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</si>
  <si>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</si>
  <si>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</si>
  <si>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</si>
  <si>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</si>
  <si>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</si>
  <si>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</si>
  <si>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</si>
  <si>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</si>
  <si>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</si>
  <si>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</si>
  <si>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</si>
  <si>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</si>
  <si>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</si>
  <si>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</si>
  <si>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</si>
  <si>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</si>
  <si>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</si>
  <si>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</si>
  <si>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</si>
  <si>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</si>
  <si>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</si>
  <si>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</si>
  <si>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</si>
  <si>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</si>
  <si>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</si>
  <si>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</si>
  <si>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</si>
  <si>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</si>
  <si>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</si>
  <si>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</si>
  <si>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</si>
  <si>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</si>
  <si>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</si>
  <si>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</si>
  <si>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</si>
  <si>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</si>
  <si>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</si>
  <si>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</si>
  <si>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</si>
  <si>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</si>
  <si>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</si>
  <si>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</si>
  <si>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</si>
  <si>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</si>
  <si>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</si>
  <si>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</si>
  <si>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</si>
  <si>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</si>
  <si>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</si>
  <si>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</si>
  <si>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</si>
  <si>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</si>
  <si>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</si>
  <si>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</si>
  <si>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</si>
  <si>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</si>
  <si>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</si>
  <si>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</si>
  <si>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</si>
  <si>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</si>
  <si>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</si>
  <si>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</si>
  <si>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</si>
  <si>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</si>
  <si>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</si>
  <si>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</si>
  <si>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</si>
  <si>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</si>
  <si>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</si>
  <si>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</si>
  <si>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</si>
  <si>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</si>
  <si>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</si>
  <si>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</si>
  <si>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</si>
  <si>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</si>
  <si>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</si>
  <si>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</si>
  <si>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</si>
  <si>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</si>
  <si>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</si>
  <si>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</si>
  <si>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</si>
  <si>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</si>
  <si>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</si>
  <si>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</si>
  <si>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</si>
  <si>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</si>
  <si>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</si>
  <si>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</si>
  <si>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</si>
  <si>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</si>
  <si>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</si>
  <si>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</si>
  <si>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</si>
  <si>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</si>
  <si>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</si>
  <si>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</si>
  <si>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</si>
  <si>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</si>
  <si>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</si>
  <si>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</si>
  <si>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</si>
  <si>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</si>
  <si>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</si>
  <si>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</si>
  <si>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</si>
  <si>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</si>
  <si>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</si>
  <si>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</si>
  <si>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</si>
  <si>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</si>
  <si>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</si>
  <si>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</si>
  <si>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</si>
  <si>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</si>
  <si>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</si>
  <si>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</si>
  <si>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</si>
  <si>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</si>
  <si>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</si>
  <si>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</si>
  <si>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</si>
  <si>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</si>
  <si>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</si>
  <si>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</si>
  <si>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</si>
  <si>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</si>
  <si>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</si>
  <si>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</si>
  <si>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</si>
  <si>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</si>
  <si>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</si>
  <si>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</si>
  <si>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</si>
  <si>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</si>
  <si>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</si>
  <si>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</si>
  <si>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</si>
  <si>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</si>
  <si>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</si>
  <si>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</si>
  <si>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</si>
  <si>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</si>
  <si>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</si>
  <si>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</si>
  <si>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</si>
  <si>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</si>
  <si>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</si>
  <si>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</si>
  <si>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</si>
  <si>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</si>
  <si>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</si>
  <si>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</si>
  <si>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</si>
  <si>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</si>
  <si>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</si>
  <si>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</si>
  <si>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</si>
  <si>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</si>
  <si>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</si>
  <si>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</si>
  <si>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</si>
  <si>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</si>
  <si>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</si>
  <si>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</si>
  <si>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</si>
  <si>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</si>
  <si>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</si>
  <si>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</si>
  <si>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</si>
  <si>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</si>
  <si>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</si>
  <si>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</si>
  <si>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</si>
  <si>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</si>
  <si>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</si>
  <si>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</si>
  <si>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</si>
  <si>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</si>
  <si>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</si>
  <si>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</si>
  <si>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</si>
  <si>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</si>
  <si>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</si>
  <si>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</si>
  <si>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</si>
  <si>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</si>
  <si>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</si>
  <si>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</si>
  <si>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</si>
  <si>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</si>
  <si>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</si>
  <si>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</si>
  <si>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</si>
  <si>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</si>
  <si>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</si>
  <si>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</si>
  <si>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</si>
  <si>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</si>
  <si>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</si>
  <si>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</si>
  <si>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</si>
  <si>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</si>
  <si>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</si>
  <si>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</si>
  <si>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</si>
  <si>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</si>
  <si>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</si>
  <si>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</si>
  <si>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</si>
  <si>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</si>
  <si>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</si>
  <si>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</si>
  <si>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</si>
  <si>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</si>
  <si>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</si>
  <si>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</si>
  <si>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</si>
  <si>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</si>
  <si>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</si>
  <si>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</si>
  <si>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</si>
  <si>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</si>
  <si>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</si>
  <si>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</si>
  <si>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</si>
  <si>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</si>
  <si>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</si>
  <si>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</si>
  <si>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</si>
  <si>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</si>
  <si>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</si>
  <si>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</si>
  <si>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</si>
  <si>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</si>
  <si>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</si>
  <si>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</si>
  <si>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</si>
  <si>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</si>
  <si>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</si>
  <si>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</si>
  <si>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</si>
  <si>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</si>
  <si>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</si>
  <si>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</si>
  <si>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</si>
  <si>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</si>
  <si>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</si>
  <si>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</si>
  <si>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</si>
  <si>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</si>
  <si>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</si>
  <si>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</si>
  <si>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</si>
  <si>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</si>
  <si>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</si>
  <si>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</si>
  <si>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</si>
  <si>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</si>
  <si>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</si>
  <si>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</si>
  <si>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</si>
  <si>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</si>
  <si>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</si>
  <si>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</si>
  <si>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</si>
  <si>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</si>
  <si>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</si>
  <si>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</si>
  <si>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</si>
  <si>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</si>
  <si>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</si>
  <si>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</si>
  <si>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</si>
  <si>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</si>
  <si>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</si>
  <si>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</si>
  <si>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</si>
  <si>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</si>
  <si>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</si>
  <si>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</si>
  <si>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</si>
  <si>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</si>
  <si>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</si>
  <si>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</si>
  <si>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</si>
  <si>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</si>
  <si>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</si>
  <si>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</si>
  <si>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</si>
  <si>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</si>
  <si>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</si>
  <si>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</si>
  <si>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</si>
  <si>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</si>
  <si>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</si>
  <si>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</si>
  <si>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</si>
  <si>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</si>
  <si>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</si>
  <si>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</si>
  <si>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</si>
  <si>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</si>
  <si>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</si>
  <si>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</si>
  <si>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</si>
  <si>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</si>
  <si>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</si>
  <si>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</si>
  <si>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</si>
  <si>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</si>
  <si>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</si>
  <si>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</si>
  <si>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</si>
  <si>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</si>
  <si>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</si>
  <si>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</si>
  <si>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</si>
  <si>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</si>
  <si>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</si>
  <si>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</si>
  <si>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</si>
  <si>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</si>
  <si>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</si>
  <si>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</si>
  <si>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</si>
  <si>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</si>
  <si>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</si>
  <si>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</si>
  <si>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</si>
  <si>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</si>
  <si>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</si>
  <si>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</si>
  <si>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</si>
  <si>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</si>
  <si>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</si>
  <si>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</si>
  <si>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</si>
  <si>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</si>
  <si>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</si>
  <si>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</si>
  <si>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</si>
  <si>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</si>
  <si>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</si>
  <si>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</si>
  <si>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</si>
  <si>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</si>
  <si>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</si>
  <si>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</si>
  <si>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</si>
  <si>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</si>
  <si>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</si>
  <si>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</si>
  <si>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</si>
  <si>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</si>
  <si>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</si>
  <si>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</si>
  <si>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</si>
  <si>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</si>
  <si>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</si>
  <si>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</si>
  <si>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</si>
  <si>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</si>
  <si>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</si>
  <si>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</si>
  <si>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</si>
  <si>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</si>
  <si>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</si>
  <si>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</si>
  <si>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</si>
  <si>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</si>
  <si>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</si>
  <si>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</si>
  <si>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</si>
  <si>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</si>
  <si>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</si>
  <si>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</si>
  <si>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</si>
  <si>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</si>
  <si>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</si>
  <si>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</si>
  <si>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</si>
  <si>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</si>
  <si>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</si>
  <si>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</si>
  <si>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</si>
  <si>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</si>
  <si>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</si>
  <si>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</si>
  <si>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</si>
  <si>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</si>
  <si>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</si>
  <si>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</si>
  <si>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</si>
  <si>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</si>
  <si>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</si>
  <si>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</si>
  <si>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</si>
  <si>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</si>
  <si>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</si>
  <si>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</si>
  <si>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</si>
  <si>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</si>
  <si>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</si>
  <si>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</si>
  <si>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</si>
  <si>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</si>
  <si>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</si>
  <si>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</si>
  <si>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</si>
  <si>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</si>
  <si>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</si>
  <si>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</si>
  <si>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</si>
  <si>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</si>
  <si>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</si>
  <si>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</si>
  <si>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</si>
  <si>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</si>
  <si>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</si>
  <si>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</si>
  <si>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</si>
  <si>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</si>
  <si>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</si>
  <si>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</si>
  <si>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</si>
  <si>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</si>
  <si>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</si>
  <si>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</si>
  <si>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</si>
  <si>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</si>
  <si>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</si>
  <si>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</si>
  <si>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</si>
  <si>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</si>
  <si>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</si>
  <si>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</si>
  <si>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</si>
  <si>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</si>
  <si>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</si>
  <si>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</si>
  <si>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</si>
  <si>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</si>
  <si>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</si>
  <si>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</si>
  <si>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</si>
  <si>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</si>
  <si>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</si>
  <si>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</si>
  <si>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</si>
  <si>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</si>
  <si>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</si>
  <si>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</si>
  <si>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</si>
  <si>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</si>
  <si>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</si>
  <si>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</si>
  <si>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</si>
  <si>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</si>
  <si>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</si>
  <si>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</si>
  <si>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</si>
  <si>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</si>
  <si>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</si>
  <si>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</si>
  <si>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</si>
  <si>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</si>
  <si>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</si>
  <si>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</si>
  <si>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</si>
  <si>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</si>
  <si>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</si>
  <si>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</si>
  <si>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</si>
  <si>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</si>
  <si>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</si>
  <si>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</si>
  <si>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</si>
  <si>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</si>
  <si>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</si>
  <si>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</si>
  <si>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</si>
  <si>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</si>
  <si>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</si>
  <si>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</si>
  <si>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</si>
  <si>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</si>
  <si>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</si>
  <si>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</si>
  <si>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</si>
  <si>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</si>
  <si>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</si>
  <si>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</si>
  <si>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</si>
  <si>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</si>
  <si>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</si>
  <si>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</si>
  <si>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</si>
  <si>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</si>
  <si>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</si>
  <si>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</si>
  <si>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</si>
  <si>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</si>
  <si>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</si>
  <si>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</si>
  <si>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</si>
  <si>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</si>
  <si>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</si>
  <si>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</si>
  <si>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</si>
  <si>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</si>
  <si>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</si>
  <si>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</si>
  <si>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</si>
  <si>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</si>
  <si>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</si>
  <si>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</si>
  <si>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</si>
  <si>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</si>
  <si>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</si>
  <si>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</si>
  <si>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</si>
  <si>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</si>
  <si>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</si>
  <si>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</si>
  <si>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</si>
  <si>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</si>
  <si>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</si>
  <si>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</si>
  <si>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</si>
  <si>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</si>
  <si>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</si>
  <si>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</si>
  <si>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</si>
  <si>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</si>
  <si>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</si>
  <si>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</si>
  <si>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</si>
  <si>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</si>
  <si>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</si>
  <si>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</si>
  <si>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</si>
  <si>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</si>
  <si>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</si>
  <si>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</si>
  <si>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</si>
  <si>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</si>
  <si>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</si>
  <si>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</si>
  <si>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</si>
  <si>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</si>
  <si>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</si>
  <si>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</si>
  <si>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</si>
  <si>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</si>
  <si>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</si>
  <si>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</si>
  <si>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</si>
  <si>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</si>
  <si>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</si>
  <si>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</si>
  <si>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</si>
  <si>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</si>
  <si>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</si>
  <si>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</si>
  <si>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</si>
  <si>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</si>
  <si>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</si>
  <si>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</si>
  <si>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</si>
  <si>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</si>
  <si>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</si>
  <si>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</si>
  <si>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</si>
  <si>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</si>
  <si>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</si>
  <si>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</si>
  <si>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</si>
  <si>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</si>
  <si>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</si>
  <si>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</si>
  <si>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</si>
  <si>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</si>
  <si>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</si>
  <si>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</si>
  <si>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</si>
  <si>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</si>
  <si>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</si>
  <si>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</si>
  <si>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</si>
  <si>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</si>
  <si>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</si>
  <si>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</si>
  <si>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</si>
  <si>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</si>
  <si>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</si>
  <si>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</si>
  <si>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</si>
  <si>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</si>
  <si>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</si>
  <si>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</si>
  <si>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</si>
  <si>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</si>
  <si>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</si>
  <si>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</si>
  <si>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</si>
  <si>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</si>
  <si>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</si>
  <si>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</si>
  <si>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</si>
  <si>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</si>
  <si>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</si>
  <si>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</si>
  <si>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</si>
  <si>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</si>
  <si>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</si>
  <si>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</si>
  <si>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</si>
  <si>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</si>
  <si>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</si>
  <si>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</si>
  <si>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</si>
  <si>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</si>
  <si>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</si>
  <si>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</si>
  <si>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</si>
  <si>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</si>
  <si>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</si>
  <si>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</si>
  <si>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</si>
  <si>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</si>
  <si>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</si>
  <si>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</si>
  <si>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</si>
  <si>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</si>
  <si>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</si>
  <si>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</si>
  <si>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</si>
  <si>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</si>
  <si>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</si>
  <si>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</si>
  <si>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</si>
  <si>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</si>
  <si>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</si>
  <si>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</si>
  <si>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</si>
  <si>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</si>
  <si>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</si>
  <si>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</si>
  <si>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</si>
  <si>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</si>
  <si>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</si>
  <si>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</si>
  <si>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</si>
  <si>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</si>
  <si>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</si>
  <si>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</si>
  <si>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</si>
  <si>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</si>
  <si>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</si>
  <si>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</si>
  <si>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</si>
  <si>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</si>
  <si>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</si>
  <si>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</si>
  <si>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</si>
  <si>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</si>
  <si>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</si>
  <si>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</si>
  <si>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</si>
  <si>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</si>
  <si>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</si>
  <si>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</si>
  <si>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</si>
  <si>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</si>
  <si>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</si>
  <si>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</si>
  <si>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</si>
  <si>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</si>
  <si>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</si>
  <si>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</si>
  <si>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</si>
  <si>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</si>
  <si>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</si>
  <si>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</si>
  <si>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</si>
  <si>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</si>
  <si>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</si>
  <si>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</si>
  <si>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</si>
  <si>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</si>
  <si>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</si>
  <si>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</si>
  <si>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</si>
  <si>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</si>
  <si>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</si>
  <si>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</si>
  <si>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</si>
  <si>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</si>
  <si>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</si>
  <si>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</si>
  <si>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</si>
  <si>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</si>
  <si>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</si>
  <si>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</si>
  <si>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</si>
  <si>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</si>
  <si>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</si>
  <si>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</si>
  <si>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</si>
  <si>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</si>
  <si>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</si>
  <si>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</si>
  <si>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</si>
  <si>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</si>
  <si>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</si>
  <si>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</si>
  <si>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</si>
  <si>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</si>
  <si>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</si>
  <si>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</si>
  <si>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</si>
  <si>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</si>
  <si>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</si>
  <si>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</si>
  <si>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</si>
  <si>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</si>
  <si>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</si>
  <si>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</si>
  <si>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</si>
  <si>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</si>
  <si>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</si>
  <si>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</si>
  <si>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</si>
  <si>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</si>
  <si>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</si>
  <si>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</si>
  <si>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</si>
  <si>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</si>
  <si>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</si>
  <si>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</si>
  <si>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</si>
  <si>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</si>
  <si>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</si>
  <si>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</si>
  <si>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</si>
  <si>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</si>
  <si>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</si>
  <si>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</si>
  <si>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</si>
  <si>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</si>
  <si>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</si>
  <si>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</si>
  <si>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</si>
  <si>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</si>
  <si>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</si>
  <si>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</si>
  <si>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</si>
  <si>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</si>
  <si>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</si>
  <si>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</si>
  <si>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</si>
  <si>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</si>
  <si>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</si>
  <si>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</si>
  <si>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</si>
  <si>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</si>
  <si>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</si>
  <si>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</si>
  <si>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</si>
  <si>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</si>
  <si>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</si>
  <si>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</si>
  <si>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</si>
  <si>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</si>
  <si>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</si>
  <si>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</si>
  <si>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</si>
  <si>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</si>
  <si>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</si>
  <si>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</si>
  <si>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</si>
  <si>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</si>
  <si>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</si>
  <si>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</si>
  <si>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</si>
  <si>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</si>
  <si>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</si>
  <si>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</si>
  <si>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</si>
  <si>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</si>
  <si>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</si>
  <si>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</si>
  <si>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</si>
  <si>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</si>
  <si>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</si>
  <si>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</si>
  <si>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</si>
  <si>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</si>
  <si>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</si>
  <si>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</si>
  <si>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</si>
  <si>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</si>
  <si>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</si>
  <si>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</si>
  <si>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</si>
  <si>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</si>
  <si>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</si>
  <si>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</si>
  <si>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</si>
  <si>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</si>
  <si>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</si>
  <si>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</si>
  <si>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</si>
  <si>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</si>
  <si>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</si>
  <si>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</si>
  <si>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</si>
  <si>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</si>
  <si>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</si>
  <si>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</si>
  <si>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</si>
  <si>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</si>
  <si>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</si>
  <si>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</si>
  <si>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</si>
  <si>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</si>
  <si>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</si>
  <si>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</si>
  <si>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</si>
  <si>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</si>
  <si>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</si>
  <si>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</si>
  <si>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</si>
  <si>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</si>
  <si>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</si>
  <si>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</si>
  <si>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</si>
  <si>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</si>
  <si>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</si>
  <si>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</si>
  <si>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</si>
  <si>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</si>
  <si>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</si>
  <si>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</si>
  <si>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</si>
  <si>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</si>
  <si>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</si>
  <si>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</si>
  <si>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</si>
  <si>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</si>
  <si>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</si>
  <si>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</si>
  <si>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</si>
  <si>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</si>
  <si>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</si>
  <si>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</si>
  <si>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</si>
  <si>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</si>
  <si>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</si>
  <si>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</si>
  <si>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</si>
  <si>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</si>
  <si>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</si>
  <si>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</si>
  <si>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</si>
  <si>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</si>
  <si>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</si>
  <si>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</si>
  <si>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</si>
  <si>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</si>
  <si>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</si>
  <si>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</si>
  <si>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</si>
  <si>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</si>
  <si>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</si>
  <si>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</si>
  <si>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</si>
  <si>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</si>
  <si>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</si>
  <si>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</si>
  <si>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</si>
  <si>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</si>
  <si>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</si>
  <si>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</si>
  <si>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</si>
  <si>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</si>
  <si>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</si>
  <si>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</si>
  <si>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</si>
  <si>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</si>
  <si>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</si>
  <si>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</si>
  <si>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</si>
  <si>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</si>
  <si>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</si>
  <si>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</si>
  <si>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</si>
  <si>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</si>
  <si>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</si>
  <si>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</si>
  <si>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</si>
  <si>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</si>
  <si>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</si>
  <si>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</si>
  <si>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</si>
  <si>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</si>
  <si>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</si>
  <si>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</si>
  <si>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</si>
  <si>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</si>
  <si>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</si>
  <si>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</si>
  <si>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</si>
  <si>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</si>
  <si>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</si>
  <si>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</si>
  <si>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</si>
  <si>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</si>
  <si>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</si>
  <si>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</si>
  <si>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</si>
  <si>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</si>
  <si>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</si>
  <si>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</si>
  <si>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</si>
  <si>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</si>
  <si>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</si>
  <si>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</si>
  <si>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</si>
  <si>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</si>
  <si>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</si>
  <si>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</si>
  <si>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</si>
  <si>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</si>
  <si>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</si>
  <si>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</si>
  <si>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</si>
  <si>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</si>
  <si>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</si>
  <si>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</si>
  <si>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</si>
  <si>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</si>
  <si>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</si>
  <si>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</si>
  <si>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</si>
  <si>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</si>
  <si>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</si>
  <si>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</si>
  <si>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</si>
  <si>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</si>
  <si>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</si>
  <si>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</si>
  <si>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</si>
  <si>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</si>
  <si>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</si>
  <si>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</si>
  <si>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</si>
  <si>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</si>
  <si>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</si>
  <si>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</si>
  <si>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</si>
  <si>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</si>
  <si>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</si>
  <si>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</si>
  <si>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</si>
  <si>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</si>
  <si>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</si>
  <si>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</si>
  <si>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</si>
  <si>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</si>
  <si>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</si>
  <si>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</si>
  <si>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</si>
  <si>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</si>
  <si>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</si>
  <si>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</si>
  <si>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</si>
  <si>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</si>
  <si>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</si>
  <si>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</si>
  <si>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</si>
  <si>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</si>
  <si>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</si>
  <si>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</si>
  <si>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</si>
  <si>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</si>
  <si>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</si>
  <si>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</si>
  <si>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</si>
  <si>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</si>
  <si>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</si>
  <si>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</si>
  <si>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</si>
  <si>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</si>
  <si>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</si>
  <si>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</si>
  <si>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</si>
  <si>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</si>
  <si>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</si>
  <si>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</si>
  <si>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</si>
  <si>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</si>
  <si>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</si>
  <si>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</si>
  <si>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</si>
  <si>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</si>
  <si>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</si>
  <si>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</si>
  <si>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</si>
  <si>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</si>
  <si>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</si>
  <si>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</si>
  <si>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</si>
  <si>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</si>
  <si>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</si>
  <si>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</si>
  <si>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</si>
  <si>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</si>
  <si>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</si>
  <si>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</si>
  <si>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</si>
  <si>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</si>
  <si>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</si>
  <si>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</si>
  <si>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</si>
  <si>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</si>
  <si>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</si>
  <si>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</si>
  <si>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</si>
  <si>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</si>
  <si>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</si>
  <si>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</si>
  <si>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</si>
  <si>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</si>
  <si>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</si>
  <si>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</si>
  <si>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</si>
  <si>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</si>
  <si>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</si>
  <si>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</si>
  <si>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</si>
  <si>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</si>
  <si>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</si>
  <si>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</si>
  <si>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</si>
  <si>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</si>
  <si>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</si>
  <si>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</si>
  <si>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</si>
  <si>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</si>
  <si>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</si>
  <si>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</si>
  <si>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</si>
  <si>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</si>
  <si>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</si>
  <si>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</si>
  <si>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</si>
  <si>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</si>
  <si>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</si>
  <si>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</si>
  <si>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</si>
  <si>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</si>
  <si>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</si>
  <si>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</si>
  <si>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</si>
  <si>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</si>
  <si>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</si>
  <si>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</si>
  <si>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</si>
  <si>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</si>
  <si>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</si>
  <si>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</si>
  <si>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</si>
  <si>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</si>
  <si>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</si>
  <si>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</si>
  <si>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</si>
  <si>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</si>
  <si>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</si>
  <si>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</si>
  <si>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</si>
  <si>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</si>
  <si>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</si>
  <si>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</si>
  <si>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</si>
  <si>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</si>
  <si>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</si>
  <si>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</si>
  <si>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</si>
  <si>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</si>
  <si>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</si>
  <si>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</si>
  <si>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</si>
  <si>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</si>
  <si>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</si>
  <si>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</si>
  <si>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</si>
  <si>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</si>
  <si>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</si>
  <si>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</si>
  <si>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</si>
  <si>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</si>
  <si>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</si>
  <si>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</si>
  <si>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</si>
  <si>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</si>
  <si>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</si>
  <si>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</si>
  <si>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</si>
  <si>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</si>
  <si>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</si>
  <si>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</si>
  <si>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</si>
  <si>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</si>
  <si>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</si>
  <si>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</si>
  <si>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</si>
  <si>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</si>
  <si>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</si>
  <si>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</si>
  <si>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</si>
  <si>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</si>
  <si>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</si>
  <si>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</si>
  <si>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</si>
  <si>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</si>
  <si>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</si>
  <si>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</si>
  <si>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</si>
  <si>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</si>
  <si>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</si>
  <si>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</si>
  <si>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</si>
  <si>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</si>
  <si>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</si>
  <si>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</si>
  <si>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</si>
  <si>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</si>
  <si>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</si>
  <si>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</si>
  <si>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</si>
  <si>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</si>
  <si>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</si>
  <si>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</si>
  <si>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</si>
  <si>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</si>
  <si>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</si>
  <si>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</si>
  <si>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</si>
  <si>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</si>
  <si>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</si>
  <si>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</si>
  <si>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</si>
  <si>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</si>
  <si>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</si>
  <si>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</si>
  <si>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</si>
  <si>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</si>
  <si>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</si>
  <si>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</si>
  <si>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</si>
  <si>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</si>
  <si>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</si>
  <si>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</si>
  <si>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</si>
  <si>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</si>
  <si>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</si>
  <si>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</si>
  <si>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</si>
  <si>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</si>
  <si>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</si>
  <si>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</si>
  <si>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</si>
  <si>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</si>
  <si>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</si>
  <si>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</si>
  <si>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</si>
  <si>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</si>
  <si>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</si>
  <si>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</si>
  <si>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</si>
  <si>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</si>
  <si>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</si>
  <si>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</si>
  <si>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</si>
  <si>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</si>
  <si>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</si>
  <si>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</si>
  <si>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</si>
  <si>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</si>
  <si>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</si>
  <si>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</si>
  <si>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</si>
  <si>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</si>
  <si>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</si>
  <si>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</si>
  <si>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</si>
  <si>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</si>
  <si>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</si>
  <si>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</si>
  <si>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</si>
  <si>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</si>
  <si>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</si>
  <si>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</si>
  <si>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</si>
  <si>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</si>
  <si>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</si>
  <si>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</si>
  <si>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</si>
  <si>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</si>
  <si>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</si>
  <si>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</si>
  <si>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</si>
  <si>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</si>
  <si>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</si>
  <si>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</si>
  <si>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</si>
  <si>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</si>
  <si>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</si>
  <si>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</si>
  <si>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</si>
  <si>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</si>
  <si>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</si>
  <si>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</si>
  <si>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</si>
  <si>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</si>
  <si>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</si>
  <si>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</si>
  <si>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</si>
  <si>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</si>
  <si>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</si>
  <si>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</si>
  <si>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</si>
  <si>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</si>
  <si>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</si>
  <si>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</si>
  <si>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</si>
  <si>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</si>
  <si>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</si>
  <si>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</si>
  <si>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</si>
  <si>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</si>
  <si>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</si>
  <si>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</si>
  <si>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</si>
  <si>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</si>
  <si>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</si>
  <si>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</si>
  <si>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</si>
  <si>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</si>
  <si>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</si>
  <si>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</si>
  <si>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</si>
  <si>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</si>
  <si>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</si>
  <si>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</si>
  <si>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</si>
  <si>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</si>
  <si>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</si>
  <si>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</si>
  <si>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</si>
  <si>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</si>
  <si>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</si>
  <si>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</si>
  <si>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</si>
  <si>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</si>
  <si>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</si>
  <si>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</si>
  <si>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</si>
  <si>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</si>
  <si>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</si>
  <si>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</si>
  <si>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</si>
  <si>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</si>
  <si>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</si>
  <si>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</si>
  <si>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</si>
  <si>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</si>
  <si>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</si>
  <si>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</si>
  <si>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</si>
  <si>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</si>
  <si>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</si>
  <si>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</si>
  <si>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</si>
  <si>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</si>
  <si>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</si>
  <si>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</si>
  <si>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</si>
  <si>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</si>
  <si>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</si>
  <si>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</si>
  <si>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</si>
  <si>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</si>
  <si>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</si>
  <si>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</si>
  <si>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</si>
  <si>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</si>
  <si>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</si>
  <si>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</si>
  <si>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</si>
  <si>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</si>
  <si>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</si>
  <si>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</si>
  <si>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</si>
  <si>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</si>
  <si>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</si>
  <si>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</si>
  <si>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</si>
  <si>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</si>
  <si>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</si>
  <si>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</si>
  <si>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</si>
  <si>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</si>
  <si>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</si>
  <si>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</si>
  <si>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</si>
  <si>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</si>
  <si>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</si>
  <si>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</si>
  <si>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</si>
  <si>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</si>
  <si>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</si>
  <si>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</si>
  <si>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</si>
  <si>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</si>
  <si>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</si>
  <si>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</si>
  <si>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</si>
  <si>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</si>
  <si>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</si>
  <si>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</si>
  <si>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</si>
  <si>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</si>
  <si>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</si>
  <si>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</si>
  <si>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</si>
  <si>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</si>
  <si>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</si>
  <si>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</si>
  <si>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</si>
  <si>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</si>
  <si>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</si>
  <si>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</si>
  <si>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</si>
  <si>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</si>
  <si>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</si>
  <si>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</si>
  <si>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</si>
  <si>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</si>
  <si>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</si>
  <si>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</si>
  <si>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</si>
  <si>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</si>
  <si>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</si>
  <si>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</si>
  <si>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</si>
  <si>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</si>
  <si>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</si>
  <si>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</si>
  <si>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</si>
  <si>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</si>
  <si>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</si>
  <si>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</si>
  <si>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</si>
  <si>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</si>
  <si>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</si>
  <si>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</si>
  <si>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</si>
  <si>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</si>
  <si>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</si>
  <si>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</si>
  <si>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</si>
  <si>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</si>
  <si>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</si>
  <si>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</si>
  <si>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</si>
  <si>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</si>
  <si>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</si>
  <si>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</si>
  <si>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</si>
  <si>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</si>
  <si>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</si>
  <si>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</si>
  <si>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</si>
  <si>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</si>
  <si>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</si>
  <si>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</si>
  <si>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</si>
  <si>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</si>
  <si>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</si>
  <si>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</si>
  <si>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</si>
  <si>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</si>
  <si>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</si>
  <si>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</si>
  <si>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</si>
  <si>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</si>
  <si>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</si>
  <si>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</si>
  <si>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</si>
  <si>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</si>
  <si>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</si>
  <si>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</si>
  <si>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</si>
  <si>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</si>
  <si>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</si>
  <si>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</si>
  <si>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</si>
  <si>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</si>
  <si>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</si>
  <si>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</si>
  <si>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</si>
  <si>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</si>
  <si>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</si>
  <si>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</si>
  <si>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</si>
  <si>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</si>
  <si>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</si>
  <si>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</si>
  <si>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</si>
  <si>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</si>
  <si>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</si>
  <si>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</si>
  <si>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</si>
  <si>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</si>
  <si>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</si>
  <si>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</si>
  <si>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</si>
  <si>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</si>
  <si>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</si>
  <si>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</si>
  <si>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</si>
  <si>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</si>
  <si>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</si>
  <si>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</si>
  <si>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</si>
  <si>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</si>
  <si>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</si>
  <si>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</si>
  <si>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</si>
  <si>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</si>
  <si>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</si>
  <si>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</si>
  <si>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</si>
  <si>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</si>
  <si>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</si>
  <si>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</si>
  <si>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</si>
  <si>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</si>
  <si>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</si>
  <si>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</si>
  <si>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</si>
  <si>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</si>
  <si>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</si>
  <si>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</si>
  <si>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</si>
  <si>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</si>
  <si>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</si>
  <si>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</si>
  <si>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</si>
  <si>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</si>
  <si>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</si>
  <si>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</si>
  <si>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</si>
  <si>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</si>
  <si>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</si>
  <si>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</si>
  <si>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</si>
  <si>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</si>
  <si>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</si>
  <si>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</si>
  <si>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</si>
  <si>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</si>
  <si>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</si>
  <si>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</si>
  <si>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</si>
  <si>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</si>
  <si>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</si>
  <si>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</si>
  <si>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</si>
  <si>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</si>
  <si>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</si>
  <si>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</si>
  <si>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</si>
  <si>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</si>
  <si>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</si>
  <si>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</si>
  <si>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</si>
  <si>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</si>
  <si>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</si>
  <si>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</si>
  <si>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</si>
  <si>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</si>
  <si>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</si>
  <si>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</si>
  <si>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</si>
  <si>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</si>
  <si>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</si>
  <si>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</si>
  <si>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</si>
  <si>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</si>
  <si>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</si>
  <si>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</si>
  <si>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</si>
  <si>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</si>
  <si>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</si>
  <si>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</si>
  <si>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</si>
  <si>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</si>
  <si>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</si>
  <si>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</si>
  <si>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</si>
  <si>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</si>
  <si>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</si>
  <si>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</si>
  <si>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</si>
  <si>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</si>
  <si>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</si>
  <si>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</si>
  <si>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</si>
  <si>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</si>
  <si>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</si>
  <si>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</si>
  <si>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</si>
  <si>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</si>
  <si>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</si>
  <si>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</si>
  <si>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</si>
  <si>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</si>
  <si>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</si>
  <si>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</si>
  <si>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</si>
  <si>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</si>
  <si>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</si>
  <si>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</si>
  <si>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</si>
  <si>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</si>
  <si>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</si>
  <si>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</si>
  <si>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</si>
  <si>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</si>
  <si>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</si>
  <si>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</si>
  <si>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</si>
  <si>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</si>
  <si>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</si>
  <si>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</si>
  <si>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</si>
  <si>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</si>
  <si>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</si>
  <si>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</si>
  <si>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</si>
  <si>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</si>
  <si>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</si>
  <si>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</si>
  <si>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</si>
  <si>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</si>
  <si>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</si>
  <si>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</si>
  <si>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</si>
  <si>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</si>
  <si>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</si>
  <si>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</si>
  <si>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</si>
  <si>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</si>
  <si>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</si>
  <si>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</si>
  <si>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</si>
  <si>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</si>
  <si>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</si>
  <si>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</si>
  <si>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</si>
  <si>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</si>
  <si>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</si>
  <si>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</si>
  <si>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</si>
  <si>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</si>
  <si>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</si>
  <si>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</si>
  <si>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</si>
  <si>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</si>
  <si>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</si>
  <si>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</si>
  <si>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</si>
  <si>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</si>
  <si>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</si>
  <si>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</si>
  <si>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</si>
  <si>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</si>
  <si>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</si>
  <si>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</si>
  <si>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</si>
  <si>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</si>
  <si>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</si>
  <si>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</si>
  <si>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</si>
  <si>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</si>
  <si>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</si>
  <si>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</si>
  <si>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</si>
  <si>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</si>
  <si>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</si>
  <si>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</si>
  <si>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</si>
  <si>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</si>
  <si>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</si>
  <si>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</si>
  <si>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</si>
  <si>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</si>
  <si>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</si>
  <si>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</si>
  <si>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</si>
  <si>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</si>
  <si>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</si>
  <si>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</si>
  <si>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</si>
  <si>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</si>
  <si>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</si>
  <si>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</si>
  <si>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</si>
  <si>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</si>
  <si>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</si>
  <si>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</si>
  <si>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</si>
  <si>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</si>
  <si>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</si>
  <si>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</si>
  <si>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</si>
  <si>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</si>
  <si>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</si>
  <si>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</si>
  <si>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</si>
  <si>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</si>
  <si>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</si>
  <si>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</si>
  <si>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</si>
  <si>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</si>
  <si>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</si>
  <si>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</si>
  <si>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</si>
  <si>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</si>
  <si>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</si>
  <si>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</si>
  <si>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</si>
  <si>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</si>
  <si>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</si>
  <si>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</si>
  <si>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</si>
  <si>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</si>
  <si>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</si>
  <si>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</si>
  <si>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</si>
  <si>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</si>
  <si>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</si>
  <si>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</si>
  <si>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</si>
  <si>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</si>
  <si>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</si>
  <si>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</si>
  <si>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</si>
  <si>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</si>
  <si>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</si>
  <si>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</si>
  <si>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</si>
  <si>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</si>
  <si>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</si>
  <si>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</si>
  <si>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</si>
  <si>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</si>
  <si>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</si>
  <si>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</si>
  <si>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</si>
  <si>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</si>
  <si>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</si>
  <si>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</si>
  <si>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</si>
  <si>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</si>
  <si>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</si>
  <si>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</si>
  <si>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</si>
  <si>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</si>
  <si>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</si>
  <si>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</si>
  <si>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</si>
  <si>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</si>
  <si>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</si>
  <si>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</si>
  <si>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</si>
  <si>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</si>
  <si>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</si>
  <si>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</si>
  <si>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</si>
  <si>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</si>
  <si>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</si>
  <si>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</si>
  <si>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</si>
  <si>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</si>
  <si>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</si>
  <si>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</si>
  <si>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</si>
  <si>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</si>
  <si>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</si>
  <si>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</si>
  <si>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</si>
  <si>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</si>
  <si>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</si>
  <si>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</si>
  <si>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</si>
  <si>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</si>
  <si>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</si>
  <si>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</si>
  <si>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</si>
  <si>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</si>
  <si>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</si>
  <si>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</si>
  <si>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</si>
  <si>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</si>
  <si>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</si>
  <si>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</si>
  <si>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</si>
  <si>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</si>
  <si>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</si>
  <si>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</si>
  <si>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</si>
  <si>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</si>
  <si>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</si>
  <si>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</si>
  <si>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</si>
  <si>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</si>
  <si>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</si>
  <si>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</si>
  <si>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</si>
  <si>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</si>
  <si>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</si>
  <si>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</si>
  <si>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</si>
  <si>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</si>
  <si>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</si>
  <si>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</si>
  <si>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</si>
  <si>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</si>
  <si>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</si>
  <si>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</si>
  <si>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</si>
  <si>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</si>
  <si>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</si>
  <si>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</si>
  <si>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</si>
  <si>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</si>
  <si>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</si>
  <si>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</si>
  <si>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</si>
  <si>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</si>
  <si>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</si>
  <si>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</si>
  <si>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</si>
  <si>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</si>
  <si>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</si>
  <si>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</si>
  <si>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</si>
  <si>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</si>
  <si>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</si>
  <si>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</si>
  <si>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</si>
  <si>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</si>
  <si>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</si>
  <si>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</si>
  <si>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</si>
  <si>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</si>
  <si>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</si>
  <si>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</si>
  <si>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</si>
  <si>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</si>
  <si>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</si>
  <si>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</si>
  <si>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</si>
  <si>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</si>
  <si>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</si>
  <si>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</si>
  <si>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</si>
  <si>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</si>
  <si>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</si>
  <si>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</si>
  <si>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</si>
  <si>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</si>
  <si>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</si>
  <si>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</si>
  <si>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</si>
  <si>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</si>
  <si>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</si>
  <si>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</si>
  <si>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</si>
  <si>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</si>
  <si>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</si>
  <si>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</si>
  <si>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</si>
  <si>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</si>
  <si>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</si>
  <si>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</si>
  <si>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</si>
  <si>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</si>
  <si>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</si>
  <si>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</si>
  <si>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</si>
  <si>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</si>
  <si>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</si>
  <si>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</si>
  <si>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</si>
  <si>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</si>
  <si>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</si>
  <si>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</si>
  <si>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</si>
  <si>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</si>
  <si>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</si>
  <si>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</si>
  <si>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</si>
  <si>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</si>
  <si>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</si>
  <si>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</si>
  <si>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</si>
  <si>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</si>
  <si>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</si>
  <si>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</si>
  <si>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</si>
  <si>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</si>
  <si>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</si>
  <si>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</si>
  <si>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</si>
  <si>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</si>
  <si>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</si>
  <si>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</si>
  <si>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</si>
  <si>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</si>
  <si>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</si>
  <si>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</si>
  <si>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</si>
  <si>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</si>
  <si>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</si>
  <si>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</si>
  <si>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</si>
  <si>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</si>
  <si>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</si>
  <si>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</si>
  <si>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</si>
  <si>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</si>
  <si>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</si>
  <si>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</si>
  <si>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</si>
  <si>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</si>
  <si>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</si>
  <si>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</si>
  <si>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</si>
  <si>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</si>
  <si>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</si>
  <si>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</si>
  <si>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</si>
  <si>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</si>
  <si>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</si>
  <si>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</si>
  <si>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</si>
  <si>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</si>
  <si>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</si>
  <si>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浙江省嘉兴市海宁市</t>
    <phoneticPr fontId="6" type="noConversion"/>
  </si>
  <si>
    <t>尖山新区闻澜路南侧、静夜路西侧</t>
    <phoneticPr fontId="6" type="noConversion"/>
  </si>
  <si>
    <t>2星</t>
  </si>
  <si>
    <t>40年</t>
  </si>
  <si>
    <t>海宁金易达房地产有限公司</t>
  </si>
  <si>
    <t>已成交</t>
  </si>
  <si>
    <t>海土告字[2016]16号-6</t>
  </si>
  <si>
    <t>2016-10-11</t>
  </si>
  <si>
    <t>2016-09-22</t>
  </si>
  <si>
    <t>2016-09-07</t>
  </si>
  <si>
    <t>开工中</t>
  </si>
  <si>
    <t>≤40%</t>
  </si>
  <si>
    <t>≥1.4且≤1.7</t>
  </si>
  <si>
    <t>其他商服用地</t>
  </si>
  <si>
    <t>海土字16257号</t>
  </si>
  <si>
    <t>挂牌</t>
  </si>
  <si>
    <t>海宁经济开发区碧云路西侧、石泾路北侧</t>
  </si>
  <si>
    <t>海宁市</t>
  </si>
  <si>
    <t>商业/办公用地</t>
  </si>
  <si>
    <t>嘉兴市</t>
  </si>
  <si>
    <t>海宁市中国石化经营有限公司</t>
  </si>
  <si>
    <t>海土告字[2016]16号-1</t>
  </si>
  <si>
    <t>≤0.8</t>
  </si>
  <si>
    <t>批发零售用地</t>
  </si>
  <si>
    <t>海土字16068号</t>
  </si>
  <si>
    <t>海宁经济开发区盐湖公路南侧、环东路西侧</t>
  </si>
  <si>
    <t>海宁市人泰液化气有限公司</t>
  </si>
  <si>
    <t>海土告字[2016]19号-2</t>
  </si>
  <si>
    <t>2016-11-11</t>
  </si>
  <si>
    <t>2016-10-31</t>
  </si>
  <si>
    <t>2016-10-14</t>
  </si>
  <si>
    <t>≤30%</t>
  </si>
  <si>
    <t>海土字16289号</t>
  </si>
  <si>
    <t>长安镇水桥港东侧、仰山路西侧</t>
  </si>
  <si>
    <t>3星</t>
  </si>
  <si>
    <t>海宁市农副产品批发市场有限公司</t>
  </si>
  <si>
    <t>海土告字[2016]19号-4</t>
  </si>
  <si>
    <t>≤50%</t>
  </si>
  <si>
    <t>1≤且≤1.2</t>
  </si>
  <si>
    <t>海土字16306号</t>
  </si>
  <si>
    <t>联合路南侧规划道路西侧</t>
  </si>
  <si>
    <t>浙江名门建筑装饰工程有限公司</t>
  </si>
  <si>
    <t>海土告字[2016]23号-2</t>
  </si>
  <si>
    <t>2017-01-06</t>
  </si>
  <si>
    <t>2016-12-23</t>
  </si>
  <si>
    <t>2016-12-05</t>
  </si>
  <si>
    <t>≥1.2且≤1.3</t>
  </si>
  <si>
    <t>海土字16362号</t>
  </si>
  <si>
    <t>市区赞山路南侧、碧云路西侧</t>
  </si>
  <si>
    <t>1星</t>
  </si>
  <si>
    <t>海土告字[2017]001号-2</t>
  </si>
  <si>
    <t>2017-02-15</t>
  </si>
  <si>
    <t>2017-01-25</t>
  </si>
  <si>
    <t>海土字16314号</t>
  </si>
  <si>
    <t>硖石街道08省道东侧、江南大道南侧</t>
  </si>
  <si>
    <t>海宁市海洲街道伊桥股份经济合作社</t>
  </si>
  <si>
    <t>海土告字[2017]001号-7</t>
  </si>
  <si>
    <t>≤35%</t>
  </si>
  <si>
    <t>≥2且≤2.5</t>
  </si>
  <si>
    <t>海土字16382号</t>
  </si>
  <si>
    <t>海洲街道联合路北侧、广顺路东侧</t>
  </si>
  <si>
    <t>浙江圣尼皮革时装有限公司</t>
  </si>
  <si>
    <t>海土告字[2017]001号-8</t>
  </si>
  <si>
    <t>等于0.01</t>
  </si>
  <si>
    <t>海土字16383号</t>
  </si>
  <si>
    <t>海洲街道圣尼西侧、联合路南侧</t>
  </si>
  <si>
    <t>海宁东誉置业有限公司</t>
  </si>
  <si>
    <t>海土告字[2017]2号-10</t>
  </si>
  <si>
    <t>2017-02-28</t>
  </si>
  <si>
    <t>2017-01-26</t>
  </si>
  <si>
    <t>≤38%</t>
  </si>
  <si>
    <t>≥1.8且≤2.1</t>
  </si>
  <si>
    <t>商务金融用地</t>
  </si>
  <si>
    <t>海土字17003号</t>
  </si>
  <si>
    <t>许村镇人民大道北侧、崇文路东侧</t>
  </si>
  <si>
    <t>浙江诚创建设有限公司</t>
  </si>
  <si>
    <t>海土告字[2017]7号-10</t>
  </si>
  <si>
    <t>2017-06-02</t>
  </si>
  <si>
    <t>2017-05-19</t>
  </si>
  <si>
    <t>2017-05-05</t>
  </si>
  <si>
    <t>≥1.3且≤1.5</t>
  </si>
  <si>
    <t>海土字17123号</t>
  </si>
  <si>
    <t>长安镇修川路西侧</t>
  </si>
  <si>
    <t>海宁鹃湖置业有限公司</t>
  </si>
  <si>
    <t>海土告字[2017]7号-9</t>
  </si>
  <si>
    <t>≤45%</t>
  </si>
  <si>
    <t>≥1.5且≤2</t>
  </si>
  <si>
    <t>海土字17119号</t>
  </si>
  <si>
    <t>文苑路西侧江南大道南侧</t>
  </si>
  <si>
    <t>浙江路易房地产开发有限公司</t>
  </si>
  <si>
    <t>海土告字[2017]10号-2</t>
  </si>
  <si>
    <t>2017-06-30</t>
  </si>
  <si>
    <t>2017-06-19</t>
  </si>
  <si>
    <t>2017-05-31</t>
  </si>
  <si>
    <t>≤45</t>
  </si>
  <si>
    <t>≥1.3且≤1.6</t>
  </si>
  <si>
    <t>海土字17107号</t>
  </si>
  <si>
    <t>尖山新区潮起路西侧、富江路北侧</t>
  </si>
  <si>
    <t>海宁市长安运河古镇投资管理有限公司</t>
  </si>
  <si>
    <t>海土告字[2017]11号-7</t>
  </si>
  <si>
    <t>2017-08-03</t>
  </si>
  <si>
    <t>2017-07-21</t>
  </si>
  <si>
    <t>2017-07-05</t>
  </si>
  <si>
    <t>≤40</t>
  </si>
  <si>
    <t>≥0.6且≤0.8</t>
  </si>
  <si>
    <t>海土字17148号</t>
  </si>
  <si>
    <t>长安镇青年路南、上塘河北侧</t>
  </si>
  <si>
    <t>嘉兴金易达置业有限公司</t>
  </si>
  <si>
    <t>海土告字[2017]11号-1</t>
  </si>
  <si>
    <t>海土字17047号</t>
  </si>
  <si>
    <t>海宁经济开发区文苑路西侧福特4S店南侧</t>
  </si>
  <si>
    <t>海宁轻纺产业基地投资开发有限公司</t>
  </si>
  <si>
    <t>海土告字[2017]18号-5</t>
  </si>
  <si>
    <t>2017-10-20</t>
  </si>
  <si>
    <t>2017-10-09</t>
  </si>
  <si>
    <t>2017-09-21</t>
  </si>
  <si>
    <t>≤35</t>
  </si>
  <si>
    <t>≥1.5且≤1.8</t>
  </si>
  <si>
    <t>海土字17209号</t>
  </si>
  <si>
    <t>临杭新区迎春路东侧、创意街北侧</t>
  </si>
  <si>
    <t>海宁市名锦纺织有限公司</t>
  </si>
  <si>
    <t>海土告字[2017]18号-17</t>
  </si>
  <si>
    <t>≤50</t>
  </si>
  <si>
    <t>≥1.1且≤1.2</t>
  </si>
  <si>
    <t>海土字17225号</t>
  </si>
  <si>
    <t>许村镇许巷大街南侧、许村大道西侧</t>
  </si>
  <si>
    <t>海宁市海洲街道东长股份经济合作社</t>
  </si>
  <si>
    <t>海土告字[2017]18号-7</t>
  </si>
  <si>
    <t>海土字17211号</t>
  </si>
  <si>
    <t>市区文苑路西侧、长丰路北侧</t>
  </si>
  <si>
    <t>海土告字[2017]18号-4</t>
  </si>
  <si>
    <t>≥1.8且≤2.2</t>
  </si>
  <si>
    <t>海土字17208号</t>
  </si>
  <si>
    <t>临杭新区人民大道南侧、崇文路西侧</t>
  </si>
  <si>
    <t>海土告字[2017]19号-1</t>
  </si>
  <si>
    <t>2017-11-02</t>
  </si>
  <si>
    <t>≤25</t>
  </si>
  <si>
    <t>≤1</t>
  </si>
  <si>
    <t>海土字17200号</t>
  </si>
  <si>
    <t>长安镇(高新区)之江路西北侧、白沙路东侧</t>
  </si>
  <si>
    <t>海宁市海杭建材有限公司</t>
  </si>
  <si>
    <t>海土告字[2017]19号-2</t>
  </si>
  <si>
    <t>≤55</t>
  </si>
  <si>
    <t>海土字17223号</t>
  </si>
  <si>
    <t>许村镇320国道南侧</t>
  </si>
  <si>
    <t>海宁肯泰世家置业有限公司</t>
  </si>
  <si>
    <t>海土告字[2017]19号-9</t>
  </si>
  <si>
    <t>≥2且≤4.5</t>
  </si>
  <si>
    <t>海土字17235号</t>
  </si>
  <si>
    <t>马桥街道经都三路东、经都四路北、石桥港南侧</t>
  </si>
  <si>
    <t>海宁盐官古城旅游股份有限公司</t>
  </si>
  <si>
    <t>海土告字[2017]第25号</t>
  </si>
  <si>
    <t>2018-01-10</t>
  </si>
  <si>
    <t>2017-12-26</t>
  </si>
  <si>
    <t>2017-12-05</t>
  </si>
  <si>
    <t>≤60%</t>
  </si>
  <si>
    <t>≥0.6且≤1</t>
  </si>
  <si>
    <t>海土字17252号</t>
  </si>
  <si>
    <t>盐官度假区人民路东、古邑路北、非遗馆一期西侧</t>
  </si>
  <si>
    <t>海宁市绿洲投资开发建设有限公司</t>
  </si>
  <si>
    <t>海土字17199号</t>
  </si>
  <si>
    <t>马桥街道丰收路南、经都七路东侧</t>
  </si>
  <si>
    <t>海宁市袁花百村旅游开发有限公司</t>
  </si>
  <si>
    <t>海土告字[2017]第28号</t>
  </si>
  <si>
    <t>2018-02-02</t>
  </si>
  <si>
    <t>2018-01-22</t>
  </si>
  <si>
    <t>2017-12-29</t>
  </si>
  <si>
    <t>海土字17269号</t>
  </si>
  <si>
    <t>袁花镇丁秦公路北侧、南石桥港西侧</t>
  </si>
  <si>
    <t>海宁市海昌街道双冯股份经济合作社</t>
  </si>
  <si>
    <t>海土告字[2018]第1号</t>
  </si>
  <si>
    <t>2018-02-13</t>
  </si>
  <si>
    <t>2018-01-31</t>
  </si>
  <si>
    <t>≤36%</t>
  </si>
  <si>
    <t>海土字17260号</t>
  </si>
  <si>
    <t>海宁经济开发区由拳路北侧、双山路东侧</t>
  </si>
  <si>
    <t>海宁市硖石街道联和股份经济合作社</t>
  </si>
  <si>
    <t>海土告字[2018]第5号</t>
  </si>
  <si>
    <t>2018-03-14</t>
  </si>
  <si>
    <t>2018-03-01</t>
  </si>
  <si>
    <t>2018-02-08</t>
  </si>
  <si>
    <t>海土字18030号</t>
  </si>
  <si>
    <t>市区江南大道南侧、碧云路西侧</t>
  </si>
  <si>
    <t>海宁聚银商业管理有限公司</t>
  </si>
  <si>
    <t>海土告字[2018]第8号-4</t>
  </si>
  <si>
    <t>2018-05-08</t>
  </si>
  <si>
    <t>2018-04-24</t>
  </si>
  <si>
    <t>2018-04-03</t>
  </si>
  <si>
    <t>海土字18061号</t>
  </si>
  <si>
    <t>高新区海沙路东南侧、春汇路西南侧</t>
  </si>
  <si>
    <t>海土告字[2018]第8号-3</t>
  </si>
  <si>
    <t>≤30</t>
  </si>
  <si>
    <t>海土字18059号</t>
  </si>
  <si>
    <t>盐官度假区潮涌路南侧、上塘河东侧</t>
  </si>
  <si>
    <t>杭州百鸿服饰有限公司</t>
  </si>
  <si>
    <t>海土告字[2018]第8号-1</t>
  </si>
  <si>
    <t>海土字18055号</t>
  </si>
  <si>
    <t>许村镇崇文路东侧、万隆路北侧</t>
  </si>
  <si>
    <t>海宁市许村镇双联股份经济合作社</t>
  </si>
  <si>
    <t>海土告字[2018]第8号-2</t>
  </si>
  <si>
    <t>≥1.2且≤1.4</t>
  </si>
  <si>
    <t>海土字18056号</t>
  </si>
  <si>
    <t>许村镇临杭新区锦绣路西侧、新月路南侧</t>
  </si>
  <si>
    <t>海土告字[2018]第11号-1</t>
  </si>
  <si>
    <t>2018-05-24</t>
  </si>
  <si>
    <t>2018-05-11</t>
  </si>
  <si>
    <t>2018-04-20</t>
  </si>
  <si>
    <t>海土字18078号</t>
  </si>
  <si>
    <t>盐官度假区潮涌路南侧、上塘河西侧2号地块</t>
  </si>
  <si>
    <t>海土告字[2018]第11号-2</t>
  </si>
  <si>
    <t>海土字18079号</t>
  </si>
  <si>
    <t>盐官度假区潮涌路南侧、上塘河西侧4号地块</t>
  </si>
  <si>
    <t>浙江莱运文体产业有限公司</t>
  </si>
  <si>
    <t>海土告字[2018]第16号</t>
  </si>
  <si>
    <t>2018-06-15</t>
  </si>
  <si>
    <t>2018-06-04</t>
  </si>
  <si>
    <t>2018-05-15</t>
  </si>
  <si>
    <t>海土字18090号</t>
  </si>
  <si>
    <t>临杭新区海棠路南侧、天顺路西侧</t>
  </si>
  <si>
    <t>浙江科大实业投资集团有限公司</t>
  </si>
  <si>
    <t>海土告字[2018]第18号-1</t>
  </si>
  <si>
    <t>2018-07-06</t>
  </si>
  <si>
    <t>2018-06-25</t>
  </si>
  <si>
    <t>2018-06-02</t>
  </si>
  <si>
    <t>海土字18064号</t>
  </si>
  <si>
    <t>黄湾镇育才路北、凤凰山路东</t>
  </si>
  <si>
    <t>海宁市海盛置业有限公司</t>
  </si>
  <si>
    <t>海土告字[2018]第18号-2</t>
  </si>
  <si>
    <t>海土字18113号</t>
  </si>
  <si>
    <t>长安镇开元路北侧、越川路东侧</t>
  </si>
  <si>
    <t>浙江鼎隆建设有限公司</t>
  </si>
  <si>
    <t>海土告字[2018]第18号-3</t>
  </si>
  <si>
    <t>≥2且≤3</t>
  </si>
  <si>
    <t>海土字18129号</t>
  </si>
  <si>
    <t>斜桥镇硖许公路北侧、庆仲路西侧</t>
  </si>
  <si>
    <t>海宁市盐官镇中新股份经济合作社</t>
  </si>
  <si>
    <t>海土告字[2018]第23号</t>
  </si>
  <si>
    <t>2018-08-17</t>
  </si>
  <si>
    <t>2018-08-06</t>
  </si>
  <si>
    <t>2018-07-14</t>
  </si>
  <si>
    <t>未开工</t>
  </si>
  <si>
    <t>≥1.2且≤1.35</t>
  </si>
  <si>
    <t>海土字18132号</t>
  </si>
  <si>
    <t>盐官景区中新路北侧、创业路东侧</t>
  </si>
  <si>
    <t>浙江长三角汽车文化城有限公司</t>
  </si>
  <si>
    <t>海土告字[2018]第27号-4</t>
  </si>
  <si>
    <t>2018-09-19</t>
  </si>
  <si>
    <t>2018-09-06</t>
  </si>
  <si>
    <t>2018-08-15</t>
  </si>
  <si>
    <t>≥2且≤2.8</t>
  </si>
  <si>
    <t>海土字18167号</t>
  </si>
  <si>
    <t>长安镇东西大道南侧、创新路西侧</t>
  </si>
  <si>
    <t>海宁市盐官景区综合开发有限公司</t>
  </si>
  <si>
    <t>海土告字[2018]第29号-5</t>
  </si>
  <si>
    <t>2018-10-10</t>
  </si>
  <si>
    <t>2018-09-21</t>
  </si>
  <si>
    <t>2018-08-31</t>
  </si>
  <si>
    <t>≥0.8且≤1</t>
  </si>
  <si>
    <t>海土字18199号</t>
  </si>
  <si>
    <t>盐官景区宣德路南侧、东门葫芦潭河西侧</t>
  </si>
  <si>
    <t>海土告字[2018]第29号-4</t>
  </si>
  <si>
    <t>≥0.7且≤0.8</t>
  </si>
  <si>
    <t>海土字18198号</t>
  </si>
  <si>
    <t>盐官景区宣德路北侧、东门葫芦潭河西侧</t>
  </si>
  <si>
    <t>海宁市海洲街道联合社区股份有限公司</t>
  </si>
  <si>
    <t>海土告字[2018]第29号-1</t>
  </si>
  <si>
    <t>海土字18081号</t>
  </si>
  <si>
    <t>市区西山路南侧、杨园路东侧</t>
  </si>
  <si>
    <t>海土告字[2018]第29号-3</t>
  </si>
  <si>
    <t>≥0.6且≤0.75</t>
  </si>
  <si>
    <t>海土字18197号</t>
  </si>
  <si>
    <t>盐官景区古邑路两侧、宣德门西侧、人民路东侧</t>
  </si>
  <si>
    <t>海宁市斜桥新市镇建设有限公司</t>
  </si>
  <si>
    <t>海土告字[2018]第29号-2</t>
  </si>
  <si>
    <t>≥1且≤1.1</t>
  </si>
  <si>
    <t>海土字18168号</t>
  </si>
  <si>
    <t>斜桥镇庆万路西侧、支三路南侧</t>
  </si>
  <si>
    <t>海宁万城房产有限公司</t>
  </si>
  <si>
    <t>海土告字[2018]第31号-2</t>
  </si>
  <si>
    <t>2018-11-14</t>
  </si>
  <si>
    <t>2018-11-01</t>
  </si>
  <si>
    <t>海土字18196号</t>
  </si>
  <si>
    <t>马桥街道丰收路南侧、海昌路东侧</t>
  </si>
  <si>
    <t>海土告字[2018]第31号-3</t>
  </si>
  <si>
    <t>海土字18211号</t>
  </si>
  <si>
    <t>盐官景区潮涌路南、上塘河东、拱辰路两侧32号地块</t>
  </si>
  <si>
    <t>海宁宏达旅游文化有限公司</t>
  </si>
  <si>
    <t>海土告字[2018]第37号-2</t>
  </si>
  <si>
    <t>2019-01-16</t>
  </si>
  <si>
    <t>2019-01-03</t>
  </si>
  <si>
    <t>2018-12-13</t>
  </si>
  <si>
    <t>住宿餐饮用地</t>
  </si>
  <si>
    <t>海土字18243号</t>
  </si>
  <si>
    <t>盐官景区宣德东路北侧、安星路东侧</t>
  </si>
  <si>
    <t>海土告字[2018]第37号-4</t>
  </si>
  <si>
    <t>海土字18265号</t>
  </si>
  <si>
    <t>盐官度假区潮涌路南侧、上塘河东侧二期</t>
  </si>
  <si>
    <t>70年</t>
  </si>
  <si>
    <t>海自然资告字[2019]第3号-3</t>
  </si>
  <si>
    <t>2019-02-22</t>
  </si>
  <si>
    <t>2019-02-11</t>
  </si>
  <si>
    <t>2019-01-18</t>
  </si>
  <si>
    <t>海土字18279号</t>
  </si>
  <si>
    <t>盐官度假区潮涌路南侧、上塘河西侧10号地块</t>
  </si>
  <si>
    <t>海宁皮革时尚小镇投资开发有限公司</t>
  </si>
  <si>
    <t>海自然资告字[2019]第3号-1</t>
  </si>
  <si>
    <t>≥0.1且≤0.7</t>
  </si>
  <si>
    <t>零售商业用地</t>
  </si>
  <si>
    <t>海土字18276号</t>
  </si>
  <si>
    <t>市区海州西路南侧、广顺路两侧地下空间使用权</t>
  </si>
  <si>
    <t>海自然资告字[2019]第3号-4</t>
  </si>
  <si>
    <t>≥2且≤2.4</t>
  </si>
  <si>
    <t>海土字18280号</t>
  </si>
  <si>
    <t>盐官度假区潮涌路南侧、观潮大道西侧34号地块</t>
  </si>
  <si>
    <t>土地星级</t>
  </si>
  <si>
    <t>竞报商办部分自持比例(%)</t>
  </si>
  <si>
    <t>竞报商品住房自持比例(%)</t>
  </si>
  <si>
    <t>竞报整体自持比例(%)</t>
  </si>
  <si>
    <t>出让年限</t>
  </si>
  <si>
    <t>溢价率</t>
  </si>
  <si>
    <t>成交楼面价(除保障房)(元/㎡)</t>
  </si>
  <si>
    <t>推出楼面价(除保障房)(元/㎡)</t>
  </si>
  <si>
    <t>成交楼面价(元/㎡)</t>
  </si>
  <si>
    <t>推出楼面价(元/㎡)</t>
  </si>
  <si>
    <t>成交每亩价(万元/亩)</t>
  </si>
  <si>
    <t>推出每亩价(万元/亩)</t>
  </si>
  <si>
    <t>成交价(万元)</t>
  </si>
  <si>
    <t>起始价(万元)</t>
  </si>
  <si>
    <t>保证金(万元)</t>
  </si>
  <si>
    <t>受让单位</t>
  </si>
  <si>
    <t>交易状态</t>
  </si>
  <si>
    <t>公告编号</t>
  </si>
  <si>
    <t>成交日期</t>
  </si>
  <si>
    <t>截止日期</t>
  </si>
  <si>
    <t>起始日期</t>
  </si>
  <si>
    <t>公告时间</t>
  </si>
  <si>
    <t>开发进度</t>
  </si>
  <si>
    <t>配建养老设施面积情况</t>
  </si>
  <si>
    <t>成交特殊政策</t>
  </si>
  <si>
    <t>推出特殊政策</t>
  </si>
  <si>
    <t>配建自住房情况</t>
  </si>
  <si>
    <t>成交保障房面积(㎡)</t>
  </si>
  <si>
    <t>推出保障房面积(㎡)</t>
  </si>
  <si>
    <t>保障房类型</t>
  </si>
  <si>
    <t>限制高度</t>
  </si>
  <si>
    <t>建筑密度</t>
  </si>
  <si>
    <t>商业比例</t>
  </si>
  <si>
    <t>容积率</t>
  </si>
  <si>
    <t>规划建筑面积(㎡)</t>
  </si>
  <si>
    <t>建设用地面积(㎡)</t>
  </si>
  <si>
    <t>详细规划</t>
  </si>
  <si>
    <t>地块编号</t>
  </si>
  <si>
    <t>出让方式</t>
  </si>
  <si>
    <t>土地位置</t>
  </si>
  <si>
    <t>板块</t>
  </si>
  <si>
    <t>区县</t>
  </si>
  <si>
    <t>用地性质</t>
  </si>
  <si>
    <t>城市</t>
  </si>
  <si>
    <t>地块名称</t>
  </si>
  <si>
    <t>商务金融</t>
  </si>
  <si>
    <t>商务金融</t>
    <phoneticPr fontId="31" type="noConversion"/>
  </si>
  <si>
    <r>
      <t>1#</t>
    </r>
    <r>
      <rPr>
        <sz val="10"/>
        <color indexed="8"/>
        <rFont val="宋体"/>
        <family val="3"/>
        <charset val="134"/>
      </rPr>
      <t>、</t>
    </r>
    <r>
      <rPr>
        <sz val="10"/>
        <color indexed="8"/>
        <rFont val="Arial"/>
        <family val="2"/>
      </rPr>
      <t>2A#</t>
    </r>
    <r>
      <rPr>
        <sz val="10"/>
        <color indexed="8"/>
        <rFont val="宋体"/>
        <family val="3"/>
        <charset val="134"/>
      </rPr>
      <t>、</t>
    </r>
    <r>
      <rPr>
        <sz val="10"/>
        <color indexed="8"/>
        <rFont val="Arial"/>
        <family val="2"/>
      </rPr>
      <t>2B#</t>
    </r>
    <r>
      <rPr>
        <sz val="10"/>
        <color indexed="8"/>
        <rFont val="宋体"/>
        <family val="3"/>
        <charset val="134"/>
      </rPr>
      <t>、</t>
    </r>
    <r>
      <rPr>
        <sz val="10"/>
        <color indexed="8"/>
        <rFont val="Arial"/>
        <family val="2"/>
      </rPr>
      <t>3#</t>
    </r>
    <phoneticPr fontId="3" type="noConversion"/>
  </si>
  <si>
    <r>
      <t>5#</t>
    </r>
    <r>
      <rPr>
        <sz val="10"/>
        <color indexed="8"/>
        <rFont val="宋体"/>
        <family val="3"/>
        <charset val="134"/>
      </rPr>
      <t>、</t>
    </r>
    <r>
      <rPr>
        <sz val="10"/>
        <color indexed="8"/>
        <rFont val="Arial"/>
        <family val="2"/>
      </rPr>
      <t>6#</t>
    </r>
    <phoneticPr fontId="3" type="noConversion"/>
  </si>
  <si>
    <t>7#</t>
    <phoneticPr fontId="3" type="noConversion"/>
  </si>
  <si>
    <r>
      <t>8#</t>
    </r>
    <r>
      <rPr>
        <sz val="10"/>
        <color indexed="8"/>
        <rFont val="宋体"/>
        <family val="3"/>
        <charset val="134"/>
      </rPr>
      <t>、</t>
    </r>
    <r>
      <rPr>
        <sz val="10"/>
        <color indexed="8"/>
        <rFont val="Arial"/>
        <family val="2"/>
      </rPr>
      <t>9#</t>
    </r>
    <phoneticPr fontId="3" type="noConversion"/>
  </si>
  <si>
    <t>10#</t>
    <phoneticPr fontId="3" type="noConversion"/>
  </si>
  <si>
    <r>
      <t>11#</t>
    </r>
    <r>
      <rPr>
        <sz val="11"/>
        <color indexed="8"/>
        <rFont val="宋体"/>
        <family val="3"/>
        <charset val="134"/>
      </rPr>
      <t>、</t>
    </r>
    <r>
      <rPr>
        <sz val="11"/>
        <color indexed="8"/>
        <rFont val="Arial"/>
        <family val="2"/>
      </rPr>
      <t>12#</t>
    </r>
    <phoneticPr fontId="3" type="noConversion"/>
  </si>
  <si>
    <r>
      <t>15#</t>
    </r>
    <r>
      <rPr>
        <sz val="11"/>
        <color indexed="8"/>
        <rFont val="宋体"/>
        <family val="3"/>
        <charset val="134"/>
      </rPr>
      <t>、</t>
    </r>
    <r>
      <rPr>
        <sz val="11"/>
        <color indexed="8"/>
        <rFont val="Arial"/>
        <family val="2"/>
      </rPr>
      <t>16#</t>
    </r>
    <phoneticPr fontId="3" type="noConversion"/>
  </si>
  <si>
    <r>
      <t>17#</t>
    </r>
    <r>
      <rPr>
        <sz val="11"/>
        <color indexed="8"/>
        <rFont val="宋体"/>
        <family val="3"/>
        <charset val="134"/>
      </rPr>
      <t>、</t>
    </r>
    <r>
      <rPr>
        <sz val="11"/>
        <color indexed="8"/>
        <rFont val="Arial"/>
        <family val="2"/>
      </rPr>
      <t>18#</t>
    </r>
    <phoneticPr fontId="3" type="noConversion"/>
  </si>
  <si>
    <r>
      <t>19#</t>
    </r>
    <r>
      <rPr>
        <sz val="11"/>
        <color indexed="8"/>
        <rFont val="宋体"/>
        <family val="3"/>
        <charset val="134"/>
      </rPr>
      <t>、</t>
    </r>
    <r>
      <rPr>
        <sz val="11"/>
        <color indexed="8"/>
        <rFont val="Arial"/>
        <family val="2"/>
      </rPr>
      <t>20#</t>
    </r>
    <phoneticPr fontId="3" type="noConversion"/>
  </si>
  <si>
    <t>21#</t>
    <phoneticPr fontId="3" type="noConversion"/>
  </si>
  <si>
    <r>
      <t>22#</t>
    </r>
    <r>
      <rPr>
        <sz val="11"/>
        <color indexed="8"/>
        <rFont val="宋体"/>
        <family val="3"/>
        <charset val="134"/>
      </rPr>
      <t>、</t>
    </r>
    <r>
      <rPr>
        <sz val="11"/>
        <color indexed="8"/>
        <rFont val="Arial"/>
        <family val="2"/>
      </rPr>
      <t>23#</t>
    </r>
    <r>
      <rPr>
        <sz val="11"/>
        <color indexed="8"/>
        <rFont val="宋体"/>
        <family val="3"/>
        <charset val="134"/>
      </rPr>
      <t>、</t>
    </r>
    <r>
      <rPr>
        <sz val="11"/>
        <color indexed="8"/>
        <rFont val="Arial"/>
        <family val="2"/>
      </rPr>
      <t>25#</t>
    </r>
    <phoneticPr fontId="3" type="noConversion"/>
  </si>
  <si>
    <r>
      <t>26#</t>
    </r>
    <r>
      <rPr>
        <sz val="11"/>
        <color indexed="8"/>
        <rFont val="宋体"/>
        <family val="3"/>
        <charset val="134"/>
      </rPr>
      <t>、</t>
    </r>
    <r>
      <rPr>
        <sz val="11"/>
        <color indexed="8"/>
        <rFont val="Arial"/>
        <family val="2"/>
      </rPr>
      <t>27#</t>
    </r>
    <phoneticPr fontId="3" type="noConversion"/>
  </si>
  <si>
    <r>
      <t>28#</t>
    </r>
    <r>
      <rPr>
        <sz val="11"/>
        <color indexed="8"/>
        <rFont val="宋体"/>
        <family val="3"/>
        <charset val="134"/>
      </rPr>
      <t>、</t>
    </r>
    <r>
      <rPr>
        <sz val="11"/>
        <color indexed="8"/>
        <rFont val="Arial"/>
        <family val="2"/>
      </rPr>
      <t>29#</t>
    </r>
    <phoneticPr fontId="3" type="noConversion"/>
  </si>
  <si>
    <t>30#</t>
    <phoneticPr fontId="3" type="noConversion"/>
  </si>
  <si>
    <t>31#</t>
    <phoneticPr fontId="3" type="noConversion"/>
  </si>
  <si>
    <t>32#</t>
    <phoneticPr fontId="3" type="noConversion"/>
  </si>
  <si>
    <t>地上</t>
  </si>
  <si>
    <t>办公楼</t>
  </si>
  <si>
    <t>套</t>
    <phoneticPr fontId="3" type="noConversion"/>
  </si>
  <si>
    <t>是</t>
  </si>
  <si>
    <t>否</t>
  </si>
  <si>
    <t>办公</t>
    <phoneticPr fontId="7" type="noConversion"/>
  </si>
  <si>
    <t>https://www.tuliu.com/read-31887.html</t>
    <phoneticPr fontId="3" type="noConversion"/>
  </si>
  <si>
    <t>收益法</t>
  </si>
  <si>
    <t>未包含在土地购买价格中</t>
  </si>
  <si>
    <t>全部缴纳</t>
  </si>
  <si>
    <t>已全部缴纳</t>
  </si>
  <si>
    <t>在建（套用方法）</t>
  </si>
  <si>
    <t>押一</t>
  </si>
  <si>
    <t>按租金收入计税</t>
  </si>
  <si>
    <t>钢混</t>
  </si>
  <si>
    <t>非生产用房</t>
  </si>
  <si>
    <t>成本法</t>
  </si>
  <si>
    <t>假设开发法</t>
  </si>
  <si>
    <t>2#</t>
    <phoneticPr fontId="143" type="noConversion"/>
  </si>
  <si>
    <t>3#</t>
    <phoneticPr fontId="143" type="noConversion"/>
  </si>
  <si>
    <t>4#</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</si>
</sst>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8"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6" borderId="0" xfId="0" applyFont="1" applyFill="1" applyAlignment="1" applyProtection="1">
      <alignment horizontal="center" vertical="center"/>
      <protection locked="0"/>
    </xf>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5</xdr:col>
      <xdr:colOff>1456476</xdr:colOff>
      <xdr:row>76</xdr:row>
      <xdr:rowOff>170857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29600"/>
          <a:ext cx="6790476" cy="4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3&#8212;&#30005;&#31639;&#34920;-&#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3&#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80441.08</v>
          </cell>
        </row>
      </sheetData>
      <sheetData sheetId="14"/>
      <sheetData sheetId="15"/>
      <sheetData sheetId="16"/>
      <sheetData sheetId="17">
        <row r="118">
          <cell r="B118">
            <v>80441.08</v>
          </cell>
          <cell r="C118">
            <v>44181</v>
          </cell>
          <cell r="H118">
            <v>53678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65144.710000000006</v>
          </cell>
        </row>
      </sheetData>
      <sheetData sheetId="14"/>
      <sheetData sheetId="15"/>
      <sheetData sheetId="16"/>
      <sheetData sheetId="17">
        <row r="118">
          <cell r="B118">
            <v>79111.94</v>
          </cell>
          <cell r="C118">
            <v>41678</v>
          </cell>
          <cell r="H118">
            <v>42190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浙江省嘉兴市海宁市尖山新区闻澜路南侧、静夜路西侧出让国有建设用地使用权及在建建筑物房地产抵押价值预评估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受贵公司委托，我公司对浙江省嘉兴市海宁市尖山新区闻澜路南侧、静夜路西侧出让国有建设用地使用权及在建建筑物房地产抵押价值进行了预评估。</v>
      </c>
    </row>
    <row r="7" spans="1:2" s="1596" customFormat="1">
      <c r="A7" s="1594" t="s">
        <v>1260</v>
      </c>
      <c r="B7" s="1595" t="str">
        <f>'预评函-1'!A7</f>
        <v>估价对象为浙江省嘉兴市海宁市尖山新区闻澜路南侧、静夜路西侧出让国有建设用地使用权及在建建筑物房地产，为所有。根据《国有土地使用证》[]，估价对象（分摊）出让国有建设用地使用权面积为40694平方米，建筑面积为78054.29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嘉兴市海宁市尖山新区闻澜路南侧、静夜路西侧出让国有建设用地使用权及在建建筑物房地产,属开发建设的，该项目尚在开发建设中。根据《国有土地使用证》[]，估价对象（分摊）出让国有建设用地使用权面积为40694平方米，规划建筑面积为78054.29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浙江省嘉兴市海宁市尖山新区闻澜路南侧、静夜路西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2019年4月1日（评估专业人员实地查勘之日）</v>
      </c>
    </row>
    <row r="13" spans="1:2" s="1596" customFormat="1">
      <c r="A13" s="1594" t="s">
        <v>1223</v>
      </c>
      <c r="B13" s="1595" t="str">
        <f>'预评函-1'!A18</f>
        <v>本次估价的“房地产价值”是指在正常市场情况下，在价值时点2019年4月1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本次评估采用的主估价方法为成本法和假设开发法。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44216</v>
      </c>
    </row>
    <row r="21" spans="1:2" s="1596" customFormat="1">
      <c r="A21" s="1594" t="s">
        <v>1231</v>
      </c>
      <c r="B21" s="1595">
        <f ca="1">'预评函-2'!D7</f>
        <v>5665</v>
      </c>
    </row>
    <row r="22" spans="1:2" s="1596" customFormat="1">
      <c r="A22" s="1594" t="s">
        <v>1232</v>
      </c>
      <c r="B22" s="1595" t="str">
        <f ca="1">'预评函-2'!D6</f>
        <v>肆亿肆仟贰佰壹拾陆万元整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44216</v>
      </c>
    </row>
    <row r="31" spans="1:2" s="1596" customFormat="1">
      <c r="A31" s="1594" t="s">
        <v>1270</v>
      </c>
      <c r="B31" s="1595">
        <f ca="1">'预评函-2'!D15</f>
        <v>5665</v>
      </c>
    </row>
    <row r="32" spans="1:2" s="1596" customFormat="1">
      <c r="A32" s="1594" t="s">
        <v>1237</v>
      </c>
      <c r="B32" s="1595" t="str">
        <f ca="1">'预评函-2'!D14</f>
        <v>肆亿肆仟贰佰壹拾陆万元整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浙江省嘉兴市海宁市尖山新区闻澜路南侧、静夜路西侧出让国有建设用地使用权及在建建筑物房地产</v>
      </c>
    </row>
    <row r="42" spans="1:2" s="1596" customFormat="1" ht="31.2">
      <c r="A42" s="1594" t="s">
        <v>1284</v>
      </c>
      <c r="B42" s="1595" t="str">
        <f>'预评函-3'!B2</f>
        <v>建筑面积</v>
      </c>
    </row>
    <row r="43" spans="1:2" s="1596" customFormat="1">
      <c r="A43" s="1594" t="s">
        <v>1285</v>
      </c>
      <c r="B43" s="1595">
        <f>'预评函-3'!B4</f>
        <v>78054.290000000008</v>
      </c>
    </row>
    <row r="44" spans="1:2" s="1596" customFormat="1" ht="31.2">
      <c r="A44" s="1594" t="s">
        <v>1269</v>
      </c>
      <c r="B44" s="1595" t="str">
        <f>'预评函-3'!C2</f>
        <v>(分摊)土地面积</v>
      </c>
    </row>
    <row r="45" spans="1:2" s="1596" customFormat="1">
      <c r="A45" s="1594" t="s">
        <v>1241</v>
      </c>
      <c r="B45" s="1595">
        <f>'预评函-3'!C4</f>
        <v>40694</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嘉兴市海宁市尖山新区闻澜路南侧、静夜路西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861</v>
      </c>
      <c r="C54" s="2022" t="s">
        <v>1277</v>
      </c>
    </row>
    <row r="55" spans="1:4">
      <c r="A55" s="2998"/>
      <c r="B55" s="2025" t="s">
        <v>862</v>
      </c>
      <c r="C55" s="2022" t="s">
        <v>1278</v>
      </c>
    </row>
    <row r="56" spans="1:4">
      <c r="A56" s="2998"/>
      <c r="B56" s="2025" t="s">
        <v>863</v>
      </c>
      <c r="C56" s="2022" t="s">
        <v>1282</v>
      </c>
    </row>
    <row r="57" spans="1:4">
      <c r="A57" s="299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B16" sqref="B16:D16"/>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1772</v>
      </c>
      <c r="B1" s="2999" t="str">
        <f>IF(B10="北京市","北京市",C10)&amp;F10&amp;IF(结果表!G1="在建","出让国有建设用地使用权及在建建筑物",IF(结果表!G1="土地","出让国有建设用地使用权",))&amp;B9&amp;"预评估"</f>
        <v>浙江省嘉兴市海宁市尖山新区闻澜路南侧、静夜路西侧出让国有建设用地使用权及在建建筑物房地产抵押价值预评估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浙江省嘉兴市海宁市尖山新区闻澜路南侧、静夜路西侧出让国有建设用地使用权及在建建筑物房地产抵押价值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浙江省嘉兴市海宁市尖山新区闻澜路南侧、静夜路西侧出让国有建设用地使用权及在建建筑物房地产</v>
      </c>
    </row>
    <row r="3" spans="1:19" ht="18" customHeight="1">
      <c r="A3" s="2038" t="s">
        <v>1774</v>
      </c>
      <c r="B3" s="2039">
        <v>43556</v>
      </c>
      <c r="C3" s="2040" t="s">
        <v>1775</v>
      </c>
      <c r="D3" s="2039">
        <f>B3</f>
        <v>43556</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02" t="s">
        <v>1781</v>
      </c>
      <c r="E8" s="2060" t="s">
        <v>3053</v>
      </c>
      <c r="F8" s="2061"/>
      <c r="G8" s="2029"/>
      <c r="H8" s="2029"/>
      <c r="I8" s="2029"/>
      <c r="J8" s="2045"/>
      <c r="K8" s="2046"/>
      <c r="L8" s="2031"/>
      <c r="M8" s="2031"/>
      <c r="N8" s="2032"/>
      <c r="O8" s="2033"/>
      <c r="P8" s="2032"/>
      <c r="Q8" s="2032"/>
      <c r="R8" s="2032"/>
    </row>
    <row r="9" spans="1:19" ht="18" customHeight="1" thickBot="1">
      <c r="A9" s="2043" t="s">
        <v>1782</v>
      </c>
      <c r="B9" s="2062" t="s">
        <v>3053</v>
      </c>
      <c r="C9" s="2063"/>
      <c r="D9" s="3003"/>
      <c r="E9" s="2062"/>
      <c r="F9" s="2064"/>
      <c r="G9" s="2065"/>
      <c r="H9" s="2065"/>
      <c r="I9" s="2065"/>
      <c r="J9" s="2045"/>
      <c r="K9" s="2057"/>
      <c r="L9" s="2031"/>
      <c r="M9" s="2031"/>
      <c r="N9" s="2032"/>
      <c r="O9" s="2033"/>
      <c r="P9" s="2032"/>
      <c r="Q9" s="2032"/>
      <c r="R9" s="2032"/>
    </row>
    <row r="10" spans="1:19" ht="18" customHeight="1" thickTop="1">
      <c r="A10" s="2066" t="s">
        <v>1783</v>
      </c>
      <c r="B10" s="2067" t="s">
        <v>3054</v>
      </c>
      <c r="C10" s="2947" t="s">
        <v>3057</v>
      </c>
      <c r="D10" s="2050"/>
      <c r="E10" s="2068" t="s">
        <v>1784</v>
      </c>
      <c r="F10" s="2948" t="s">
        <v>3058</v>
      </c>
      <c r="G10" s="2069"/>
      <c r="H10" s="2070"/>
      <c r="I10" s="2050"/>
      <c r="J10" s="2045"/>
      <c r="K10" s="2057"/>
      <c r="L10" s="2031"/>
      <c r="M10" s="2031"/>
      <c r="N10" s="2032"/>
      <c r="O10" s="2033"/>
      <c r="P10" s="2032"/>
      <c r="Q10" s="2032"/>
      <c r="R10" s="2032"/>
    </row>
    <row r="11" spans="1:19" ht="18" customHeight="1">
      <c r="A11" s="2071" t="s">
        <v>1785</v>
      </c>
      <c r="B11" s="2072" t="s">
        <v>3055</v>
      </c>
      <c r="C11" s="2073"/>
      <c r="D11" s="2074"/>
      <c r="E11" s="2045"/>
      <c r="F11" s="2045"/>
      <c r="G11" s="2045"/>
      <c r="H11" s="2045"/>
      <c r="I11" s="2045"/>
      <c r="J11" s="2045"/>
      <c r="K11" s="2057"/>
      <c r="L11" s="2031"/>
      <c r="M11" s="2031"/>
      <c r="N11" s="2032"/>
      <c r="O11" s="2033"/>
      <c r="P11" s="2032"/>
      <c r="Q11" s="2032"/>
      <c r="R11" s="2032"/>
    </row>
    <row r="12" spans="1:19" ht="18" customHeight="1">
      <c r="A12" s="2075" t="s">
        <v>1786</v>
      </c>
      <c r="B12" s="2072" t="s">
        <v>3056</v>
      </c>
      <c r="C12" s="2076" t="s">
        <v>1787</v>
      </c>
      <c r="D12" s="2077" t="s">
        <v>1788</v>
      </c>
      <c r="E12" s="2077" t="s">
        <v>1789</v>
      </c>
      <c r="F12" s="2077" t="s">
        <v>1790</v>
      </c>
      <c r="G12" s="2077" t="s">
        <v>1791</v>
      </c>
      <c r="H12" s="2077" t="s">
        <v>1792</v>
      </c>
      <c r="I12" s="2077" t="s">
        <v>1793</v>
      </c>
      <c r="J12" s="2045"/>
      <c r="K12" s="2057"/>
      <c r="L12" s="2031"/>
      <c r="M12" s="2031"/>
      <c r="N12" s="2032"/>
      <c r="O12" s="2033"/>
      <c r="P12" s="2032"/>
      <c r="Q12" s="2032"/>
      <c r="R12" s="2032"/>
    </row>
    <row r="13" spans="1:19" ht="18" customHeight="1">
      <c r="A13" s="2078"/>
      <c r="B13" s="2079"/>
      <c r="C13" s="2080" t="s">
        <v>1794</v>
      </c>
      <c r="D13" s="2081"/>
      <c r="E13" s="2081"/>
      <c r="F13" s="2081">
        <v>56366</v>
      </c>
      <c r="G13" s="2081"/>
      <c r="H13" s="2081"/>
      <c r="I13" s="1050"/>
      <c r="J13" s="2045"/>
      <c r="K13" s="2057"/>
      <c r="L13" s="2031"/>
      <c r="M13" s="2031"/>
      <c r="N13" s="2032"/>
      <c r="O13" s="2033"/>
      <c r="P13" s="2032"/>
      <c r="Q13" s="2032"/>
      <c r="R13" s="2032"/>
    </row>
    <row r="14" spans="1:19" ht="18" customHeight="1">
      <c r="A14" s="2078"/>
      <c r="B14" s="2079"/>
      <c r="C14" s="2080" t="s">
        <v>1795</v>
      </c>
      <c r="D14" s="1053"/>
      <c r="E14" s="1053"/>
      <c r="F14" s="1053">
        <v>40</v>
      </c>
      <c r="G14" s="1053"/>
      <c r="H14" s="1053"/>
      <c r="I14" s="1053"/>
      <c r="J14" s="2045"/>
      <c r="K14" s="2082"/>
      <c r="L14" s="2031"/>
      <c r="M14" s="2031"/>
      <c r="N14" s="2032"/>
      <c r="O14" s="2033"/>
      <c r="P14" s="2032"/>
      <c r="Q14" s="2032"/>
      <c r="R14" s="2032"/>
    </row>
    <row r="15" spans="1:19" ht="18" customHeight="1">
      <c r="A15" s="2066"/>
      <c r="B15" s="2083"/>
      <c r="C15" s="2080" t="s">
        <v>1796</v>
      </c>
      <c r="D15" s="1052" t="str">
        <f>IF(B12="出让",IF(D13="","",ROUNDDOWN(MIN((D13-$D$3)/365,D14),2)),D14)</f>
        <v/>
      </c>
      <c r="E15" s="1052" t="str">
        <f>IF(B12="出让",IF(E13="","",ROUNDDOWN(MIN((E13-$D$3)/365,E14),2)),E14)</f>
        <v/>
      </c>
      <c r="F15" s="1052">
        <f>IF(B12="出让",IF(F13="","",ROUNDDOWN(MIN((F13-$D$3)/365,F14),2)),F14)</f>
        <v>35.090000000000003</v>
      </c>
      <c r="G15" s="1052" t="str">
        <f>IF(B12="出让",IF(G13="","",ROUNDDOWN(MIN((G13-$D$3)/365,G14),2)),G14)</f>
        <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8" t="s">
        <v>1797</v>
      </c>
      <c r="B16" s="3009"/>
      <c r="C16" s="3010"/>
      <c r="D16" s="3011"/>
      <c r="E16" s="2087" t="s">
        <v>1798</v>
      </c>
      <c r="F16" s="3012"/>
      <c r="G16" s="3013"/>
      <c r="H16" s="3013"/>
      <c r="I16" s="3014"/>
      <c r="J16" s="2032"/>
      <c r="K16" s="2084"/>
      <c r="L16" s="2085"/>
      <c r="M16" s="2085"/>
      <c r="N16" s="2086"/>
      <c r="O16" s="2085"/>
      <c r="P16" s="2086"/>
      <c r="Q16" s="2032"/>
      <c r="R16" s="2032"/>
    </row>
    <row r="17" spans="1:22" ht="18" customHeight="1">
      <c r="A17" s="2088" t="s">
        <v>1799</v>
      </c>
      <c r="B17" s="2038" t="s">
        <v>1800</v>
      </c>
      <c r="C17" s="1057">
        <f>'数据-汇总表'!E3</f>
        <v>78054.290000000008</v>
      </c>
      <c r="D17" s="2089" t="s">
        <v>1801</v>
      </c>
      <c r="E17" s="3015" t="s">
        <v>1802</v>
      </c>
      <c r="F17" s="3016"/>
      <c r="G17" s="3016"/>
      <c r="H17" s="3016"/>
      <c r="I17" s="3017"/>
      <c r="J17" s="2032"/>
      <c r="K17" s="2090"/>
      <c r="L17" s="2085"/>
      <c r="M17" s="2085"/>
      <c r="N17" s="2086"/>
      <c r="O17" s="2085"/>
      <c r="P17" s="2086"/>
      <c r="Q17" s="2032"/>
      <c r="R17" s="2032"/>
      <c r="S17" s="2032"/>
      <c r="T17" s="2032"/>
      <c r="U17" s="2032"/>
      <c r="V17" s="2032"/>
    </row>
    <row r="18" spans="1:22" ht="36" customHeight="1" thickBot="1">
      <c r="A18" s="2091" t="s">
        <v>1803</v>
      </c>
      <c r="B18" s="2041" t="s">
        <v>1804</v>
      </c>
      <c r="C18" s="1447">
        <f>'数据-汇总表'!D3</f>
        <v>40694</v>
      </c>
      <c r="D18" s="2092" t="s">
        <v>1801</v>
      </c>
      <c r="E18" s="3018" t="s">
        <v>1805</v>
      </c>
      <c r="F18" s="3019"/>
      <c r="G18" s="3019"/>
      <c r="H18" s="3019"/>
      <c r="I18" s="3020"/>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c r="D19" s="2094" t="s">
        <v>1808</v>
      </c>
      <c r="E19" s="2095"/>
      <c r="F19" s="2096" t="str">
        <f>IF(AND(C19="是",E19="否"),"是否提供他项权证或相关说明","")</f>
        <v/>
      </c>
      <c r="G19" s="2097"/>
      <c r="H19" s="2045"/>
      <c r="I19" s="2045"/>
      <c r="J19" s="2045"/>
      <c r="K19" s="2057"/>
      <c r="L19" s="2031"/>
      <c r="M19" s="2031"/>
      <c r="N19" s="2086"/>
      <c r="O19" s="2085"/>
      <c r="P19" s="2086"/>
      <c r="Q19" s="2032"/>
      <c r="R19" s="2032"/>
      <c r="S19" s="2032"/>
      <c r="T19" s="2032"/>
      <c r="U19" s="2032"/>
      <c r="V19" s="2032"/>
    </row>
    <row r="20" spans="1:22" ht="18" customHeight="1">
      <c r="A20" s="2098" t="s">
        <v>1809</v>
      </c>
      <c r="B20" s="3005" t="s">
        <v>1810</v>
      </c>
      <c r="C20" s="3006"/>
      <c r="D20" s="3007" t="s">
        <v>1811</v>
      </c>
      <c r="E20" s="3008"/>
      <c r="F20" s="2099" t="s">
        <v>1812</v>
      </c>
      <c r="G20" s="2045"/>
      <c r="H20" s="2045"/>
      <c r="I20" s="2045"/>
      <c r="J20" s="2045"/>
      <c r="K20" s="300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1815</v>
      </c>
      <c r="D21" s="2102" t="s">
        <v>1816</v>
      </c>
      <c r="E21" s="2103" t="s">
        <v>1815</v>
      </c>
      <c r="F21" s="2104"/>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1817</v>
      </c>
      <c r="C22" s="2101" t="s">
        <v>1818</v>
      </c>
      <c r="D22" s="2029"/>
      <c r="E22" s="2029"/>
      <c r="F22" s="2106"/>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7"/>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5"/>
      <c r="H26" s="2065"/>
      <c r="I26" s="2065"/>
      <c r="J26" s="2045"/>
      <c r="K26" s="2057"/>
      <c r="L26" s="2031"/>
      <c r="M26" s="2031"/>
      <c r="N26" s="2086"/>
      <c r="O26" s="2085"/>
      <c r="P26" s="2086"/>
      <c r="Q26" s="2032"/>
      <c r="R26" s="2032"/>
      <c r="S26" s="2032"/>
      <c r="T26" s="2032"/>
      <c r="U26" s="2032"/>
      <c r="V26" s="2032"/>
    </row>
    <row r="27" spans="1:22" ht="18" customHeight="1" thickTop="1">
      <c r="A27" s="3022" t="s">
        <v>1825</v>
      </c>
      <c r="B27" s="2066" t="s">
        <v>1826</v>
      </c>
      <c r="C27" s="2121"/>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2"/>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2"/>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3"/>
      <c r="B30" s="2038" t="s">
        <v>1829</v>
      </c>
      <c r="C30" s="3024"/>
      <c r="D30" s="302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6" t="s">
        <v>1830</v>
      </c>
      <c r="B31" s="2128"/>
      <c r="C31" s="2129" t="str">
        <f>IF(B31="现房","成新及维护状况正常否",IF(B31="在建","工程状态是否正常",IF(B31="土地","是否闲置","-")))</f>
        <v>-</v>
      </c>
      <c r="D31" s="2130"/>
      <c r="E31" s="2131"/>
      <c r="F31" s="2045"/>
      <c r="G31" s="2045"/>
      <c r="H31" s="2045"/>
      <c r="I31" s="2045"/>
      <c r="J31" s="2045"/>
      <c r="K31" s="2055"/>
      <c r="L31" s="2031"/>
      <c r="M31" s="2031"/>
      <c r="N31" s="2032"/>
      <c r="O31" s="2033"/>
      <c r="P31" s="2032"/>
      <c r="Q31" s="2032"/>
      <c r="R31" s="2032"/>
      <c r="S31" s="2032"/>
      <c r="T31" s="2032"/>
      <c r="U31" s="2032"/>
      <c r="V31" s="2032"/>
    </row>
    <row r="32" spans="1:22" ht="18" customHeight="1">
      <c r="A32" s="3027"/>
      <c r="B32" s="2128"/>
      <c r="C32" s="2129" t="str">
        <f>IF(B32="现房","成新及维护状况是否正常",IF(B32="在建","工程状态是否正常",IF(B32="土地","是否闲置","-")))</f>
        <v>-</v>
      </c>
      <c r="D32" s="2130"/>
      <c r="E32" s="2131"/>
      <c r="F32" s="2045"/>
      <c r="G32" s="2045"/>
      <c r="H32" s="2045"/>
      <c r="I32" s="2045"/>
      <c r="J32" s="2045"/>
      <c r="K32" s="2057"/>
      <c r="L32" s="2031"/>
      <c r="M32" s="2031"/>
      <c r="N32" s="2032"/>
      <c r="O32" s="2033"/>
      <c r="P32" s="2032"/>
      <c r="Q32" s="2032"/>
      <c r="R32" s="2032"/>
      <c r="S32" s="2032"/>
      <c r="T32" s="2032"/>
      <c r="U32" s="2032"/>
      <c r="V32" s="2032"/>
    </row>
    <row r="33" spans="1:22" ht="18" customHeight="1">
      <c r="A33" s="3027"/>
      <c r="B33" s="2132"/>
      <c r="C33" s="2071" t="str">
        <f>IF(B33="现房","成新及维护状况是否正常",IF(B33="在建","工程状态是否正常",IF(B33="土地","是否闲置","-")))</f>
        <v>-</v>
      </c>
      <c r="D33" s="2133"/>
      <c r="E33" s="2134"/>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5"/>
      <c r="C34" s="2135"/>
      <c r="D34" s="2135"/>
      <c r="E34" s="2135"/>
      <c r="F34" s="2135"/>
      <c r="G34" s="2135"/>
      <c r="H34" s="2135"/>
      <c r="I34" s="2045"/>
      <c r="J34" s="2045"/>
      <c r="K34" s="1798">
        <f>COUNTIF(B34:H34,"——")</f>
        <v>0</v>
      </c>
      <c r="L34" s="2076" t="s">
        <v>1832</v>
      </c>
      <c r="M34" s="2076" t="s">
        <v>1833</v>
      </c>
      <c r="N34" s="2076" t="s">
        <v>1834</v>
      </c>
      <c r="O34" s="2076" t="s">
        <v>1835</v>
      </c>
      <c r="P34" s="2076" t="s">
        <v>1836</v>
      </c>
      <c r="Q34" s="2076" t="s">
        <v>1837</v>
      </c>
      <c r="R34" s="2076" t="s">
        <v>1838</v>
      </c>
      <c r="S34" s="3021" t="s">
        <v>1839</v>
      </c>
      <c r="T34" s="2136" t="str">
        <f>NUMBERSTRING(7-K34,1)&amp;"通"</f>
        <v>七通</v>
      </c>
      <c r="U34" s="2032"/>
      <c r="V34" s="2032"/>
    </row>
    <row r="35" spans="1:22" ht="18" customHeight="1">
      <c r="A35" s="2137"/>
      <c r="B35" s="3028" t="s">
        <v>1840</v>
      </c>
      <c r="C35" s="3028"/>
      <c r="D35" s="3028"/>
      <c r="E35" s="3028"/>
      <c r="F35" s="2138" t="str">
        <f>C10</f>
        <v>浙江省嘉兴市海宁市</v>
      </c>
      <c r="G35" s="2045"/>
      <c r="H35" s="2045"/>
      <c r="I35" s="2045"/>
      <c r="J35" s="2045"/>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2"/>
      <c r="V35" s="2032"/>
    </row>
    <row r="36" spans="1:22" ht="18" customHeight="1">
      <c r="A36" s="2139"/>
      <c r="B36" s="2138" t="s">
        <v>1841</v>
      </c>
      <c r="C36" s="2138" t="s">
        <v>1842</v>
      </c>
      <c r="D36" s="2138" t="s">
        <v>1843</v>
      </c>
      <c r="E36" s="2138" t="s">
        <v>1844</v>
      </c>
      <c r="F36" s="2140"/>
      <c r="G36" s="2045"/>
      <c r="H36" s="2045"/>
      <c r="I36" s="2045"/>
      <c r="J36" s="2045"/>
      <c r="K36" s="2057"/>
      <c r="L36" s="2031"/>
      <c r="M36" s="2031"/>
      <c r="N36" s="2032"/>
      <c r="O36" s="2033"/>
      <c r="P36" s="2032"/>
      <c r="Q36" s="2032"/>
      <c r="R36" s="2032"/>
      <c r="S36" s="2032"/>
      <c r="T36" s="2032"/>
      <c r="U36" s="2032"/>
      <c r="V36" s="2032"/>
    </row>
    <row r="37" spans="1:22" ht="18" customHeight="1">
      <c r="A37" s="2141" t="s">
        <v>1845</v>
      </c>
      <c r="B37" s="2142"/>
      <c r="C37" s="2142"/>
      <c r="D37" s="2142"/>
      <c r="E37" s="2142"/>
      <c r="F37" s="2140"/>
      <c r="G37" s="2045"/>
      <c r="H37" s="2045"/>
      <c r="I37" s="2045"/>
      <c r="J37" s="2045"/>
      <c r="K37" s="2057"/>
      <c r="L37" s="2031"/>
      <c r="M37" s="2031"/>
      <c r="N37" s="2032"/>
      <c r="O37" s="2033"/>
      <c r="P37" s="2032"/>
      <c r="Q37" s="2032"/>
      <c r="R37" s="2032"/>
      <c r="S37" s="2032"/>
      <c r="T37" s="2032"/>
      <c r="U37" s="2032"/>
      <c r="V37" s="2032"/>
    </row>
    <row r="38" spans="1:22" ht="18" customHeight="1" thickBot="1">
      <c r="A38" s="2143" t="s">
        <v>1846</v>
      </c>
      <c r="B38" s="2144"/>
      <c r="C38" s="2144"/>
      <c r="D38" s="2144"/>
      <c r="E38" s="2144"/>
      <c r="F38" s="2145"/>
      <c r="G38" s="2065"/>
      <c r="H38" s="2065"/>
      <c r="I38" s="2065"/>
      <c r="J38" s="2045"/>
      <c r="K38" s="2057"/>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0.6640625" style="2161" customWidth="1"/>
    <col min="10" max="10" width="9.44140625" style="2161" hidden="1" customWidth="1"/>
    <col min="11" max="11" width="11" style="2161" hidden="1" customWidth="1"/>
    <col min="12" max="14" width="9.44140625" style="2161" hidden="1" customWidth="1"/>
    <col min="15" max="15" width="9.88671875" style="2161" hidden="1" customWidth="1"/>
    <col min="16" max="16" width="9.77734375" style="2161" hidden="1" customWidth="1"/>
    <col min="17" max="17" width="9.33203125" style="2161" hidden="1" customWidth="1"/>
    <col min="18" max="18" width="9.21875" style="2161" hidden="1" customWidth="1"/>
    <col min="19" max="19" width="10.88671875" style="2161" hidden="1" customWidth="1"/>
    <col min="20" max="21" width="10.77734375" style="2161" hidden="1" customWidth="1"/>
    <col min="22" max="22" width="10.88671875" style="2161" hidden="1" customWidth="1"/>
    <col min="23" max="27" width="10.77734375" style="2161" hidden="1" customWidth="1"/>
    <col min="28" max="28" width="10.88671875" style="2161" hidden="1" customWidth="1"/>
    <col min="29" max="29" width="11" style="2161" bestFit="1" customWidth="1"/>
    <col min="30" max="30" width="10" style="2161" hidden="1" customWidth="1"/>
    <col min="31" max="31" width="9.77734375" style="2161" hidden="1" customWidth="1"/>
    <col min="32" max="33" width="9.44140625" style="2161" hidden="1" customWidth="1"/>
    <col min="34"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v>40694</v>
      </c>
      <c r="B3" s="14">
        <f>IF(C3="否",G5-AT5,G5)</f>
        <v>78054.290000000008</v>
      </c>
      <c r="C3" s="2170" t="s">
        <v>3438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1875</v>
      </c>
      <c r="B5" s="1806"/>
      <c r="C5" s="1806"/>
      <c r="D5" s="1809"/>
      <c r="E5" s="16" t="s">
        <v>1</v>
      </c>
      <c r="F5" s="16">
        <f>SUM(F13:F587)</f>
        <v>0</v>
      </c>
      <c r="G5" s="16">
        <f>SUM(G13:G587)</f>
        <v>78054.290000000008</v>
      </c>
      <c r="H5" s="16">
        <f t="shared" ref="H5:AT5" si="0">SUM(H13:H656)</f>
        <v>65209.619999999995</v>
      </c>
      <c r="I5" s="16">
        <f t="shared" si="0"/>
        <v>65209.619999999995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12844.67</v>
      </c>
      <c r="AD5" s="16">
        <f t="shared" si="0"/>
        <v>0</v>
      </c>
      <c r="AE5" s="16">
        <f t="shared" si="0"/>
        <v>0</v>
      </c>
      <c r="AF5" s="16">
        <f t="shared" si="0"/>
        <v>0</v>
      </c>
      <c r="AG5" s="16">
        <f t="shared" si="0"/>
        <v>0</v>
      </c>
      <c r="AH5" s="16">
        <f t="shared" si="0"/>
        <v>223.23</v>
      </c>
      <c r="AI5" s="16">
        <f t="shared" si="0"/>
        <v>0</v>
      </c>
      <c r="AJ5" s="16">
        <f t="shared" si="0"/>
        <v>0</v>
      </c>
      <c r="AK5" s="16">
        <f t="shared" si="0"/>
        <v>0</v>
      </c>
      <c r="AL5" s="16">
        <f t="shared" si="0"/>
        <v>5710.6900000000005</v>
      </c>
      <c r="AM5" s="16">
        <f t="shared" si="0"/>
        <v>0</v>
      </c>
      <c r="AN5" s="16">
        <f t="shared" si="0"/>
        <v>6910.75</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78054.290000000008</v>
      </c>
      <c r="BA5" s="18">
        <f t="shared" si="1"/>
        <v>65209.619999999995</v>
      </c>
      <c r="BB5" s="18">
        <f t="shared" si="1"/>
        <v>65209.619999999995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12844.67</v>
      </c>
      <c r="BM5" s="18">
        <f t="shared" si="1"/>
        <v>0</v>
      </c>
      <c r="BN5" s="18">
        <f t="shared" si="1"/>
        <v>0</v>
      </c>
      <c r="BO5" s="18">
        <f t="shared" si="1"/>
        <v>223.23</v>
      </c>
      <c r="BP5" s="18">
        <f t="shared" si="1"/>
        <v>0</v>
      </c>
      <c r="BQ5" s="18">
        <f t="shared" si="1"/>
        <v>5710.6900000000005</v>
      </c>
      <c r="BR5" s="18">
        <f t="shared" si="1"/>
        <v>6910.75</v>
      </c>
      <c r="BS5" s="18">
        <f t="shared" si="1"/>
        <v>0</v>
      </c>
      <c r="BT5" s="19">
        <f t="shared" si="1"/>
        <v>0</v>
      </c>
    </row>
    <row r="6" spans="1:72" s="2179" customFormat="1" ht="13.2">
      <c r="A6" s="15" t="s">
        <v>1876</v>
      </c>
      <c r="B6" s="2176"/>
      <c r="C6" s="2176"/>
      <c r="D6" s="2177"/>
      <c r="E6" s="16">
        <f>H6+AC6+AT6</f>
        <v>40694</v>
      </c>
      <c r="F6" s="16" t="s">
        <v>1</v>
      </c>
      <c r="G6" s="16" t="s">
        <v>2</v>
      </c>
      <c r="H6" s="20">
        <f>SUMIF(I$12:AB$12,"总值",I6:AB6)</f>
        <v>33997.370000000003</v>
      </c>
      <c r="I6" s="16">
        <f t="shared" ref="I6:AB6" si="2">ROUND($A$3*I5/$B$3,2)</f>
        <v>33997.370000000003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6696.63</v>
      </c>
      <c r="AD6" s="16">
        <f t="shared" ref="AD6:AS6" si="3">ROUND($A$3*AD5/$B$3,2)</f>
        <v>0</v>
      </c>
      <c r="AE6" s="16">
        <f t="shared" si="3"/>
        <v>0</v>
      </c>
      <c r="AF6" s="16">
        <f t="shared" si="3"/>
        <v>0</v>
      </c>
      <c r="AG6" s="16">
        <f t="shared" si="3"/>
        <v>0</v>
      </c>
      <c r="AH6" s="16">
        <f t="shared" si="3"/>
        <v>116.38</v>
      </c>
      <c r="AI6" s="16">
        <f t="shared" si="3"/>
        <v>0</v>
      </c>
      <c r="AJ6" s="16">
        <f t="shared" si="3"/>
        <v>0</v>
      </c>
      <c r="AK6" s="16">
        <f t="shared" si="3"/>
        <v>0</v>
      </c>
      <c r="AL6" s="16">
        <f t="shared" si="3"/>
        <v>2977.3</v>
      </c>
      <c r="AM6" s="16">
        <f t="shared" si="3"/>
        <v>0</v>
      </c>
      <c r="AN6" s="16">
        <f t="shared" si="3"/>
        <v>3602.95</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40694</v>
      </c>
      <c r="AZ6" s="16" t="s">
        <v>3</v>
      </c>
      <c r="BA6" s="16">
        <f>ROUND($AY$6*BA5/$AZ$5,2)</f>
        <v>33997.370000000003</v>
      </c>
      <c r="BB6" s="16">
        <f>ROUND($AY$6*BB5/$AZ$5,2)</f>
        <v>33997.370000000003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6696.63</v>
      </c>
      <c r="BM6" s="16">
        <f t="shared" si="5"/>
        <v>0</v>
      </c>
      <c r="BN6" s="16">
        <f t="shared" si="5"/>
        <v>0</v>
      </c>
      <c r="BO6" s="16">
        <f t="shared" si="5"/>
        <v>116.38</v>
      </c>
      <c r="BP6" s="16">
        <f t="shared" si="5"/>
        <v>0</v>
      </c>
      <c r="BQ6" s="16">
        <f t="shared" si="5"/>
        <v>2977.3</v>
      </c>
      <c r="BR6" s="16">
        <f t="shared" si="5"/>
        <v>3602.95</v>
      </c>
      <c r="BS6" s="16">
        <f t="shared" si="5"/>
        <v>0</v>
      </c>
      <c r="BT6" s="22">
        <f t="shared" si="5"/>
        <v>0</v>
      </c>
    </row>
    <row r="7" spans="1:72" s="2169" customFormat="1" ht="25.2">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3.2">
      <c r="A9" s="2184"/>
      <c r="B9" s="2184"/>
      <c r="C9" s="2184"/>
      <c r="D9" s="2184"/>
      <c r="E9" s="2184"/>
      <c r="F9" s="2184"/>
      <c r="G9" s="1295"/>
      <c r="H9" s="2192" t="s">
        <v>1895</v>
      </c>
      <c r="I9" s="2193" t="s">
        <v>3434</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3.2">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3.2">
      <c r="A11" s="2184"/>
      <c r="B11" s="2184"/>
      <c r="C11" s="2184"/>
      <c r="D11" s="2184"/>
      <c r="E11" s="2184"/>
      <c r="F11" s="2184"/>
      <c r="G11" s="1295"/>
      <c r="H11" s="2201"/>
      <c r="I11" s="2204" t="s">
        <v>3435</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26.4">
      <c r="A13" s="1275">
        <v>40</v>
      </c>
      <c r="B13" s="1275"/>
      <c r="C13" s="1275" t="s">
        <v>3418</v>
      </c>
      <c r="D13" s="2215" t="s">
        <v>3437</v>
      </c>
      <c r="E13" s="16">
        <f>IF($C$3="是",ROUND($A$3*G13/$B$3,2),ROUND($A$3*(G13-AT13)/$B$3,2))</f>
        <v>14460.89</v>
      </c>
      <c r="F13" s="32"/>
      <c r="G13" s="33">
        <f>H13+AC13+AT13</f>
        <v>27737.119999999999</v>
      </c>
      <c r="H13" s="20">
        <f>SUMIF(I$12:AB$12,"总值",I13:AB13)</f>
        <v>21165.16</v>
      </c>
      <c r="I13" s="2216">
        <v>21165.16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6571.96</v>
      </c>
      <c r="AD13" s="2217"/>
      <c r="AE13" s="2217"/>
      <c r="AF13" s="2217"/>
      <c r="AG13" s="2217"/>
      <c r="AH13" s="2217"/>
      <c r="AI13" s="2217"/>
      <c r="AJ13" s="2217"/>
      <c r="AK13" s="2217"/>
      <c r="AL13" s="2217"/>
      <c r="AM13" s="2217"/>
      <c r="AN13" s="2217">
        <v>6571.96</v>
      </c>
      <c r="AO13" s="2217"/>
      <c r="AP13" s="2217"/>
      <c r="AQ13" s="2217"/>
      <c r="AR13" s="2217"/>
      <c r="AS13" s="2217"/>
      <c r="AT13" s="2218"/>
      <c r="AU13" s="2219"/>
      <c r="AV13" s="11">
        <f t="shared" ref="AV13:AX17" si="6">A13</f>
        <v>40</v>
      </c>
      <c r="AW13" s="11">
        <f t="shared" si="6"/>
        <v>0</v>
      </c>
      <c r="AX13" s="11" t="str">
        <f t="shared" si="6"/>
        <v>1#、2A#、2B#、3#</v>
      </c>
      <c r="AY13" s="1809">
        <f>ROUND($AY$6*AZ13/$AZ$5,2)</f>
        <v>14460.89</v>
      </c>
      <c r="AZ13" s="16">
        <f>BA13+BL13</f>
        <v>27737.119999999999</v>
      </c>
      <c r="BA13" s="16">
        <f>SUM(BB13:BK13)</f>
        <v>21165.16</v>
      </c>
      <c r="BB13" s="16">
        <f>IF($D13="是",I13-J13,0)</f>
        <v>21165.16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6571.96</v>
      </c>
      <c r="BM13" s="16">
        <f>IF($D13="是",AD13-AE13,0)</f>
        <v>0</v>
      </c>
      <c r="BN13" s="16">
        <f>IF($D13="是",AF13-AG13,0)</f>
        <v>0</v>
      </c>
      <c r="BO13" s="16">
        <f>IF($D13="是",AH13-AI13,0)</f>
        <v>0</v>
      </c>
      <c r="BP13" s="16">
        <f>IF($D13="是",AJ13-AK13,0)</f>
        <v>0</v>
      </c>
      <c r="BQ13" s="16">
        <f>IF($D13="是",AL13-AM13,0)</f>
        <v>0</v>
      </c>
      <c r="BR13" s="16">
        <f>IF($D13="是",AN13-AO13,0)</f>
        <v>6571.96</v>
      </c>
      <c r="BS13" s="16">
        <f>IF($D13="是",AP13-AQ13,0)</f>
        <v>0</v>
      </c>
      <c r="BT13" s="22">
        <f>IF($D13="是",AR13-AS13,0)</f>
        <v>0</v>
      </c>
    </row>
    <row r="14" spans="1:72" s="2169" customFormat="1" ht="13.2">
      <c r="A14" s="1275">
        <v>16</v>
      </c>
      <c r="B14" s="1275"/>
      <c r="C14" s="2155" t="s">
        <v>3419</v>
      </c>
      <c r="D14" s="2215" t="s">
        <v>3437</v>
      </c>
      <c r="E14" s="16">
        <f>IF($C$3="是",ROUND($A$3*G14/$B$3,2),ROUND($A$3*(G14-AT14)/$B$3,2))</f>
        <v>2458.0500000000002</v>
      </c>
      <c r="F14" s="32"/>
      <c r="G14" s="33">
        <f>H14+AC14+AT14</f>
        <v>4714.74</v>
      </c>
      <c r="H14" s="20">
        <f>SUMIF(I$12:AB$12,"总值",I14:AB14)</f>
        <v>4714.74</v>
      </c>
      <c r="I14" s="2216">
        <v>4714.74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16</v>
      </c>
      <c r="AW14" s="11">
        <f t="shared" si="6"/>
        <v>0</v>
      </c>
      <c r="AX14" s="11" t="str">
        <f t="shared" si="6"/>
        <v>5#、6#</v>
      </c>
      <c r="AY14" s="1809">
        <f>ROUND($AY$6*AZ14/$AZ$5,2)</f>
        <v>2458.0500000000002</v>
      </c>
      <c r="AZ14" s="16">
        <f>BA14+BL14</f>
        <v>4714.74</v>
      </c>
      <c r="BA14" s="16">
        <f>SUM(BB14:BK14)</f>
        <v>4714.74</v>
      </c>
      <c r="BB14" s="16">
        <f>IF($D14="是",I14-J14,0)</f>
        <v>4714.74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1275">
        <v>6</v>
      </c>
      <c r="B15" s="1275"/>
      <c r="C15" s="2155" t="s">
        <v>3420</v>
      </c>
      <c r="D15" s="2215" t="s">
        <v>3437</v>
      </c>
      <c r="E15" s="16">
        <f>IF($C$3="是",ROUND($A$3*G15/$B$3,2),ROUND($A$3*(G15-AT15)/$B$3,2))</f>
        <v>1945.17</v>
      </c>
      <c r="F15" s="32"/>
      <c r="G15" s="33">
        <f>H15+AC15+AT15</f>
        <v>3730.99</v>
      </c>
      <c r="H15" s="20">
        <f>SUMIF(I$12:AB$12,"总值",I15:AB15)</f>
        <v>3730.99</v>
      </c>
      <c r="I15" s="2216">
        <v>3730.99</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6</v>
      </c>
      <c r="AW15" s="11">
        <f t="shared" si="6"/>
        <v>0</v>
      </c>
      <c r="AX15" s="11" t="str">
        <f t="shared" si="6"/>
        <v>7#</v>
      </c>
      <c r="AY15" s="1809">
        <f>ROUND($AY$6*AZ15/$AZ$5,2)</f>
        <v>1945.17</v>
      </c>
      <c r="AZ15" s="16">
        <f>BA15+BL15</f>
        <v>3730.99</v>
      </c>
      <c r="BA15" s="16">
        <f>SUM(BB15:BK15)</f>
        <v>3730.99</v>
      </c>
      <c r="BB15" s="16">
        <f>IF($D15="是",I15-J15,0)</f>
        <v>3730.99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5">
        <v>12</v>
      </c>
      <c r="B16" s="1275"/>
      <c r="C16" s="2155" t="s">
        <v>3421</v>
      </c>
      <c r="D16" s="2215" t="s">
        <v>3437</v>
      </c>
      <c r="E16" s="16">
        <f>IF($C$3="是",ROUND($A$3*G16/$B$3,2),ROUND($A$3*(G16-AT16)/$B$3,2))</f>
        <v>1828.34</v>
      </c>
      <c r="F16" s="32"/>
      <c r="G16" s="33">
        <f>H16+AC16+AT16</f>
        <v>3506.9</v>
      </c>
      <c r="H16" s="20">
        <f>SUMIF(I$12:AB$12,"总值",I16:AB16)</f>
        <v>3506.9</v>
      </c>
      <c r="I16" s="2216">
        <v>3506.9</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12</v>
      </c>
      <c r="AW16" s="11">
        <f t="shared" si="6"/>
        <v>0</v>
      </c>
      <c r="AX16" s="11" t="str">
        <f t="shared" si="6"/>
        <v>8#、9#</v>
      </c>
      <c r="AY16" s="1809">
        <f>ROUND($AY$6*AZ16/$AZ$5,2)</f>
        <v>1828.34</v>
      </c>
      <c r="AZ16" s="16">
        <f>BA16+BL16</f>
        <v>3506.9</v>
      </c>
      <c r="BA16" s="16">
        <f>SUM(BB16:BK16)</f>
        <v>3506.9</v>
      </c>
      <c r="BB16" s="16">
        <f>IF($D16="是",I16-J16,0)</f>
        <v>3506.9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5">
        <v>8</v>
      </c>
      <c r="B17" s="1275"/>
      <c r="C17" s="2155" t="s">
        <v>3422</v>
      </c>
      <c r="D17" s="2215" t="s">
        <v>3437</v>
      </c>
      <c r="E17" s="16">
        <f>IF($C$3="是",ROUND($A$3*G17/$B$3,2),ROUND($A$3*(G17-AT17)/$B$3,2))</f>
        <v>2622.88</v>
      </c>
      <c r="F17" s="32"/>
      <c r="G17" s="33">
        <f>H17+AC17+AT17</f>
        <v>5030.8900000000003</v>
      </c>
      <c r="H17" s="20">
        <f>SUMIF(I$12:AB$12,"总值",I17:AB17)</f>
        <v>5030.8900000000003</v>
      </c>
      <c r="I17" s="2216">
        <v>5030.8900000000003</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8</v>
      </c>
      <c r="AW17" s="11">
        <f t="shared" si="6"/>
        <v>0</v>
      </c>
      <c r="AX17" s="11" t="str">
        <f t="shared" si="6"/>
        <v>10#</v>
      </c>
      <c r="AY17" s="1809">
        <f>ROUND($AY$6*AZ17/$AZ$5,2)</f>
        <v>2622.88</v>
      </c>
      <c r="AZ17" s="16">
        <f>BA17+BL17</f>
        <v>5030.8900000000003</v>
      </c>
      <c r="BA17" s="16">
        <f>SUM(BB17:BK17)</f>
        <v>5030.8900000000003</v>
      </c>
      <c r="BB17" s="16">
        <f>IF($D17="是",I17-J17,0)</f>
        <v>5030.8900000000003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v>12</v>
      </c>
      <c r="B18" s="34"/>
      <c r="C18" s="34" t="s">
        <v>3423</v>
      </c>
      <c r="D18" s="2215" t="s">
        <v>3437</v>
      </c>
      <c r="E18" s="35">
        <f t="shared" ref="E18:E112" si="7">IF($C$3="是",ROUND($A$3*G18/$B$3,2),ROUND($A$3*(G18-AT18)/$B$3,2))</f>
        <v>1829.5</v>
      </c>
      <c r="F18" s="36"/>
      <c r="G18" s="37">
        <f t="shared" ref="G18:G109" si="8">H18+AC18+AT18</f>
        <v>3509.13</v>
      </c>
      <c r="H18" s="38">
        <f t="shared" ref="H18:H109" si="9">SUMIF(I$12:AB$12,"总值",I18:AB18)</f>
        <v>3509.13</v>
      </c>
      <c r="I18" s="39">
        <v>3509.13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12</v>
      </c>
      <c r="AW18" s="1798">
        <f t="shared" ref="AW18:AW112" si="12">B18</f>
        <v>0</v>
      </c>
      <c r="AX18" s="1798" t="str">
        <f t="shared" ref="AX18:AX112" si="13">C18</f>
        <v>11#、12#</v>
      </c>
      <c r="AY18" s="42">
        <f t="shared" ref="AY18:AY109" si="14">ROUND($AY$6*AZ18/$AZ$5,2)</f>
        <v>1829.5</v>
      </c>
      <c r="AZ18" s="35">
        <f t="shared" ref="AZ18:AZ109" si="15">BA18+BL18</f>
        <v>3509.13</v>
      </c>
      <c r="BA18" s="35">
        <f t="shared" ref="BA18:BA109" si="16">SUM(BB18:BK18)</f>
        <v>3509.13</v>
      </c>
      <c r="BB18" s="35">
        <f t="shared" ref="BB18:BB109" si="17">IF($D18="是",I18-J18,0)</f>
        <v>3509.13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v>16</v>
      </c>
      <c r="B19" s="34"/>
      <c r="C19" s="34" t="s">
        <v>3424</v>
      </c>
      <c r="D19" s="2215" t="s">
        <v>3437</v>
      </c>
      <c r="E19" s="35">
        <f t="shared" si="7"/>
        <v>2458.41</v>
      </c>
      <c r="F19" s="36"/>
      <c r="G19" s="37">
        <f t="shared" si="8"/>
        <v>4715.42</v>
      </c>
      <c r="H19" s="38">
        <f t="shared" si="9"/>
        <v>4715.42</v>
      </c>
      <c r="I19" s="39">
        <v>4715.42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16</v>
      </c>
      <c r="AW19" s="1798">
        <f t="shared" si="12"/>
        <v>0</v>
      </c>
      <c r="AX19" s="1798" t="str">
        <f t="shared" si="13"/>
        <v>15#、16#</v>
      </c>
      <c r="AY19" s="42">
        <f t="shared" si="14"/>
        <v>2458.41</v>
      </c>
      <c r="AZ19" s="35">
        <f t="shared" si="15"/>
        <v>4715.42</v>
      </c>
      <c r="BA19" s="35">
        <f t="shared" si="16"/>
        <v>4715.42</v>
      </c>
      <c r="BB19" s="35">
        <f t="shared" si="17"/>
        <v>4715.42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 r="A20" s="9">
        <v>10</v>
      </c>
      <c r="B20" s="34"/>
      <c r="C20" s="34" t="s">
        <v>3425</v>
      </c>
      <c r="D20" s="2215" t="s">
        <v>3437</v>
      </c>
      <c r="E20" s="35">
        <f t="shared" si="7"/>
        <v>1534.65</v>
      </c>
      <c r="F20" s="36"/>
      <c r="G20" s="37">
        <f t="shared" si="8"/>
        <v>2943.57</v>
      </c>
      <c r="H20" s="38">
        <f t="shared" si="9"/>
        <v>2943.57</v>
      </c>
      <c r="I20" s="39">
        <v>2943.57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10</v>
      </c>
      <c r="AW20" s="1798">
        <f t="shared" si="12"/>
        <v>0</v>
      </c>
      <c r="AX20" s="1798" t="str">
        <f t="shared" si="13"/>
        <v>17#、18#</v>
      </c>
      <c r="AY20" s="42">
        <f t="shared" si="14"/>
        <v>1534.65</v>
      </c>
      <c r="AZ20" s="35">
        <f t="shared" si="15"/>
        <v>2943.57</v>
      </c>
      <c r="BA20" s="35">
        <f t="shared" si="16"/>
        <v>2943.57</v>
      </c>
      <c r="BB20" s="35">
        <f t="shared" si="17"/>
        <v>2943.57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9">
        <v>10</v>
      </c>
      <c r="B21" s="34"/>
      <c r="C21" s="34" t="s">
        <v>3426</v>
      </c>
      <c r="D21" s="2215" t="s">
        <v>3437</v>
      </c>
      <c r="E21" s="35">
        <f t="shared" si="7"/>
        <v>1534.65</v>
      </c>
      <c r="F21" s="36"/>
      <c r="G21" s="37">
        <f t="shared" si="8"/>
        <v>2943.57</v>
      </c>
      <c r="H21" s="38">
        <f t="shared" si="9"/>
        <v>2943.57</v>
      </c>
      <c r="I21" s="39">
        <v>2943.57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10</v>
      </c>
      <c r="AW21" s="1798">
        <f t="shared" si="12"/>
        <v>0</v>
      </c>
      <c r="AX21" s="1798" t="str">
        <f t="shared" si="13"/>
        <v>19#、20#</v>
      </c>
      <c r="AY21" s="42">
        <f t="shared" si="14"/>
        <v>1534.65</v>
      </c>
      <c r="AZ21" s="35">
        <f t="shared" si="15"/>
        <v>2943.57</v>
      </c>
      <c r="BA21" s="35">
        <f t="shared" si="16"/>
        <v>2943.57</v>
      </c>
      <c r="BB21" s="35">
        <f t="shared" si="17"/>
        <v>2943.57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v>6</v>
      </c>
      <c r="B22" s="34"/>
      <c r="C22" s="34" t="s">
        <v>3427</v>
      </c>
      <c r="D22" s="2215" t="s">
        <v>3437</v>
      </c>
      <c r="E22" s="35">
        <f t="shared" si="7"/>
        <v>1973.5</v>
      </c>
      <c r="F22" s="36"/>
      <c r="G22" s="37">
        <f t="shared" si="8"/>
        <v>3785.32</v>
      </c>
      <c r="H22" s="38">
        <f t="shared" si="9"/>
        <v>3785.32</v>
      </c>
      <c r="I22" s="39">
        <v>3785.32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6</v>
      </c>
      <c r="AW22" s="1798">
        <f t="shared" si="12"/>
        <v>0</v>
      </c>
      <c r="AX22" s="1798" t="str">
        <f t="shared" si="13"/>
        <v>21#</v>
      </c>
      <c r="AY22" s="42">
        <f t="shared" si="14"/>
        <v>1973.5</v>
      </c>
      <c r="AZ22" s="35">
        <f t="shared" si="15"/>
        <v>3785.32</v>
      </c>
      <c r="BA22" s="35">
        <f t="shared" si="16"/>
        <v>3785.32</v>
      </c>
      <c r="BB22" s="35">
        <f t="shared" si="17"/>
        <v>3785.32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8.8">
      <c r="A23" s="9">
        <v>15</v>
      </c>
      <c r="B23" s="34"/>
      <c r="C23" s="34" t="s">
        <v>3428</v>
      </c>
      <c r="D23" s="2215" t="s">
        <v>3437</v>
      </c>
      <c r="E23" s="35">
        <f t="shared" si="7"/>
        <v>3417.13</v>
      </c>
      <c r="F23" s="36"/>
      <c r="G23" s="37">
        <f t="shared" si="8"/>
        <v>6554.32</v>
      </c>
      <c r="H23" s="38">
        <f t="shared" si="9"/>
        <v>6215.53</v>
      </c>
      <c r="I23" s="39">
        <v>6215.53</v>
      </c>
      <c r="J23" s="39"/>
      <c r="K23" s="39"/>
      <c r="L23" s="39"/>
      <c r="M23" s="39"/>
      <c r="N23" s="39"/>
      <c r="O23" s="39"/>
      <c r="P23" s="39"/>
      <c r="Q23" s="39"/>
      <c r="R23" s="39"/>
      <c r="S23" s="39"/>
      <c r="T23" s="39"/>
      <c r="U23" s="39"/>
      <c r="V23" s="39"/>
      <c r="W23" s="39"/>
      <c r="X23" s="39"/>
      <c r="Y23" s="39"/>
      <c r="Z23" s="39"/>
      <c r="AA23" s="39"/>
      <c r="AB23" s="39"/>
      <c r="AC23" s="35">
        <f t="shared" si="10"/>
        <v>338.79</v>
      </c>
      <c r="AD23" s="40"/>
      <c r="AE23" s="40"/>
      <c r="AF23" s="40"/>
      <c r="AG23" s="40"/>
      <c r="AH23" s="40"/>
      <c r="AI23" s="40"/>
      <c r="AJ23" s="40"/>
      <c r="AK23" s="40"/>
      <c r="AL23" s="40"/>
      <c r="AM23" s="40"/>
      <c r="AN23" s="40">
        <v>338.79</v>
      </c>
      <c r="AO23" s="40"/>
      <c r="AP23" s="40"/>
      <c r="AQ23" s="40"/>
      <c r="AR23" s="40"/>
      <c r="AS23" s="40"/>
      <c r="AT23" s="41"/>
      <c r="AU23" s="2221"/>
      <c r="AV23" s="1798">
        <f t="shared" si="11"/>
        <v>15</v>
      </c>
      <c r="AW23" s="1798">
        <f t="shared" si="12"/>
        <v>0</v>
      </c>
      <c r="AX23" s="1798" t="str">
        <f t="shared" si="13"/>
        <v>22#、23#、25#</v>
      </c>
      <c r="AY23" s="42">
        <f t="shared" si="14"/>
        <v>3417.13</v>
      </c>
      <c r="AZ23" s="35">
        <f t="shared" si="15"/>
        <v>6554.32</v>
      </c>
      <c r="BA23" s="35">
        <f t="shared" si="16"/>
        <v>6215.53</v>
      </c>
      <c r="BB23" s="35">
        <f t="shared" si="17"/>
        <v>6215.53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338.79</v>
      </c>
      <c r="BM23" s="35">
        <f t="shared" si="28"/>
        <v>0</v>
      </c>
      <c r="BN23" s="35">
        <f t="shared" si="29"/>
        <v>0</v>
      </c>
      <c r="BO23" s="35">
        <f t="shared" si="30"/>
        <v>0</v>
      </c>
      <c r="BP23" s="35">
        <f t="shared" si="31"/>
        <v>0</v>
      </c>
      <c r="BQ23" s="35">
        <f t="shared" si="32"/>
        <v>0</v>
      </c>
      <c r="BR23" s="35">
        <f t="shared" si="33"/>
        <v>338.79</v>
      </c>
      <c r="BS23" s="35">
        <f t="shared" si="34"/>
        <v>0</v>
      </c>
      <c r="BT23" s="43">
        <f t="shared" si="35"/>
        <v>0</v>
      </c>
    </row>
    <row r="24" spans="1:72" ht="14.4">
      <c r="A24" s="9">
        <v>10</v>
      </c>
      <c r="B24" s="34"/>
      <c r="C24" s="34" t="s">
        <v>3429</v>
      </c>
      <c r="D24" s="2215" t="s">
        <v>3437</v>
      </c>
      <c r="E24" s="35">
        <f t="shared" si="7"/>
        <v>1537.16</v>
      </c>
      <c r="F24" s="36"/>
      <c r="G24" s="37">
        <f t="shared" si="8"/>
        <v>2948.4</v>
      </c>
      <c r="H24" s="38">
        <f t="shared" si="9"/>
        <v>2948.4</v>
      </c>
      <c r="I24" s="39">
        <v>2948.4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10</v>
      </c>
      <c r="AW24" s="1798">
        <f t="shared" si="12"/>
        <v>0</v>
      </c>
      <c r="AX24" s="1798" t="str">
        <f t="shared" si="13"/>
        <v>26#、27#</v>
      </c>
      <c r="AY24" s="42">
        <f t="shared" si="14"/>
        <v>1537.16</v>
      </c>
      <c r="AZ24" s="35">
        <f t="shared" si="15"/>
        <v>2948.4</v>
      </c>
      <c r="BA24" s="35">
        <f t="shared" si="16"/>
        <v>2948.4</v>
      </c>
      <c r="BB24" s="35">
        <f t="shared" si="17"/>
        <v>2948.4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
      <c r="A25" s="9">
        <f>SUM(A13:A24)</f>
        <v>161</v>
      </c>
      <c r="B25" s="2951" t="s">
        <v>3436</v>
      </c>
      <c r="C25" s="34" t="s">
        <v>3430</v>
      </c>
      <c r="D25" s="2215" t="s">
        <v>3437</v>
      </c>
      <c r="E25" s="35">
        <f t="shared" si="7"/>
        <v>1902.99</v>
      </c>
      <c r="F25" s="36"/>
      <c r="G25" s="37">
        <f t="shared" si="8"/>
        <v>3650.08</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3650.08</v>
      </c>
      <c r="AD25" s="40"/>
      <c r="AE25" s="40"/>
      <c r="AF25" s="40"/>
      <c r="AG25" s="40"/>
      <c r="AH25" s="40"/>
      <c r="AI25" s="40"/>
      <c r="AJ25" s="40"/>
      <c r="AK25" s="40"/>
      <c r="AL25" s="40">
        <v>3650.08</v>
      </c>
      <c r="AM25" s="40"/>
      <c r="AN25" s="40"/>
      <c r="AO25" s="40"/>
      <c r="AP25" s="40"/>
      <c r="AQ25" s="40"/>
      <c r="AR25" s="40"/>
      <c r="AS25" s="40"/>
      <c r="AT25" s="41"/>
      <c r="AU25" s="2221"/>
      <c r="AV25" s="1798">
        <f t="shared" si="11"/>
        <v>161</v>
      </c>
      <c r="AW25" s="1798" t="str">
        <f t="shared" si="12"/>
        <v>套</v>
      </c>
      <c r="AX25" s="1798" t="str">
        <f t="shared" si="13"/>
        <v>28#、29#</v>
      </c>
      <c r="AY25" s="42">
        <f t="shared" si="14"/>
        <v>1902.99</v>
      </c>
      <c r="AZ25" s="35">
        <f t="shared" si="15"/>
        <v>3650.08</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3650.08</v>
      </c>
      <c r="BM25" s="35">
        <f t="shared" si="28"/>
        <v>0</v>
      </c>
      <c r="BN25" s="35">
        <f t="shared" si="29"/>
        <v>0</v>
      </c>
      <c r="BO25" s="35">
        <f t="shared" si="30"/>
        <v>0</v>
      </c>
      <c r="BP25" s="35">
        <f t="shared" si="31"/>
        <v>0</v>
      </c>
      <c r="BQ25" s="35">
        <f t="shared" si="32"/>
        <v>3650.08</v>
      </c>
      <c r="BR25" s="35">
        <f t="shared" si="33"/>
        <v>0</v>
      </c>
      <c r="BS25" s="35">
        <f t="shared" si="34"/>
        <v>0</v>
      </c>
      <c r="BT25" s="43">
        <f t="shared" si="35"/>
        <v>0</v>
      </c>
    </row>
    <row r="26" spans="1:72">
      <c r="A26" s="9"/>
      <c r="B26" s="34"/>
      <c r="C26" s="34" t="s">
        <v>3431</v>
      </c>
      <c r="D26" s="2215" t="s">
        <v>3437</v>
      </c>
      <c r="E26" s="35">
        <f t="shared" si="7"/>
        <v>461.32</v>
      </c>
      <c r="F26" s="36"/>
      <c r="G26" s="37">
        <f t="shared" si="8"/>
        <v>884.85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884.85</v>
      </c>
      <c r="AD26" s="40"/>
      <c r="AE26" s="40"/>
      <c r="AF26" s="40"/>
      <c r="AG26" s="40"/>
      <c r="AH26" s="40"/>
      <c r="AI26" s="40"/>
      <c r="AJ26" s="40"/>
      <c r="AK26" s="40"/>
      <c r="AL26" s="40">
        <v>884.85</v>
      </c>
      <c r="AM26" s="40"/>
      <c r="AN26" s="40"/>
      <c r="AO26" s="40"/>
      <c r="AP26" s="40"/>
      <c r="AQ26" s="40"/>
      <c r="AR26" s="40"/>
      <c r="AS26" s="40"/>
      <c r="AT26" s="41"/>
      <c r="AU26" s="2221"/>
      <c r="AV26" s="1798">
        <f t="shared" si="11"/>
        <v>0</v>
      </c>
      <c r="AW26" s="1798">
        <f t="shared" si="12"/>
        <v>0</v>
      </c>
      <c r="AX26" s="1798" t="str">
        <f t="shared" si="13"/>
        <v>30#</v>
      </c>
      <c r="AY26" s="42">
        <f t="shared" si="14"/>
        <v>461.32</v>
      </c>
      <c r="AZ26" s="35">
        <f t="shared" si="15"/>
        <v>884.85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884.85</v>
      </c>
      <c r="BM26" s="35">
        <f t="shared" si="28"/>
        <v>0</v>
      </c>
      <c r="BN26" s="35">
        <f t="shared" si="29"/>
        <v>0</v>
      </c>
      <c r="BO26" s="35">
        <f t="shared" si="30"/>
        <v>0</v>
      </c>
      <c r="BP26" s="35">
        <f t="shared" si="31"/>
        <v>0</v>
      </c>
      <c r="BQ26" s="35">
        <f t="shared" si="32"/>
        <v>884.85</v>
      </c>
      <c r="BR26" s="35">
        <f t="shared" si="33"/>
        <v>0</v>
      </c>
      <c r="BS26" s="35">
        <f t="shared" si="34"/>
        <v>0</v>
      </c>
      <c r="BT26" s="43">
        <f t="shared" si="35"/>
        <v>0</v>
      </c>
    </row>
    <row r="27" spans="1:72">
      <c r="A27" s="9"/>
      <c r="B27" s="34"/>
      <c r="C27" s="34" t="s">
        <v>3432</v>
      </c>
      <c r="D27" s="2215" t="s">
        <v>3437</v>
      </c>
      <c r="E27" s="35">
        <f t="shared" si="7"/>
        <v>458.86</v>
      </c>
      <c r="F27" s="36"/>
      <c r="G27" s="37">
        <f t="shared" si="8"/>
        <v>880.13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880.13</v>
      </c>
      <c r="AD27" s="40"/>
      <c r="AE27" s="40"/>
      <c r="AF27" s="40"/>
      <c r="AG27" s="40"/>
      <c r="AH27" s="40"/>
      <c r="AI27" s="40"/>
      <c r="AJ27" s="40"/>
      <c r="AK27" s="40"/>
      <c r="AL27" s="40">
        <v>880.13</v>
      </c>
      <c r="AM27" s="40"/>
      <c r="AN27" s="40"/>
      <c r="AO27" s="40"/>
      <c r="AP27" s="40"/>
      <c r="AQ27" s="40"/>
      <c r="AR27" s="40"/>
      <c r="AS27" s="40"/>
      <c r="AT27" s="41"/>
      <c r="AU27" s="2221"/>
      <c r="AV27" s="1798">
        <f t="shared" si="11"/>
        <v>0</v>
      </c>
      <c r="AW27" s="1798">
        <f t="shared" si="12"/>
        <v>0</v>
      </c>
      <c r="AX27" s="1798" t="str">
        <f t="shared" si="13"/>
        <v>31#</v>
      </c>
      <c r="AY27" s="42">
        <f t="shared" si="14"/>
        <v>458.86</v>
      </c>
      <c r="AZ27" s="35">
        <f t="shared" si="15"/>
        <v>880.13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880.13</v>
      </c>
      <c r="BM27" s="35">
        <f t="shared" si="28"/>
        <v>0</v>
      </c>
      <c r="BN27" s="35">
        <f t="shared" si="29"/>
        <v>0</v>
      </c>
      <c r="BO27" s="35">
        <f t="shared" si="30"/>
        <v>0</v>
      </c>
      <c r="BP27" s="35">
        <f t="shared" si="31"/>
        <v>0</v>
      </c>
      <c r="BQ27" s="35">
        <f t="shared" si="32"/>
        <v>880.13</v>
      </c>
      <c r="BR27" s="35">
        <f t="shared" si="33"/>
        <v>0</v>
      </c>
      <c r="BS27" s="35">
        <f t="shared" si="34"/>
        <v>0</v>
      </c>
      <c r="BT27" s="43">
        <f t="shared" si="35"/>
        <v>0</v>
      </c>
    </row>
    <row r="28" spans="1:72">
      <c r="A28" s="9"/>
      <c r="B28" s="34"/>
      <c r="C28" s="34" t="s">
        <v>3433</v>
      </c>
      <c r="D28" s="2215" t="s">
        <v>3437</v>
      </c>
      <c r="E28" s="35">
        <f t="shared" si="7"/>
        <v>270.51</v>
      </c>
      <c r="F28" s="36"/>
      <c r="G28" s="37">
        <f t="shared" si="8"/>
        <v>518.86</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518.86</v>
      </c>
      <c r="AD28" s="40"/>
      <c r="AE28" s="40"/>
      <c r="AF28" s="40"/>
      <c r="AG28" s="40"/>
      <c r="AH28" s="40">
        <v>223.23</v>
      </c>
      <c r="AI28" s="40"/>
      <c r="AJ28" s="40"/>
      <c r="AK28" s="40"/>
      <c r="AL28" s="40">
        <v>295.63</v>
      </c>
      <c r="AM28" s="40"/>
      <c r="AN28" s="40"/>
      <c r="AO28" s="40"/>
      <c r="AP28" s="40"/>
      <c r="AQ28" s="40"/>
      <c r="AR28" s="40"/>
      <c r="AS28" s="40"/>
      <c r="AT28" s="41"/>
      <c r="AU28" s="2221"/>
      <c r="AV28" s="1798">
        <f t="shared" si="11"/>
        <v>0</v>
      </c>
      <c r="AW28" s="1798">
        <f t="shared" si="12"/>
        <v>0</v>
      </c>
      <c r="AX28" s="1798" t="str">
        <f t="shared" si="13"/>
        <v>32#</v>
      </c>
      <c r="AY28" s="42">
        <f t="shared" si="14"/>
        <v>270.51</v>
      </c>
      <c r="AZ28" s="35">
        <f t="shared" si="15"/>
        <v>518.86</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518.86</v>
      </c>
      <c r="BM28" s="35">
        <f t="shared" si="28"/>
        <v>0</v>
      </c>
      <c r="BN28" s="35">
        <f t="shared" si="29"/>
        <v>0</v>
      </c>
      <c r="BO28" s="35">
        <f t="shared" si="30"/>
        <v>223.23</v>
      </c>
      <c r="BP28" s="35">
        <f t="shared" si="31"/>
        <v>0</v>
      </c>
      <c r="BQ28" s="35">
        <f t="shared" si="32"/>
        <v>295.63</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S31" sqref="S31"/>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1934</v>
      </c>
      <c r="B1" s="1395"/>
      <c r="C1" s="1395"/>
      <c r="D1" s="1395"/>
      <c r="E1" s="1395"/>
      <c r="F1" s="1395"/>
      <c r="G1" s="1395"/>
      <c r="H1" s="1395"/>
      <c r="I1" s="1395"/>
      <c r="J1" s="1395"/>
      <c r="K1" s="1395"/>
      <c r="L1" s="1395"/>
      <c r="M1" s="1395"/>
      <c r="N1" s="1395"/>
      <c r="O1" s="1395"/>
      <c r="P1" s="1395"/>
    </row>
    <row r="2" spans="1:16" ht="14.4">
      <c r="A2" s="3040" t="s">
        <v>1935</v>
      </c>
      <c r="B2" s="3040"/>
      <c r="C2" s="3040"/>
      <c r="D2" s="970" t="s">
        <v>1911</v>
      </c>
      <c r="E2" s="2229" t="s">
        <v>1912</v>
      </c>
      <c r="F2" s="1395"/>
      <c r="G2" s="2230"/>
      <c r="H2" s="2231"/>
      <c r="I2" s="2232" t="s">
        <v>1936</v>
      </c>
      <c r="J2" s="1395"/>
      <c r="K2" s="1395"/>
      <c r="L2" s="1395"/>
      <c r="M2" s="1395"/>
      <c r="N2" s="1430"/>
      <c r="O2" s="1395"/>
      <c r="P2" s="1395"/>
    </row>
    <row r="3" spans="1:16" ht="15" thickBot="1">
      <c r="A3" s="3041" t="s">
        <v>1909</v>
      </c>
      <c r="B3" s="3041"/>
      <c r="C3" s="3041"/>
      <c r="D3" s="46">
        <f>'数据-基础表'!AY6</f>
        <v>40694</v>
      </c>
      <c r="E3" s="46">
        <f>'数据-基础表'!AZ5</f>
        <v>78054.290000000008</v>
      </c>
      <c r="F3" s="1395"/>
      <c r="G3" s="1402"/>
      <c r="H3" s="1250" t="s">
        <v>1910</v>
      </c>
      <c r="I3" s="55">
        <f>ROUND('数据-基础表'!B3/'数据-基础表'!A3,2)</f>
        <v>1.92</v>
      </c>
      <c r="J3" s="1395"/>
      <c r="K3" s="1395"/>
      <c r="L3" s="1395"/>
      <c r="M3" s="1395"/>
      <c r="N3" s="1430"/>
      <c r="O3" s="1395"/>
      <c r="P3" s="1395"/>
    </row>
    <row r="4" spans="1:16" ht="14.4">
      <c r="A4" s="3042"/>
      <c r="B4" s="3043"/>
      <c r="C4" s="3044"/>
      <c r="D4" s="2233" t="s">
        <v>1911</v>
      </c>
      <c r="E4" s="2234" t="s">
        <v>1912</v>
      </c>
      <c r="F4" s="1395"/>
      <c r="G4" s="2235" t="s">
        <v>1937</v>
      </c>
      <c r="H4" s="1250" t="s">
        <v>1917</v>
      </c>
      <c r="I4" s="55">
        <f>ROUND(SUMIF('数据-基础表'!I9:AS9,"地上",'数据-基础表'!I5:AS5)/'数据-基础表'!A3,2)</f>
        <v>1.75</v>
      </c>
      <c r="J4" s="1395"/>
      <c r="K4" s="1395"/>
      <c r="L4" s="1395"/>
      <c r="M4" s="1395"/>
      <c r="N4" s="1430"/>
      <c r="O4" s="1395"/>
      <c r="P4" s="1395"/>
    </row>
    <row r="5" spans="1:16" ht="14.4">
      <c r="A5" s="47" t="s">
        <v>1913</v>
      </c>
      <c r="B5" s="3045" t="s">
        <v>1914</v>
      </c>
      <c r="C5" s="3045"/>
      <c r="D5" s="48">
        <f>ROUND($D$3*E5/$E$3,2)</f>
        <v>0</v>
      </c>
      <c r="E5" s="49">
        <f>SUMIF('数据-基础表'!$11:$11,"住宅",'数据-基础表'!$5:$5)</f>
        <v>0</v>
      </c>
      <c r="F5" s="1395"/>
      <c r="G5" s="1402"/>
      <c r="H5" s="1250" t="s">
        <v>1910</v>
      </c>
      <c r="I5" s="55">
        <f>ROUND(E31/D31,2)</f>
        <v>1.92</v>
      </c>
      <c r="J5" s="1395"/>
      <c r="K5" s="1395"/>
      <c r="L5" s="1395"/>
      <c r="M5" s="1395"/>
      <c r="N5" s="1395"/>
      <c r="O5" s="1395"/>
      <c r="P5" s="1395"/>
    </row>
    <row r="6" spans="1:16" ht="15" thickBot="1">
      <c r="A6" s="2236"/>
      <c r="B6" s="3045" t="s">
        <v>1915</v>
      </c>
      <c r="C6" s="3045"/>
      <c r="D6" s="48">
        <f>ROUND($D$3*E6/$E$3,2)</f>
        <v>40694</v>
      </c>
      <c r="E6" s="49">
        <f>E3-E5</f>
        <v>78054.290000000008</v>
      </c>
      <c r="F6" s="1395"/>
      <c r="G6" s="2237" t="s">
        <v>1916</v>
      </c>
      <c r="H6" s="1402" t="s">
        <v>1917</v>
      </c>
      <c r="I6" s="942">
        <f>ROUND(F31/D31,2)</f>
        <v>1.75</v>
      </c>
      <c r="J6" s="1395"/>
      <c r="K6" s="1395"/>
      <c r="L6" s="1395"/>
      <c r="M6" s="1395"/>
      <c r="N6" s="1395"/>
      <c r="O6" s="1395"/>
      <c r="P6" s="1395"/>
    </row>
    <row r="7" spans="1:16" ht="14.4">
      <c r="A7" s="3037"/>
      <c r="B7" s="3038"/>
      <c r="C7" s="3039"/>
      <c r="D7" s="2233" t="s">
        <v>1911</v>
      </c>
      <c r="E7" s="2238" t="s">
        <v>1918</v>
      </c>
      <c r="F7" s="1395"/>
      <c r="G7" s="2230" t="s">
        <v>1919</v>
      </c>
      <c r="H7" s="64"/>
      <c r="I7" s="420"/>
      <c r="J7" s="1395"/>
      <c r="K7" s="1395"/>
      <c r="L7" s="1395"/>
      <c r="M7" s="1395"/>
      <c r="N7" s="1395"/>
      <c r="O7" s="1395"/>
      <c r="P7" s="1395"/>
    </row>
    <row r="8" spans="1:16" ht="14.4">
      <c r="A8" s="47" t="s">
        <v>1920</v>
      </c>
      <c r="B8" s="50" t="s">
        <v>1921</v>
      </c>
      <c r="C8" s="48" t="s">
        <v>1922</v>
      </c>
      <c r="D8" s="48">
        <f t="shared" ref="D8:D15" si="0">ROUND($D$3*E8/$E$3,2)</f>
        <v>33997.370000000003</v>
      </c>
      <c r="E8" s="51">
        <f>SUMIF('数据-基础表'!BB10:BK10,"地上",'数据-基础表'!BB5:BK5)</f>
        <v>65209.619999999995</v>
      </c>
      <c r="F8" s="1395"/>
      <c r="G8" s="2239"/>
      <c r="H8" s="2239"/>
      <c r="I8" s="1395"/>
      <c r="J8" s="1395"/>
      <c r="K8" s="1395"/>
      <c r="L8" s="1395"/>
      <c r="M8" s="1395"/>
      <c r="N8" s="1395"/>
      <c r="O8" s="1395"/>
      <c r="P8" s="1395"/>
    </row>
    <row r="9" spans="1:16" ht="14.4">
      <c r="A9" s="2240"/>
      <c r="B9" s="2241"/>
      <c r="C9" s="48" t="s">
        <v>1923</v>
      </c>
      <c r="D9" s="48">
        <f t="shared" si="0"/>
        <v>116.38</v>
      </c>
      <c r="E9" s="52">
        <f>'数据-基础表'!AH28</f>
        <v>223.23</v>
      </c>
      <c r="F9" s="1395"/>
      <c r="G9" s="2239"/>
      <c r="H9" s="2239"/>
      <c r="I9" s="1395"/>
      <c r="J9" s="1395"/>
      <c r="K9" s="1395"/>
      <c r="L9" s="1395"/>
      <c r="M9" s="1395"/>
      <c r="N9" s="1395"/>
      <c r="O9" s="1395"/>
      <c r="P9" s="1395"/>
    </row>
    <row r="10" spans="1:16" ht="14.4">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ht="14.4">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ht="14.4">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ht="14.4">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ht="14.4">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 thickBot="1">
      <c r="A16" s="2236"/>
      <c r="B16" s="2241"/>
      <c r="C16" s="50" t="s">
        <v>1927</v>
      </c>
      <c r="D16" s="50">
        <f>SUM(D8:D15)</f>
        <v>34113.75</v>
      </c>
      <c r="E16" s="53">
        <f>SUM(E8:E15)</f>
        <v>65432.85</v>
      </c>
      <c r="F16" s="1395"/>
      <c r="G16" s="2239"/>
      <c r="H16" s="2242" t="s">
        <v>1939</v>
      </c>
      <c r="I16" s="2243"/>
      <c r="J16" s="1395"/>
      <c r="K16" s="3034" t="s">
        <v>1939</v>
      </c>
      <c r="L16" s="3035"/>
      <c r="M16" s="3035"/>
      <c r="N16" s="3035"/>
      <c r="O16" s="3035"/>
      <c r="P16" s="3036"/>
    </row>
    <row r="17" spans="1:19" ht="14.4">
      <c r="A17" s="2244" t="s">
        <v>1940</v>
      </c>
      <c r="B17" s="2245" t="s">
        <v>1941</v>
      </c>
      <c r="C17" s="2246" t="s">
        <v>1942</v>
      </c>
      <c r="D17" s="2247" t="s">
        <v>1930</v>
      </c>
      <c r="E17" s="2248" t="s">
        <v>1931</v>
      </c>
      <c r="F17" s="2249"/>
      <c r="G17" s="2250"/>
      <c r="H17" s="2251" t="s">
        <v>1943</v>
      </c>
      <c r="I17" s="2252" t="s">
        <v>1928</v>
      </c>
      <c r="J17" s="1395"/>
      <c r="K17" s="3031" t="s">
        <v>1944</v>
      </c>
      <c r="L17" s="3032"/>
      <c r="M17" s="3033"/>
      <c r="N17" s="3031" t="s">
        <v>1945</v>
      </c>
      <c r="O17" s="3032"/>
      <c r="P17" s="3033"/>
      <c r="R17" s="2230" t="s">
        <v>1946</v>
      </c>
      <c r="S17" s="64"/>
    </row>
    <row r="18" spans="1:19" ht="14.4">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ht="14.4">
      <c r="A19" s="2261"/>
      <c r="B19" s="50" t="s">
        <v>1929</v>
      </c>
      <c r="C19" s="2952" t="s">
        <v>3439</v>
      </c>
      <c r="D19" s="48">
        <f>ROUND($D$3*E19/$E$3,2)</f>
        <v>33997.370000000003</v>
      </c>
      <c r="E19" s="56">
        <f t="shared" ref="E19:E26" si="1">SUM(F19:G19)</f>
        <v>65209.619999999995</v>
      </c>
      <c r="F19" s="57">
        <f>'数据-基础表'!I5</f>
        <v>65209.619999999995</v>
      </c>
      <c r="G19" s="58"/>
      <c r="H19" s="723">
        <f>ROUND($D$3*I19/$E$3,2)</f>
        <v>6580.25</v>
      </c>
      <c r="I19" s="51">
        <f t="shared" ref="I19:I26" si="2">IF($I$17="自定义",P19,M19)</f>
        <v>12621.44</v>
      </c>
      <c r="J19" s="1395"/>
      <c r="K19" s="1394">
        <f t="shared" ref="K19:K26" si="3">ROUND(E$28*E19/E$27,2)</f>
        <v>12621.44</v>
      </c>
      <c r="L19" s="1250">
        <f t="shared" ref="L19:L26" si="4">ROUND(IF(COUNTIF(C19,"*住宅*")&gt;0,E$29*E19/E$32,0),2)</f>
        <v>0</v>
      </c>
      <c r="M19" s="1406">
        <f>K19+L19</f>
        <v>12621.44</v>
      </c>
      <c r="N19" s="2263"/>
      <c r="O19" s="2264"/>
      <c r="P19" s="1406">
        <f>N19+O19</f>
        <v>0</v>
      </c>
      <c r="R19" s="1250">
        <f t="shared" ref="R19:S26" si="5">D19+H19</f>
        <v>40577.620000000003</v>
      </c>
      <c r="S19" s="1251">
        <f t="shared" si="5"/>
        <v>77831.06</v>
      </c>
    </row>
    <row r="20" spans="1:19" ht="14.4">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ht="14.4">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ht="14.4">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ht="14.4">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ht="14.4">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ht="14.4">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ht="14.4">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42" thickBot="1">
      <c r="A27" s="2265"/>
      <c r="B27" s="48"/>
      <c r="C27" s="2268" t="s">
        <v>1958</v>
      </c>
      <c r="D27" s="1396">
        <f>SUM(D19:D26)</f>
        <v>33997.370000000003</v>
      </c>
      <c r="E27" s="1397">
        <f>IF(SUM(E19:E26)='数据-基础表'!BA5,SUM(E19:E26),IF(F27="地上面积有误","面积有误","地下面积有误"))</f>
        <v>65209.619999999995</v>
      </c>
      <c r="F27" s="1396">
        <f>IF(SUM(F19:F26)=E8,SUM(F19:F26),"地上面积有误")</f>
        <v>65209.619999999995</v>
      </c>
      <c r="G27" s="1398">
        <f>SUM(G19:G26)</f>
        <v>0</v>
      </c>
      <c r="H27" s="1399">
        <f>SUM(H19:H26)</f>
        <v>6580.25</v>
      </c>
      <c r="I27" s="1400">
        <f>SUM(I19:I26)</f>
        <v>12621.44</v>
      </c>
      <c r="J27" s="1395"/>
      <c r="K27" s="1403">
        <f>SUM(K19:K26)</f>
        <v>12621.44</v>
      </c>
      <c r="L27" s="1404">
        <f>SUM(L19:L26)</f>
        <v>0</v>
      </c>
      <c r="M27" s="1407">
        <f>SUM(M19:M26)</f>
        <v>12621.44</v>
      </c>
      <c r="N27" s="1403">
        <f t="shared" ref="N27:O27" si="10">SUM(N19:N26)</f>
        <v>0</v>
      </c>
      <c r="O27" s="1404">
        <f t="shared" si="10"/>
        <v>0</v>
      </c>
      <c r="P27" s="1405">
        <f>SUM(P19:P26)</f>
        <v>0</v>
      </c>
      <c r="R27" s="1252" t="str">
        <f>IF(SUM(R19:R26)=$D$3,SUM(R19:R26),SUM(R19:R26)&amp;"误差"&amp;ROUND(SUM(R19:R26)-$D$3,2))</f>
        <v>40577.62误差-116.38</v>
      </c>
      <c r="S27" s="1250" t="str">
        <f>IF(SUM(S19:S26)=$E$3,SUM(S19:S26),SUM(S19:S26)&amp;"误差"&amp;ROUND(SUM(S19:S26)-E3,2))</f>
        <v>77831.06误差-223.23</v>
      </c>
    </row>
    <row r="28" spans="1:19" ht="14.4">
      <c r="A28" s="2265"/>
      <c r="B28" s="50" t="s">
        <v>1959</v>
      </c>
      <c r="C28" s="1262" t="s">
        <v>1960</v>
      </c>
      <c r="D28" s="48">
        <f>ROUND($D$3*E28/$E$3,2)</f>
        <v>6580.25</v>
      </c>
      <c r="E28" s="56">
        <f>SUM(F28:G28)</f>
        <v>12621.44</v>
      </c>
      <c r="F28" s="64">
        <f>'数据-基础表'!BQ5+'数据-基础表'!BS5</f>
        <v>5710.6900000000005</v>
      </c>
      <c r="G28" s="65">
        <f>'数据-基础表'!BR5+'数据-基础表'!BT5</f>
        <v>6910.75</v>
      </c>
      <c r="H28" s="1395"/>
      <c r="I28" s="1395"/>
      <c r="J28" s="1395"/>
      <c r="K28" s="1395"/>
      <c r="L28" s="1395"/>
      <c r="M28" s="1395"/>
      <c r="N28" s="1395"/>
      <c r="O28" s="1395"/>
      <c r="P28" s="1395"/>
    </row>
    <row r="29" spans="1:19" ht="14.4">
      <c r="A29" s="2265"/>
      <c r="B29" s="50" t="s">
        <v>1959</v>
      </c>
      <c r="C29" s="2269" t="s">
        <v>1961</v>
      </c>
      <c r="D29" s="48">
        <f>ROUND($D$3*E29/$E$3,2)</f>
        <v>116.38</v>
      </c>
      <c r="E29" s="56">
        <f>SUM(F29:G29)</f>
        <v>223.23</v>
      </c>
      <c r="F29" s="66">
        <f>'数据-基础表'!BM5+'数据-基础表'!BO5</f>
        <v>223.23</v>
      </c>
      <c r="G29" s="67">
        <f>'数据-基础表'!BN5+'数据-基础表'!BP5</f>
        <v>0</v>
      </c>
      <c r="H29" s="1395"/>
      <c r="I29" s="1395"/>
      <c r="J29" s="1395"/>
      <c r="K29" s="1395"/>
      <c r="L29" s="1395"/>
      <c r="M29" s="1395"/>
      <c r="N29" s="1395"/>
      <c r="O29" s="1395"/>
      <c r="P29" s="1395"/>
    </row>
    <row r="30" spans="1:19" ht="14.4">
      <c r="A30" s="2265"/>
      <c r="B30" s="50"/>
      <c r="C30" s="2270" t="s">
        <v>1958</v>
      </c>
      <c r="D30" s="1396">
        <f>SUM(D28:D29)</f>
        <v>6696.63</v>
      </c>
      <c r="E30" s="1396">
        <f>SUM(E28:E29)</f>
        <v>12844.67</v>
      </c>
      <c r="F30" s="1396">
        <f>SUM(F28:F29)</f>
        <v>5933.92</v>
      </c>
      <c r="G30" s="1398">
        <f>SUM(G28:G29)</f>
        <v>6910.75</v>
      </c>
      <c r="H30" s="1395"/>
      <c r="I30" s="1395"/>
      <c r="J30" s="1395"/>
      <c r="K30" s="1395"/>
      <c r="L30" s="1395"/>
      <c r="M30" s="1395"/>
      <c r="N30" s="1395"/>
      <c r="O30" s="1395"/>
      <c r="P30" s="1395"/>
      <c r="S30" s="2228">
        <f>'[1]数据-汇总表'!$F$19+'[2]数据-汇总表'!$F$19+F19</f>
        <v>210795.41</v>
      </c>
    </row>
    <row r="31" spans="1:19" ht="15" thickBot="1">
      <c r="A31" s="2271"/>
      <c r="B31" s="2272"/>
      <c r="C31" s="1010" t="s">
        <v>1962</v>
      </c>
      <c r="D31" s="729">
        <f>D27+D30</f>
        <v>40694</v>
      </c>
      <c r="E31" s="729">
        <f>E27+E30</f>
        <v>78054.289999999994</v>
      </c>
      <c r="F31" s="730">
        <f>F27+F30</f>
        <v>71143.539999999994</v>
      </c>
      <c r="G31" s="731">
        <f>G27+G30</f>
        <v>6910.75</v>
      </c>
      <c r="H31" s="1395"/>
      <c r="I31" s="1395"/>
      <c r="J31" s="1395"/>
      <c r="K31" s="1395"/>
      <c r="L31" s="1395"/>
      <c r="M31" s="1395"/>
      <c r="N31" s="1395"/>
      <c r="O31" s="1395"/>
      <c r="P31" s="1395"/>
    </row>
    <row r="32" spans="1:19" ht="14.4">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N20" sqref="AN20"/>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24" width="6.77734375" style="2277" customWidth="1"/>
    <col min="25" max="25" width="9.109375" style="2277" customWidth="1"/>
    <col min="26"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8" t="s">
        <v>1965</v>
      </c>
      <c r="B2" s="1269">
        <f>项目基本情况!D3</f>
        <v>43556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4.4"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57.6">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1985</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3.8">
      <c r="A6" s="2308" t="str">
        <f>'数据-汇总表'!C19</f>
        <v>办公</v>
      </c>
      <c r="B6" s="2309" t="str">
        <f>IF(A6=0,"","经营性")</f>
        <v>经营性</v>
      </c>
      <c r="C6" s="2310" t="s">
        <v>27</v>
      </c>
      <c r="D6" s="1054">
        <f>SUMIF(项目基本情况!D$12:I$12,C6,项目基本情况!D$14:I$14)</f>
        <v>40</v>
      </c>
      <c r="E6" s="1051">
        <f>IF(B6="","",SUMIF(项目基本情况!D$12:I$12,C6,项目基本情况!D$13:I$13))</f>
        <v>56366</v>
      </c>
      <c r="F6" s="72">
        <f>SUMIF(项目基本情况!D$12:I$12,C6,项目基本情况!D$15:I$15)</f>
        <v>35.090000000000003</v>
      </c>
      <c r="G6" s="73">
        <f>IF(ISERROR(ROUND(POWER(1+H6,D6-F6)*(POWER(1+H6,F6)-1)/(POWER(1+H6,D6)-1),3)),0,ROUND(POWER(1+H6,D6-F6)*(POWER(1+H6,F6)-1)/(POWER(1+H6,D6)-1),3))</f>
        <v>0.95</v>
      </c>
      <c r="H6" s="802">
        <v>4.4999999999999998E-2</v>
      </c>
      <c r="I6" s="802">
        <v>0.05</v>
      </c>
      <c r="J6" s="74">
        <v>8.5000000000000006E-2</v>
      </c>
      <c r="K6" s="1254">
        <f>SUMIF('数据-汇总表'!C$19:C$33,A6,'数据-汇总表'!E$19:E$33)</f>
        <v>65209.619999999995</v>
      </c>
      <c r="L6" s="803">
        <v>3800</v>
      </c>
      <c r="M6" s="75">
        <f t="shared" ref="M6:M14" si="0">ROUND(K6*L6/10000,0)</f>
        <v>24780</v>
      </c>
      <c r="N6" s="801">
        <v>0.85</v>
      </c>
      <c r="O6" s="75">
        <f>IF($N$5="成新度","——",ROUND(M6*N6,0))</f>
        <v>21063</v>
      </c>
      <c r="P6" s="76">
        <f>IF($N$5="成新度","——",M6-O6)</f>
        <v>3717</v>
      </c>
      <c r="Q6" s="804">
        <v>0.2</v>
      </c>
      <c r="R6" s="77">
        <f ca="1">SUMIF('数据-汇总表'!C$19:C$33,A6,'数据-汇总表'!R$19:R$27)</f>
        <v>40577.620000000003</v>
      </c>
      <c r="S6" s="54">
        <f>IF('数据-汇总表'!$I$17="按面积比例",SUMIF('数据-汇总表'!C$19:C$33,A6,'数据-汇总表'!K$19:K$33),SUMIF('数据-汇总表'!C$19:C$33,A6,'数据-汇总表'!N$19:N$33))</f>
        <v>12621.44</v>
      </c>
      <c r="T6" s="1446">
        <f>ROUND($L$14*S6/10000,0)</f>
        <v>2777</v>
      </c>
      <c r="U6" s="78">
        <v>1.75</v>
      </c>
      <c r="V6" s="79">
        <v>2.5000000000000001E-2</v>
      </c>
      <c r="W6" s="79">
        <v>0.1</v>
      </c>
      <c r="X6" s="1264"/>
      <c r="Y6" s="80">
        <v>1</v>
      </c>
      <c r="Z6" s="81"/>
      <c r="AA6" s="74"/>
      <c r="AB6" s="74"/>
      <c r="AC6" s="1264"/>
      <c r="AD6" s="82"/>
      <c r="AE6" s="1265">
        <f ca="1">IF(AN6="",0,SUMIF(INDIRECT("'"&amp;AN6&amp;"'"&amp;"!E:E"),$AE$5,INDIRECT("'"&amp;AN6&amp;"'"&amp;"!F:F")))</f>
        <v>34.590000000000003</v>
      </c>
      <c r="AF6" s="1807"/>
      <c r="AG6" s="147">
        <f>IF(AF6="",0,AE6-AF6)</f>
        <v>0</v>
      </c>
      <c r="AH6" s="83"/>
      <c r="AI6" s="85">
        <v>365</v>
      </c>
      <c r="AJ6" s="86"/>
      <c r="AK6" s="87">
        <v>1.4999999999999999E-2</v>
      </c>
      <c r="AL6" s="88">
        <v>1.5E-3</v>
      </c>
      <c r="AM6" s="89">
        <v>0.01</v>
      </c>
      <c r="AN6" s="2311" t="s">
        <v>3441</v>
      </c>
      <c r="AO6" s="55">
        <f ca="1">SUMIF(INDIRECT("'"&amp;AN6&amp;"'"&amp;"!A:A"),"总价",INDIRECT("'"&amp;AN6&amp;"'"&amp;"!B:B"))</f>
        <v>52274</v>
      </c>
      <c r="AP6" s="2312">
        <f>IF(C6="住宅",K6*L6,0)</f>
        <v>0</v>
      </c>
      <c r="AQ6" s="55">
        <f>ROUND($L$14*$N$14*S6/10000,0)</f>
        <v>0</v>
      </c>
      <c r="AR6" s="55">
        <f>ROUND($L$14*(1-$N$14)*S6/10000,0)</f>
        <v>2777</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3.8">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3.8">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3.8">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3.8">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3.8">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3.8">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3.8">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4">
      <c r="A14" s="2313" t="s">
        <v>2010</v>
      </c>
      <c r="B14" s="2309" t="s">
        <v>2011</v>
      </c>
      <c r="C14" s="2314" t="s">
        <v>2010</v>
      </c>
      <c r="D14" s="1054"/>
      <c r="E14" s="1051"/>
      <c r="F14" s="72"/>
      <c r="G14" s="73"/>
      <c r="H14" s="1253"/>
      <c r="I14" s="1253"/>
      <c r="J14" s="1253"/>
      <c r="K14" s="1254">
        <f>SUMIF('数据-汇总表'!C$19:C$33,A14,'数据-汇总表'!E$19:E$33)</f>
        <v>12621.44</v>
      </c>
      <c r="L14" s="91">
        <v>2200</v>
      </c>
      <c r="M14" s="75">
        <f t="shared" si="0"/>
        <v>2777</v>
      </c>
      <c r="N14" s="92"/>
      <c r="O14" s="75">
        <f t="shared" si="3"/>
        <v>0</v>
      </c>
      <c r="P14" s="76">
        <f t="shared" si="4"/>
        <v>2777</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8.8">
      <c r="A15" s="2313" t="s">
        <v>2012</v>
      </c>
      <c r="B15" s="2309" t="s">
        <v>2011</v>
      </c>
      <c r="C15" s="2314" t="s">
        <v>2013</v>
      </c>
      <c r="D15" s="1054"/>
      <c r="E15" s="1051"/>
      <c r="F15" s="72"/>
      <c r="G15" s="73"/>
      <c r="H15" s="1253"/>
      <c r="I15" s="1253"/>
      <c r="J15" s="1253"/>
      <c r="K15" s="1254">
        <f>SUMIF('数据-汇总表'!C$19:C$33,A15,'数据-汇总表'!E$19:E$33)</f>
        <v>223.23</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 thickBot="1">
      <c r="A16" s="2315" t="s">
        <v>2014</v>
      </c>
      <c r="B16" s="97"/>
      <c r="C16" s="1008"/>
      <c r="D16" s="2316"/>
      <c r="E16" s="97"/>
      <c r="F16" s="97"/>
      <c r="G16" s="98">
        <f>ROUND(SUMPRODUCT(G6:G13,K6:K13)/SUMPRODUCT((G6:G13&gt;0)*(K6:K13)),3)</f>
        <v>0.95</v>
      </c>
      <c r="H16" s="99">
        <f>ROUND(SUMPRODUCT(H6:H13,K6:K13)/SUMPRODUCT((H6:H13&gt;0)*(K6:K13)),3)</f>
        <v>4.4999999999999998E-2</v>
      </c>
      <c r="I16" s="100"/>
      <c r="J16" s="100"/>
      <c r="K16" s="101">
        <f>SUM(K6:K15)</f>
        <v>78054.289999999994</v>
      </c>
      <c r="L16" s="102">
        <f>ROUND(M16*10000/SUM(K6:K14),0)</f>
        <v>3541</v>
      </c>
      <c r="M16" s="102">
        <f>SUM(M6:M14)</f>
        <v>27557</v>
      </c>
      <c r="N16" s="103">
        <f>ROUND(SUMPRODUCT(M6:M14,N6:N14)/M16,3)</f>
        <v>0.76400000000000001</v>
      </c>
      <c r="O16" s="102">
        <f>SUM(O6:O14)</f>
        <v>21063</v>
      </c>
      <c r="P16" s="102">
        <f>SUM(P6:P14)</f>
        <v>6494</v>
      </c>
      <c r="Q16" s="104">
        <f>ROUND(SUMPRODUCT(Q6:Q13,K6:K13)/SUMPRODUCT((Q6:Q13&gt;0)*(K6:K13)),2)</f>
        <v>0.2</v>
      </c>
      <c r="R16" s="1258">
        <f ca="1">SUM(R6:R13)</f>
        <v>40577.620000000003</v>
      </c>
      <c r="S16" s="105">
        <f>SUM(S6:S13)</f>
        <v>12621.44</v>
      </c>
      <c r="T16" s="106">
        <f>IF(SUMIF(T6:T13,"&lt;9E307")=M14,SUMIF(T6:T13,"&lt;9E307"),"有误，请检查")</f>
        <v>2777</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8" t="s">
        <v>2016</v>
      </c>
      <c r="B19" s="112">
        <v>0</v>
      </c>
      <c r="C19" s="2279" t="s">
        <v>2017</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9" t="s">
        <v>2018</v>
      </c>
      <c r="B20" s="113">
        <v>3</v>
      </c>
      <c r="C20" s="2279" t="s">
        <v>2019</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0" t="s">
        <v>2020</v>
      </c>
      <c r="B21" s="113">
        <v>2.5</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9" t="s">
        <v>2021</v>
      </c>
      <c r="B22" s="114">
        <f>B19+B20</f>
        <v>3</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0" t="s">
        <v>2022</v>
      </c>
      <c r="B23" s="114">
        <f>B19+B21</f>
        <v>2.5</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0.5</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8.8">
      <c r="A27" s="2324" t="s">
        <v>2027</v>
      </c>
      <c r="B27" s="116">
        <v>30</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8.8">
      <c r="A28" s="2327" t="s">
        <v>2029</v>
      </c>
      <c r="B28" s="119">
        <v>80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9.4" thickBot="1">
      <c r="A29" s="2329" t="s">
        <v>2030</v>
      </c>
      <c r="B29" s="121">
        <v>0</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8.8">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8.8">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9.4" thickBot="1">
      <c r="A32" s="2331" t="s">
        <v>2034</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4">
      <c r="A33" s="2324" t="s">
        <v>2035</v>
      </c>
      <c r="B33" s="726">
        <v>0.05</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4">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4">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7" t="s">
        <v>2046</v>
      </c>
      <c r="B38" s="122">
        <v>0.02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4" t="s">
        <v>2050</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2" t="s">
        <v>2052</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4" t="s">
        <v>2053</v>
      </c>
      <c r="B44" s="128">
        <v>7.0000000000000007E-2</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7" t="s">
        <v>2067</v>
      </c>
      <c r="B52" s="133">
        <f>SUMIF(A54:A63,B53,B54:B63)</f>
        <v>9</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7" t="s">
        <v>2068</v>
      </c>
      <c r="B53" s="2338" t="s">
        <v>212</v>
      </c>
      <c r="C53" s="2953" t="s">
        <v>3440</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0" t="s">
        <v>2070</v>
      </c>
      <c r="B54" s="84">
        <v>9</v>
      </c>
      <c r="C54" s="1430"/>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0" t="s">
        <v>2071</v>
      </c>
      <c r="B55" s="84"/>
      <c r="C55" s="1430"/>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0" t="s">
        <v>2072</v>
      </c>
      <c r="B56" s="84"/>
      <c r="C56" s="1430"/>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0" t="s">
        <v>2073</v>
      </c>
      <c r="B57" s="84"/>
      <c r="C57" s="1430"/>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0" t="s">
        <v>2074</v>
      </c>
      <c r="B58" s="84"/>
      <c r="C58" s="1430"/>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0" t="s">
        <v>2075</v>
      </c>
      <c r="B59" s="84"/>
      <c r="C59" s="1430"/>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1"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0"/>
    <col min="30" max="16384" width="9" style="2371"/>
  </cols>
  <sheetData>
    <row r="1" spans="1:29" s="2364" customFormat="1" ht="18" thickBot="1">
      <c r="A1" s="3046" t="s">
        <v>2080</v>
      </c>
      <c r="B1" s="3047"/>
      <c r="C1" s="3047"/>
      <c r="D1" s="3047"/>
      <c r="E1" s="3047"/>
      <c r="F1" s="3047"/>
      <c r="G1" s="304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2081</v>
      </c>
      <c r="D2" s="2368"/>
      <c r="E2" s="2369"/>
      <c r="F2" s="2288"/>
      <c r="G2" s="2367" t="s">
        <v>2082</v>
      </c>
      <c r="H2" s="2370"/>
      <c r="I2" s="2370"/>
      <c r="J2" s="2370"/>
      <c r="K2" s="2370"/>
      <c r="L2" s="2370"/>
      <c r="M2" s="2370"/>
      <c r="N2" s="2370"/>
      <c r="O2" s="2370"/>
      <c r="P2" s="2370"/>
      <c r="Q2" s="2370"/>
      <c r="R2" s="2370"/>
    </row>
    <row r="3" spans="1:29" ht="57.6">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3.2">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3.2">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7.6">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3.8"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8.8">
      <c r="A8" s="431"/>
      <c r="B8" s="1798" t="s">
        <v>2097</v>
      </c>
      <c r="C8" s="2378" t="s">
        <v>2098</v>
      </c>
      <c r="D8" s="2379"/>
      <c r="E8" s="2379"/>
      <c r="F8" s="1136"/>
      <c r="G8" s="1136"/>
      <c r="H8" s="2370"/>
      <c r="I8" s="2370"/>
      <c r="J8" s="2370"/>
      <c r="K8" s="2370"/>
      <c r="L8" s="2370"/>
      <c r="M8" s="2370"/>
      <c r="N8" s="2370"/>
      <c r="O8" s="2370"/>
      <c r="P8" s="2370"/>
      <c r="Q8" s="2370"/>
      <c r="R8" s="2370"/>
    </row>
    <row r="9" spans="1:29" ht="43.2">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7.399999999999999">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8" thickBot="1">
      <c r="A13" s="2396" t="s">
        <v>2104</v>
      </c>
      <c r="B13" s="2390"/>
      <c r="C13" s="2390"/>
      <c r="D13" s="2397"/>
      <c r="E13" s="2390"/>
      <c r="F13" s="2390"/>
      <c r="G13" s="2390"/>
    </row>
    <row r="14" spans="1:29" ht="15" thickBot="1">
      <c r="A14" s="2401"/>
      <c r="B14" s="2402"/>
      <c r="C14" s="2403" t="s">
        <v>2105</v>
      </c>
      <c r="D14" s="2373"/>
      <c r="E14" s="2404"/>
      <c r="F14" s="2404"/>
      <c r="G14" s="2367" t="s">
        <v>2106</v>
      </c>
    </row>
    <row r="15" spans="1:29" ht="55.2">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1.4">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1.4">
      <c r="A17" s="645"/>
      <c r="B17" s="2407" t="s">
        <v>2092</v>
      </c>
      <c r="C17" s="2408" t="str">
        <f>C5</f>
        <v>估价对象位于XX商圈，周边办公楼项目较多，入驻率高，办公集聚程度较好</v>
      </c>
      <c r="D17" s="2379"/>
      <c r="E17" s="2409"/>
      <c r="F17" s="2410" t="s">
        <v>2110</v>
      </c>
      <c r="G17" s="1572"/>
    </row>
    <row r="18" spans="1:18" ht="55.2">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7.6">
      <c r="A19" s="645"/>
      <c r="B19" s="2410" t="s">
        <v>2111</v>
      </c>
      <c r="C19" s="1572"/>
      <c r="D19" s="2373"/>
      <c r="E19" s="2409"/>
      <c r="F19" s="1798" t="s">
        <v>2094</v>
      </c>
      <c r="G19" s="136" t="str">
        <f>G5</f>
        <v>估价对象所在区域公共配套设施齐备情况</v>
      </c>
    </row>
    <row r="20" spans="1:18" ht="41.4">
      <c r="A20" s="645"/>
      <c r="B20" s="2410" t="s">
        <v>2112</v>
      </c>
      <c r="C20" s="2408" t="str">
        <f>C9</f>
        <v>区域自然环境：；人文环境；综合评价环境状况一般</v>
      </c>
      <c r="D20" s="2379"/>
      <c r="E20" s="2409"/>
      <c r="F20" s="1798" t="s">
        <v>2113</v>
      </c>
      <c r="G20" s="136" t="str">
        <f>G6</f>
        <v>估价对象所在区域基础设施水平</v>
      </c>
    </row>
    <row r="21" spans="1:18" ht="27.6">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0" sqref="H10"/>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237607.31</v>
      </c>
      <c r="C1" s="1745"/>
      <c r="D1" s="1745"/>
      <c r="E1" s="1745"/>
      <c r="F1" s="1745"/>
      <c r="G1" s="1743"/>
    </row>
    <row r="2" spans="1:10" ht="16.2">
      <c r="A2" s="1746" t="s">
        <v>1349</v>
      </c>
      <c r="B2" s="1746">
        <f>SUM(C14:C23)</f>
        <v>126553</v>
      </c>
      <c r="C2" s="1745"/>
      <c r="D2" s="1745"/>
      <c r="E2" s="1745"/>
      <c r="F2" s="1745"/>
      <c r="G2" s="1743"/>
    </row>
    <row r="3" spans="1:10" ht="15.6">
      <c r="A3" s="1746" t="s">
        <v>1358</v>
      </c>
      <c r="B3" s="1747">
        <f>项目基本情况!D3</f>
        <v>43556</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140084</v>
      </c>
      <c r="C5" s="1746">
        <f ca="1">ROUND(B5*10000/$B$1,0)</f>
        <v>5896</v>
      </c>
      <c r="D5" s="1746">
        <f ca="1">ROUND(B5*10000/$B$2,0)</f>
        <v>11069</v>
      </c>
      <c r="E5" s="1745"/>
      <c r="F5" s="1743"/>
      <c r="G5" s="1743"/>
    </row>
    <row r="6" spans="1:10" ht="15.6">
      <c r="A6" s="1746" t="s">
        <v>1352</v>
      </c>
      <c r="B6" s="1746">
        <f ca="1">SUM(G14:G23)</f>
        <v>140084</v>
      </c>
      <c r="C6" s="1746">
        <f ca="1">ROUND(B6*10000/$B$1,0)</f>
        <v>5896</v>
      </c>
      <c r="D6" s="1746">
        <f ca="1">ROUND(B6*10000/$B$2,0)</f>
        <v>11069</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78054.290000000008</v>
      </c>
      <c r="C14" s="1744">
        <f>结果表!C118</f>
        <v>40694</v>
      </c>
      <c r="D14" s="1744">
        <f ca="1">结果表!H118</f>
        <v>44216</v>
      </c>
      <c r="E14" s="1744">
        <f ca="1">ROUND(D14*10000/B14,0)</f>
        <v>5665</v>
      </c>
      <c r="F14" s="1744">
        <f ca="1">ROUND(D14*10000/C14,0)</f>
        <v>10865</v>
      </c>
      <c r="G14" s="1744">
        <f ca="1">结果表!D122</f>
        <v>44216</v>
      </c>
      <c r="H14" s="1744" t="str">
        <f>结果表!D124</f>
        <v>——</v>
      </c>
      <c r="I14" s="1744" t="str">
        <f>结果表!D126</f>
        <v>——</v>
      </c>
      <c r="J14" s="1743" t="s">
        <v>3452</v>
      </c>
    </row>
    <row r="15" spans="1:10" ht="15.6">
      <c r="A15" s="1742" t="s">
        <v>1345</v>
      </c>
      <c r="B15" s="1749">
        <f>[2]结果表!$B$118</f>
        <v>79111.94</v>
      </c>
      <c r="C15" s="1749">
        <f>[2]结果表!$C$118</f>
        <v>41678</v>
      </c>
      <c r="D15" s="1749">
        <f ca="1">[2]结果表!$H$118</f>
        <v>42190</v>
      </c>
      <c r="E15" s="1744">
        <f t="shared" ref="E15:E23" ca="1" si="0">ROUND(D15*10000/B15,0)</f>
        <v>5333</v>
      </c>
      <c r="F15" s="1744">
        <f t="shared" ref="F15:F23" ca="1" si="1">ROUND(D15*10000/C15,0)</f>
        <v>10123</v>
      </c>
      <c r="G15" s="1750">
        <f ca="1">D15</f>
        <v>42190</v>
      </c>
      <c r="H15" s="1750"/>
      <c r="I15" s="1749"/>
      <c r="J15" s="1743" t="s">
        <v>3453</v>
      </c>
    </row>
    <row r="16" spans="1:10" ht="15.6">
      <c r="A16" s="1742" t="s">
        <v>1344</v>
      </c>
      <c r="B16" s="1749">
        <f>[1]结果表!$B$118</f>
        <v>80441.08</v>
      </c>
      <c r="C16" s="1749">
        <f>[1]结果表!$C$118</f>
        <v>44181</v>
      </c>
      <c r="D16" s="1749">
        <f ca="1">[1]结果表!$H$118</f>
        <v>53678</v>
      </c>
      <c r="E16" s="1744">
        <f t="shared" ca="1" si="0"/>
        <v>6673</v>
      </c>
      <c r="F16" s="1744">
        <f t="shared" ca="1" si="1"/>
        <v>12150</v>
      </c>
      <c r="G16" s="1750">
        <f ca="1">D16</f>
        <v>53678</v>
      </c>
      <c r="H16" s="1750"/>
      <c r="I16" s="1749"/>
      <c r="J16" s="1741" t="s">
        <v>3454</v>
      </c>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7" sqref="L27"/>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7" t="s">
        <v>2117</v>
      </c>
      <c r="B1" s="2421"/>
      <c r="C1" s="2422"/>
      <c r="D1" s="2421"/>
      <c r="E1" s="2421"/>
      <c r="F1" s="2423" t="s">
        <v>2118</v>
      </c>
      <c r="G1" s="2072" t="s">
        <v>2119</v>
      </c>
      <c r="H1" s="2424" t="str">
        <f>IF(G1="现房","——","估价对象范围")</f>
        <v>估价对象范围</v>
      </c>
      <c r="I1" s="2425"/>
    </row>
    <row r="2" spans="1:12" ht="21.75" customHeight="1" thickBot="1">
      <c r="A2" s="3120" t="str">
        <f>项目基本情况!S2</f>
        <v>浙江省嘉兴市海宁市尖山新区闻澜路南侧、静夜路西侧出让国有建设用地使用权及在建建筑物房地产</v>
      </c>
      <c r="B2" s="3121"/>
      <c r="C2" s="3121"/>
      <c r="D2" s="3121"/>
      <c r="E2" s="3121"/>
      <c r="F2" s="3121"/>
      <c r="G2" s="3121"/>
      <c r="H2" s="3121"/>
      <c r="I2" s="3122"/>
    </row>
    <row r="3" spans="1:12" ht="13.2">
      <c r="A3" s="3123" t="s">
        <v>2120</v>
      </c>
      <c r="B3" s="3124"/>
      <c r="C3" s="3124"/>
      <c r="D3" s="3124"/>
      <c r="E3" s="3124"/>
      <c r="F3" s="3124"/>
      <c r="G3" s="3124"/>
      <c r="H3" s="3124"/>
      <c r="I3" s="3124"/>
    </row>
    <row r="4" spans="1:12" ht="14.4">
      <c r="A4" s="2428" t="s">
        <v>2121</v>
      </c>
      <c r="B4" s="2429" t="s">
        <v>2122</v>
      </c>
      <c r="C4" s="2430" t="s">
        <v>3450</v>
      </c>
      <c r="D4" s="2430" t="s">
        <v>3451</v>
      </c>
      <c r="E4" s="3104" t="s">
        <v>2123</v>
      </c>
      <c r="F4" s="3117"/>
      <c r="G4" s="3117"/>
      <c r="H4" s="3117"/>
      <c r="I4" s="3105"/>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3.2">
      <c r="A5" s="3095" t="s">
        <v>2124</v>
      </c>
      <c r="B5" s="3021">
        <v>25</v>
      </c>
      <c r="C5" s="3125"/>
      <c r="D5" s="3113"/>
      <c r="E5" s="140" t="s">
        <v>2125</v>
      </c>
      <c r="F5" s="2432"/>
      <c r="G5" s="2432"/>
      <c r="H5" s="2432"/>
      <c r="I5" s="1834"/>
    </row>
    <row r="6" spans="1:12" ht="13.2">
      <c r="A6" s="3095"/>
      <c r="B6" s="3021"/>
      <c r="C6" s="3127"/>
      <c r="D6" s="3113"/>
      <c r="E6" s="140" t="s">
        <v>2126</v>
      </c>
      <c r="F6" s="2432"/>
      <c r="G6" s="2432"/>
      <c r="H6" s="2432"/>
      <c r="I6" s="1834"/>
    </row>
    <row r="7" spans="1:12" ht="13.2">
      <c r="A7" s="3095"/>
      <c r="B7" s="3021"/>
      <c r="C7" s="3126"/>
      <c r="D7" s="3113"/>
      <c r="E7" s="140" t="s">
        <v>2127</v>
      </c>
      <c r="F7" s="2432"/>
      <c r="G7" s="2432"/>
      <c r="H7" s="2432"/>
      <c r="I7" s="1834"/>
    </row>
    <row r="8" spans="1:12" ht="13.2">
      <c r="A8" s="3095" t="s">
        <v>2128</v>
      </c>
      <c r="B8" s="3021">
        <v>15</v>
      </c>
      <c r="C8" s="3125"/>
      <c r="D8" s="3113"/>
      <c r="E8" s="140" t="s">
        <v>2129</v>
      </c>
      <c r="F8" s="2432"/>
      <c r="G8" s="2432"/>
      <c r="H8" s="2432"/>
      <c r="I8" s="1834"/>
    </row>
    <row r="9" spans="1:12" ht="13.2">
      <c r="A9" s="3095"/>
      <c r="B9" s="3021"/>
      <c r="C9" s="3126"/>
      <c r="D9" s="3113"/>
      <c r="E9" s="140" t="s">
        <v>2130</v>
      </c>
      <c r="F9" s="2432"/>
      <c r="G9" s="2432"/>
      <c r="H9" s="2432"/>
      <c r="I9" s="1834"/>
    </row>
    <row r="10" spans="1:12" ht="13.2">
      <c r="A10" s="3095" t="s">
        <v>2131</v>
      </c>
      <c r="B10" s="3021">
        <v>15</v>
      </c>
      <c r="C10" s="3125"/>
      <c r="D10" s="3113"/>
      <c r="E10" s="140" t="s">
        <v>2132</v>
      </c>
      <c r="F10" s="2432"/>
      <c r="G10" s="2432"/>
      <c r="H10" s="2432"/>
      <c r="I10" s="1834"/>
    </row>
    <row r="11" spans="1:12" ht="13.2">
      <c r="A11" s="3095"/>
      <c r="B11" s="3021"/>
      <c r="C11" s="3126"/>
      <c r="D11" s="3113"/>
      <c r="E11" s="140" t="s">
        <v>2133</v>
      </c>
      <c r="F11" s="2432"/>
      <c r="G11" s="2432"/>
      <c r="H11" s="2432"/>
      <c r="I11" s="1834"/>
    </row>
    <row r="12" spans="1:12" ht="13.2">
      <c r="A12" s="3095" t="s">
        <v>2134</v>
      </c>
      <c r="B12" s="3021">
        <v>15</v>
      </c>
      <c r="C12" s="3125"/>
      <c r="D12" s="3113"/>
      <c r="E12" s="140" t="s">
        <v>2135</v>
      </c>
      <c r="F12" s="2432"/>
      <c r="G12" s="2432"/>
      <c r="H12" s="2432"/>
      <c r="I12" s="1834"/>
    </row>
    <row r="13" spans="1:12" ht="13.2">
      <c r="A13" s="3095"/>
      <c r="B13" s="3021"/>
      <c r="C13" s="3126"/>
      <c r="D13" s="3113"/>
      <c r="E13" s="140" t="s">
        <v>2136</v>
      </c>
      <c r="F13" s="2432"/>
      <c r="G13" s="2432"/>
      <c r="H13" s="2432"/>
      <c r="I13" s="1834"/>
    </row>
    <row r="14" spans="1:12" ht="13.2">
      <c r="A14" s="3095" t="s">
        <v>2137</v>
      </c>
      <c r="B14" s="3021">
        <v>30</v>
      </c>
      <c r="C14" s="3125">
        <v>6</v>
      </c>
      <c r="D14" s="3113">
        <v>4</v>
      </c>
      <c r="E14" s="140" t="s">
        <v>2138</v>
      </c>
      <c r="F14" s="2432"/>
      <c r="G14" s="2432"/>
      <c r="H14" s="2432"/>
      <c r="I14" s="1834"/>
    </row>
    <row r="15" spans="1:12" ht="13.2">
      <c r="A15" s="3095"/>
      <c r="B15" s="3021"/>
      <c r="C15" s="3127"/>
      <c r="D15" s="3113"/>
      <c r="E15" s="140" t="s">
        <v>2139</v>
      </c>
      <c r="F15" s="2432"/>
      <c r="G15" s="2432"/>
      <c r="H15" s="2432"/>
      <c r="I15" s="1834"/>
    </row>
    <row r="16" spans="1:12" ht="13.2">
      <c r="A16" s="3095"/>
      <c r="B16" s="3021"/>
      <c r="C16" s="3126"/>
      <c r="D16" s="3113"/>
      <c r="E16" s="140" t="s">
        <v>2140</v>
      </c>
      <c r="F16" s="2432"/>
      <c r="G16" s="2432"/>
      <c r="H16" s="2432"/>
      <c r="I16" s="1834"/>
    </row>
    <row r="17" spans="1:35" ht="14.4">
      <c r="A17" s="2433" t="s">
        <v>2141</v>
      </c>
      <c r="B17" s="64"/>
      <c r="C17" s="141">
        <f>SUM(C5:C16)</f>
        <v>6</v>
      </c>
      <c r="D17" s="141">
        <f>SUM(D5:D16)</f>
        <v>4</v>
      </c>
      <c r="E17" s="138"/>
      <c r="F17" s="138"/>
      <c r="G17" s="138"/>
      <c r="H17" s="138"/>
      <c r="I17" s="138"/>
      <c r="K17" s="2431"/>
      <c r="L17" s="2434" t="s">
        <v>2142</v>
      </c>
      <c r="M17" s="2434" t="s">
        <v>2143</v>
      </c>
    </row>
    <row r="18" spans="1:35" ht="15" thickBot="1">
      <c r="A18" s="2435" t="s">
        <v>2144</v>
      </c>
      <c r="B18" s="2436"/>
      <c r="C18" s="142">
        <f>ROUND(C17/SUM(C17:D17),2)</f>
        <v>0.6</v>
      </c>
      <c r="D18" s="142">
        <f>1-C18</f>
        <v>0.4</v>
      </c>
      <c r="E18" s="138"/>
      <c r="F18" s="138"/>
      <c r="G18" s="138"/>
      <c r="H18" s="138"/>
      <c r="I18" s="138"/>
      <c r="K18" s="2431" t="s">
        <v>2145</v>
      </c>
      <c r="L18" s="2431">
        <f>IF(C1="",'数据-汇总表'!E3,SUMIF(项目类型,C1,'数据-汇总表'!E17:E26)+SUMIF(项目类型,C1,'数据-汇总表'!I17:I26))</f>
        <v>78054.290000000008</v>
      </c>
      <c r="M18" s="2431">
        <f>IF(C1="",'数据-汇总表'!E3,SUMIF(项目类型,C1,'数据-汇总表'!E17:E26))</f>
        <v>78054.290000000008</v>
      </c>
    </row>
    <row r="19" spans="1:35" ht="14.4">
      <c r="A19" s="2437" t="s">
        <v>2146</v>
      </c>
      <c r="B19" s="2438" t="s">
        <v>2147</v>
      </c>
      <c r="C19" s="143">
        <f ca="1">SUMIF(INDIRECT("'"&amp;C4&amp;"'"&amp;"!A:A"),结果表!B19,INDIRECT("'"&amp;C4&amp;"'"&amp;"!B:B"))</f>
        <v>49532</v>
      </c>
      <c r="D19" s="144">
        <f ca="1">SUMIF(INDIRECT("'"&amp;D4&amp;"'"&amp;"!A:A"),结果表!B19,INDIRECT("'"&amp;D4&amp;"'"&amp;"!B:B"))</f>
        <v>36242</v>
      </c>
      <c r="E19" s="2437" t="s">
        <v>2148</v>
      </c>
      <c r="F19" s="2438" t="s">
        <v>2147</v>
      </c>
      <c r="G19" s="145">
        <f ca="1">ROUND(C19*$C$18+D19*$D$18,0)</f>
        <v>44216</v>
      </c>
      <c r="H19" s="2439" t="s">
        <v>2149</v>
      </c>
      <c r="I19" s="138"/>
      <c r="K19" s="2431" t="s">
        <v>2150</v>
      </c>
      <c r="L19" s="2431">
        <f>IF(C1="",'数据-汇总表'!D3,SUMIF(项目类型,C1,'数据-汇总表'!D17:D26)+SUMIF(项目类型,C1,'数据-汇总表'!H17:H27))</f>
        <v>40694</v>
      </c>
      <c r="M19" s="2431">
        <f>IF(C1="",'数据-汇总表'!D3,SUMIF(项目类型,C1,'数据-汇总表'!D17:D26))</f>
        <v>40694</v>
      </c>
    </row>
    <row r="20" spans="1:35" ht="14.4">
      <c r="A20" s="2440"/>
      <c r="B20" s="1250" t="s">
        <v>2151</v>
      </c>
      <c r="C20" s="146">
        <f ca="1">SUMIF(INDIRECT("'"&amp;C4&amp;"'"&amp;"!A:A"),结果表!B20,INDIRECT("'"&amp;C4&amp;"'"&amp;"!B:B"))</f>
        <v>6346</v>
      </c>
      <c r="D20" s="147">
        <f ca="1">SUMIF(INDIRECT("'"&amp;D4&amp;"'"&amp;"!A:A"),结果表!B20,INDIRECT("'"&amp;D4&amp;"'"&amp;"!B:B"))</f>
        <v>4643</v>
      </c>
      <c r="E20" s="2440"/>
      <c r="F20" s="1250" t="s">
        <v>2151</v>
      </c>
      <c r="G20" s="148">
        <f ca="1">ROUND(C20*$C$18+D20*$D$18,0)</f>
        <v>5665</v>
      </c>
      <c r="H20" s="983" t="s">
        <v>2152</v>
      </c>
      <c r="I20" s="138"/>
    </row>
    <row r="21" spans="1:35" ht="15" customHeight="1" thickBot="1">
      <c r="A21" s="1003"/>
      <c r="B21" s="2441" t="s">
        <v>2153</v>
      </c>
      <c r="C21" s="789">
        <f ca="1">ROUND(C19*10000/L19,0)</f>
        <v>12172</v>
      </c>
      <c r="D21" s="790">
        <f ca="1">ROUND(D19*10000/L19,0)</f>
        <v>8906</v>
      </c>
      <c r="E21" s="1003"/>
      <c r="F21" s="2441" t="s">
        <v>2153</v>
      </c>
      <c r="G21" s="149">
        <f ca="1">ROUND(G19*10000/L19,0)</f>
        <v>10865</v>
      </c>
      <c r="H21" s="2442" t="s">
        <v>2152</v>
      </c>
      <c r="I21" s="138"/>
    </row>
    <row r="22" spans="1:35" ht="15" thickBot="1">
      <c r="A22" s="2283" t="s">
        <v>2154</v>
      </c>
      <c r="B22" s="2443"/>
      <c r="C22" s="2444"/>
      <c r="D22" s="791">
        <f ca="1">IF(C19&lt;D19,D19/C19-1,C19/D19-1)</f>
        <v>0.36670161690855907</v>
      </c>
      <c r="E22" s="138"/>
      <c r="F22" s="138"/>
      <c r="G22" s="138"/>
      <c r="H22" s="138"/>
      <c r="I22" s="138"/>
    </row>
    <row r="23" spans="1:35" ht="13.8" thickBot="1">
      <c r="A23" s="2421"/>
      <c r="B23" s="2421"/>
      <c r="C23" s="2421"/>
      <c r="D23" s="2421"/>
      <c r="E23" s="138"/>
      <c r="F23" s="138"/>
      <c r="G23" s="138"/>
      <c r="H23" s="138"/>
      <c r="I23" s="138"/>
    </row>
    <row r="24" spans="1:35" ht="14.4">
      <c r="A24" s="3134" t="s">
        <v>2155</v>
      </c>
      <c r="B24" s="2438" t="s">
        <v>2147</v>
      </c>
      <c r="C24" s="145">
        <f>IF(B30=0,0,D30)</f>
        <v>0</v>
      </c>
      <c r="D24" s="2445"/>
      <c r="E24" s="138"/>
      <c r="F24" s="138"/>
      <c r="G24" s="138"/>
      <c r="H24" s="138"/>
      <c r="I24" s="138"/>
    </row>
    <row r="25" spans="1:35" ht="14.4">
      <c r="A25" s="3135"/>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2160</v>
      </c>
      <c r="B30" s="151"/>
      <c r="C30" s="151"/>
      <c r="D30" s="151"/>
      <c r="E30" s="2928" t="s">
        <v>3035</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2161</v>
      </c>
      <c r="B32" s="2451"/>
      <c r="C32" s="153">
        <f ca="1">IF(D32="总价",G19-C24,G20-C25)</f>
        <v>44216</v>
      </c>
      <c r="D32" s="2452" t="s">
        <v>2162</v>
      </c>
      <c r="E32" s="138"/>
      <c r="F32" s="138"/>
      <c r="G32" s="138"/>
      <c r="H32" s="138"/>
      <c r="I32" s="138"/>
    </row>
    <row r="33" spans="1:15" ht="14.4">
      <c r="A33" s="960" t="s">
        <v>2163</v>
      </c>
      <c r="B33" s="2453"/>
      <c r="C33" s="2454"/>
      <c r="D33" s="2455"/>
      <c r="E33" s="2456" t="s">
        <v>2164</v>
      </c>
      <c r="F33" s="2457" t="str">
        <f>IF(D32="楼面单价","取值（单价）","取值（总价）")</f>
        <v>取值（总价）</v>
      </c>
      <c r="G33" s="138"/>
      <c r="H33" s="138"/>
      <c r="I33" s="138"/>
    </row>
    <row r="34" spans="1:15" ht="14.4">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39"/>
      <c r="G34" s="138"/>
      <c r="H34" s="138"/>
      <c r="I34" s="138"/>
    </row>
    <row r="35" spans="1:15" ht="15" thickBot="1">
      <c r="A35" s="2461"/>
      <c r="B35" s="2462"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2168</v>
      </c>
      <c r="F35" s="163"/>
      <c r="G35" s="138"/>
      <c r="H35" s="138"/>
      <c r="I35" s="138"/>
    </row>
    <row r="36" spans="1:15" ht="15" thickBot="1">
      <c r="A36" s="3114" t="s">
        <v>2169</v>
      </c>
      <c r="B36" s="2464" t="s">
        <v>2170</v>
      </c>
      <c r="C36" s="154"/>
      <c r="D36" s="2465"/>
      <c r="E36" s="2466"/>
      <c r="F36" s="2467"/>
      <c r="G36" s="138"/>
      <c r="H36" s="138"/>
      <c r="I36" s="138"/>
    </row>
    <row r="37" spans="1:15" ht="15" thickBot="1">
      <c r="A37" s="3115"/>
      <c r="B37" s="2269" t="s">
        <v>2171</v>
      </c>
      <c r="C37" s="156"/>
      <c r="D37" s="1395"/>
      <c r="E37" s="1395"/>
      <c r="F37" s="2467"/>
      <c r="G37" s="138"/>
      <c r="H37" s="138"/>
      <c r="I37" s="138"/>
    </row>
    <row r="38" spans="1:15" ht="15" thickBot="1">
      <c r="A38" s="3116"/>
      <c r="B38" s="2468" t="s">
        <v>2172</v>
      </c>
      <c r="C38" s="727"/>
      <c r="D38" s="2469" t="s">
        <v>2173</v>
      </c>
      <c r="E38" s="1395"/>
      <c r="F38" s="2467"/>
      <c r="G38" s="138"/>
      <c r="H38" s="138"/>
      <c r="I38" s="138"/>
    </row>
    <row r="39" spans="1:15" ht="14.4">
      <c r="A39" s="2440" t="s">
        <v>2174</v>
      </c>
      <c r="B39" s="2470" t="s">
        <v>2175</v>
      </c>
      <c r="C39" s="2471" t="s">
        <v>2176</v>
      </c>
      <c r="D39" s="2471" t="s">
        <v>2177</v>
      </c>
      <c r="E39" s="2472" t="s">
        <v>2178</v>
      </c>
      <c r="F39" s="2467"/>
      <c r="G39" s="138"/>
      <c r="H39" s="138"/>
      <c r="I39" s="138"/>
    </row>
    <row r="40" spans="1:15" ht="13.8">
      <c r="A40" s="2473" t="s">
        <v>2179</v>
      </c>
      <c r="B40" s="158"/>
      <c r="C40" s="159"/>
      <c r="D40" s="159"/>
      <c r="E40" s="160"/>
      <c r="F40" s="2467"/>
      <c r="G40" s="138"/>
      <c r="H40" s="138"/>
      <c r="I40" s="138"/>
    </row>
    <row r="41" spans="1:15" ht="13.8">
      <c r="A41" s="2473" t="s">
        <v>2180</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7"/>
      <c r="B43" s="2167"/>
      <c r="C43" s="2167"/>
      <c r="D43" s="2167"/>
      <c r="E43" s="2167"/>
      <c r="F43" s="2475"/>
      <c r="G43" s="2475"/>
      <c r="H43" s="2475"/>
      <c r="I43" s="2476"/>
    </row>
    <row r="44" spans="1:15" ht="17.399999999999999">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31" t="s">
        <v>2183</v>
      </c>
      <c r="B45" s="3132"/>
      <c r="C45" s="3133"/>
      <c r="D45" s="164">
        <f ca="1">ROUND(H101*F45,0)</f>
        <v>44216</v>
      </c>
      <c r="E45" s="165" t="s">
        <v>2184</v>
      </c>
      <c r="F45" s="166">
        <v>1</v>
      </c>
      <c r="G45" s="167" t="s">
        <v>2185</v>
      </c>
      <c r="H45" s="138"/>
      <c r="I45" s="138"/>
      <c r="J45" s="3050" t="s">
        <v>2186</v>
      </c>
      <c r="K45" s="3050"/>
      <c r="L45" s="3050"/>
      <c r="M45" s="3050"/>
      <c r="N45" s="3050"/>
      <c r="O45" s="3050"/>
    </row>
    <row r="46" spans="1:15" ht="14.25" customHeight="1">
      <c r="A46" s="3128" t="s">
        <v>2187</v>
      </c>
      <c r="B46" s="3129"/>
      <c r="C46" s="3129"/>
      <c r="D46" s="3129"/>
      <c r="E46" s="3129"/>
      <c r="F46" s="3129"/>
      <c r="G46" s="3130"/>
      <c r="H46" s="2483"/>
      <c r="I46" s="168"/>
      <c r="J46" s="1812">
        <v>1</v>
      </c>
      <c r="K46" s="3050" t="s">
        <v>2188</v>
      </c>
      <c r="L46" s="3050"/>
      <c r="M46" s="3051"/>
      <c r="N46" s="3051"/>
      <c r="O46" s="3051"/>
    </row>
    <row r="47" spans="1:15" ht="12" customHeight="1">
      <c r="A47" s="169" t="s">
        <v>2189</v>
      </c>
      <c r="B47" s="170"/>
      <c r="C47" s="171"/>
      <c r="D47" s="172" t="s">
        <v>2190</v>
      </c>
      <c r="E47" s="24" t="s">
        <v>2191</v>
      </c>
      <c r="F47" s="173" t="s">
        <v>2192</v>
      </c>
      <c r="G47" s="174" t="s">
        <v>2193</v>
      </c>
      <c r="H47" s="2483"/>
      <c r="I47" s="168"/>
      <c r="J47" s="1812">
        <v>2</v>
      </c>
      <c r="K47" s="3050" t="s">
        <v>2194</v>
      </c>
      <c r="L47" s="3050"/>
      <c r="M47" s="3052">
        <f>'数据-取费表'!B2</f>
        <v>43556</v>
      </c>
      <c r="N47" s="3052"/>
      <c r="O47" s="3052"/>
    </row>
    <row r="48" spans="1:15" ht="26.4">
      <c r="A48" s="3118" t="s">
        <v>2195</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84" t="s">
        <v>2196</v>
      </c>
      <c r="H48" s="2485" t="s">
        <v>2197</v>
      </c>
      <c r="I48" s="2483"/>
      <c r="J48" s="1812">
        <v>3</v>
      </c>
      <c r="K48" s="3050" t="s">
        <v>2198</v>
      </c>
      <c r="L48" s="3050"/>
      <c r="M48" s="3053">
        <f ca="1">H101</f>
        <v>44216</v>
      </c>
      <c r="N48" s="3053"/>
      <c r="O48" s="3053"/>
    </row>
    <row r="49" spans="1:35" ht="25.5" customHeight="1">
      <c r="A49" s="176" t="s">
        <v>2199</v>
      </c>
      <c r="B49" s="3098" t="s">
        <v>2200</v>
      </c>
      <c r="C49" s="3098"/>
      <c r="D49" s="177">
        <v>0</v>
      </c>
      <c r="E49" s="23" t="s">
        <v>2201</v>
      </c>
      <c r="F49" s="28" t="s">
        <v>34</v>
      </c>
      <c r="G49" s="3079"/>
      <c r="H49" s="138"/>
      <c r="I49" s="2486"/>
      <c r="J49" s="1812">
        <v>4</v>
      </c>
      <c r="K49" s="3050" t="str">
        <f>IF(项目基本情况!E8="房地产抵押价值","房地产抵押价值","抵押担保权已注销时的房地产抵押价值")</f>
        <v>房地产抵押价值</v>
      </c>
      <c r="L49" s="3050"/>
      <c r="M49" s="3053">
        <f ca="1">IF(项目基本情况!E8="房地产抵押价值",H107,H109)</f>
        <v>44216</v>
      </c>
      <c r="N49" s="3053"/>
      <c r="O49" s="3053"/>
    </row>
    <row r="50" spans="1:35" ht="25.5" customHeight="1">
      <c r="A50" s="178"/>
      <c r="B50" s="3098" t="s">
        <v>2202</v>
      </c>
      <c r="C50" s="3098"/>
      <c r="D50" s="179"/>
      <c r="E50" s="31"/>
      <c r="F50" s="180"/>
      <c r="G50" s="3080"/>
      <c r="H50" s="138"/>
      <c r="I50" s="2486"/>
      <c r="J50" s="3050" t="s">
        <v>2203</v>
      </c>
      <c r="K50" s="3050"/>
      <c r="L50" s="3050"/>
      <c r="M50" s="3050"/>
      <c r="N50" s="3050"/>
      <c r="O50" s="3050"/>
    </row>
    <row r="51" spans="1:35" ht="12" customHeight="1">
      <c r="A51" s="181"/>
      <c r="B51" s="3098" t="s">
        <v>2204</v>
      </c>
      <c r="C51" s="3098"/>
      <c r="D51" s="182"/>
      <c r="E51" s="30"/>
      <c r="F51" s="180"/>
      <c r="G51" s="3081"/>
      <c r="H51" s="138"/>
      <c r="I51" s="2486"/>
      <c r="J51" s="2487" t="s">
        <v>2205</v>
      </c>
      <c r="K51" s="3050" t="s">
        <v>2206</v>
      </c>
      <c r="L51" s="3050"/>
      <c r="M51" s="2487" t="s">
        <v>2207</v>
      </c>
      <c r="N51" s="2487" t="s">
        <v>2208</v>
      </c>
      <c r="O51" s="2487" t="s">
        <v>2209</v>
      </c>
    </row>
    <row r="52" spans="1:35" ht="24" customHeight="1">
      <c r="A52" s="183" t="s">
        <v>2210</v>
      </c>
      <c r="B52" s="3098" t="s">
        <v>2211</v>
      </c>
      <c r="C52" s="3098"/>
      <c r="D52" s="182">
        <f ca="1">ROUND(D45*'数据-取费表'!B41/(1+'数据-取费表'!C42),0)</f>
        <v>2358</v>
      </c>
      <c r="E52" s="11" t="s">
        <v>2212</v>
      </c>
      <c r="F52" s="184">
        <f>'数据-取费表'!B41</f>
        <v>5.6000000000000001E-2</v>
      </c>
      <c r="G52" s="2488"/>
      <c r="H52" s="138"/>
      <c r="I52" s="2486"/>
      <c r="J52" s="1812">
        <v>1</v>
      </c>
      <c r="K52" s="3073" t="s">
        <v>2213</v>
      </c>
      <c r="L52" s="3073"/>
      <c r="M52" s="1754">
        <f>D48</f>
        <v>0</v>
      </c>
      <c r="N52" s="1812" t="str">
        <f>E48</f>
        <v>销售额×税（费）率</v>
      </c>
      <c r="O52" s="1755" t="str">
        <f>F48</f>
        <v>免征</v>
      </c>
    </row>
    <row r="53" spans="1:35" ht="12" customHeight="1">
      <c r="A53" s="183" t="s">
        <v>2214</v>
      </c>
      <c r="B53" s="3099" t="s">
        <v>2215</v>
      </c>
      <c r="C53" s="3100"/>
      <c r="D53" s="182">
        <f ca="1">ROUND(D45*'数据-取费表'!B41/(1+'数据-取费表'!C42),0)</f>
        <v>2358</v>
      </c>
      <c r="E53" s="11" t="s">
        <v>2212</v>
      </c>
      <c r="F53" s="184">
        <f>'数据-取费表'!B41</f>
        <v>5.6000000000000001E-2</v>
      </c>
      <c r="G53" s="2488"/>
      <c r="H53" s="138"/>
      <c r="I53" s="2486"/>
      <c r="J53" s="1812">
        <v>2</v>
      </c>
      <c r="K53" s="3073" t="s">
        <v>2216</v>
      </c>
      <c r="L53" s="3073"/>
      <c r="M53" s="1754">
        <f t="shared" ref="M53:O54" ca="1" si="0">D55</f>
        <v>22</v>
      </c>
      <c r="N53" s="1812" t="str">
        <f t="shared" si="0"/>
        <v>销售额×税（费）率</v>
      </c>
      <c r="O53" s="1755">
        <f t="shared" si="0"/>
        <v>5.0000000000000001E-4</v>
      </c>
    </row>
    <row r="54" spans="1:35" ht="12" customHeight="1">
      <c r="A54" s="183" t="s">
        <v>2217</v>
      </c>
      <c r="B54" s="3099" t="s">
        <v>2218</v>
      </c>
      <c r="C54" s="3100"/>
      <c r="D54" s="182">
        <f ca="1">C68</f>
        <v>2358</v>
      </c>
      <c r="E54" s="30" t="s">
        <v>2219</v>
      </c>
      <c r="F54" s="184">
        <f>'数据-取费表'!B41</f>
        <v>5.6000000000000001E-2</v>
      </c>
      <c r="G54" s="2488"/>
      <c r="H54" s="2489"/>
      <c r="I54" s="2486"/>
      <c r="J54" s="1812">
        <v>3</v>
      </c>
      <c r="K54" s="3073" t="s">
        <v>2220</v>
      </c>
      <c r="L54" s="3073"/>
      <c r="M54" s="1754">
        <f t="shared" ca="1" si="0"/>
        <v>25026</v>
      </c>
      <c r="N54" s="1812" t="str">
        <f t="shared" si="0"/>
        <v>增值额×税（费）率</v>
      </c>
      <c r="O54" s="1756" t="str">
        <f t="shared" si="0"/>
        <v>——</v>
      </c>
    </row>
    <row r="55" spans="1:35" ht="24" customHeight="1">
      <c r="A55" s="3137" t="s">
        <v>2221</v>
      </c>
      <c r="B55" s="3119"/>
      <c r="C55" s="3119"/>
      <c r="D55" s="185">
        <f ca="1">IF(H55="个人住宅",0,ROUND(D45*I55,0))</f>
        <v>22</v>
      </c>
      <c r="E55" s="11" t="s">
        <v>2222</v>
      </c>
      <c r="F55" s="184">
        <f>IF(H55="正常",I55,"免征")</f>
        <v>5.0000000000000001E-4</v>
      </c>
      <c r="G55" s="2488"/>
      <c r="H55" s="2485" t="s">
        <v>2223</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5.2">
      <c r="A56" s="3137" t="s">
        <v>2224</v>
      </c>
      <c r="B56" s="3119"/>
      <c r="C56" s="3119"/>
      <c r="D56" s="185">
        <f ca="1">IF(H56="个人住宅",D57,D58)</f>
        <v>25026</v>
      </c>
      <c r="E56" s="11" t="s">
        <v>2225</v>
      </c>
      <c r="F56" s="184" t="str">
        <f>IF(H56="正常",F58,"免征")</f>
        <v>——</v>
      </c>
      <c r="G56" s="2490" t="s">
        <v>2226</v>
      </c>
      <c r="H56" s="2491" t="s">
        <v>2223</v>
      </c>
      <c r="I56" s="2492"/>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3.2">
      <c r="A57" s="183" t="s">
        <v>2199</v>
      </c>
      <c r="B57" s="3104" t="s">
        <v>2227</v>
      </c>
      <c r="C57" s="3105"/>
      <c r="D57" s="187">
        <v>0</v>
      </c>
      <c r="E57" s="23" t="s">
        <v>2201</v>
      </c>
      <c r="F57" s="155"/>
      <c r="G57" s="2488"/>
      <c r="H57" s="2492"/>
      <c r="I57" s="2492"/>
      <c r="J57" s="3073">
        <f>IF(AND(J55="",J56=""),4,IF(项目基本情况!K6="上海银行",结果表!J56+1,结果表!J55+1))</f>
        <v>4</v>
      </c>
      <c r="K57" s="3073" t="s">
        <v>2228</v>
      </c>
      <c r="L57" s="2493" t="s">
        <v>2229</v>
      </c>
      <c r="M57" s="1759"/>
      <c r="N57" s="1760">
        <f ca="1">SUMIF(M52:M56,"&lt;9e307")</f>
        <v>25048</v>
      </c>
      <c r="O57" s="2494"/>
      <c r="P57" s="1753">
        <f ca="1">N57/M49</f>
        <v>0.56649176768590559</v>
      </c>
    </row>
    <row r="58" spans="1:35" ht="25.2">
      <c r="A58" s="183" t="s">
        <v>2210</v>
      </c>
      <c r="B58" s="3104" t="s">
        <v>2230</v>
      </c>
      <c r="C58" s="3117"/>
      <c r="D58" s="185">
        <f ca="1">IF(H58="转让取得",C81,C97)</f>
        <v>25026</v>
      </c>
      <c r="E58" s="11" t="s">
        <v>2225</v>
      </c>
      <c r="F58" s="24" t="s">
        <v>34</v>
      </c>
      <c r="G58" s="2488"/>
      <c r="H58" s="2491" t="s">
        <v>2231</v>
      </c>
      <c r="I58" s="2492"/>
      <c r="J58" s="3073"/>
      <c r="K58" s="3073"/>
      <c r="L58" s="2493" t="s">
        <v>2232</v>
      </c>
      <c r="M58" s="1761"/>
      <c r="N58" s="2495" t="str">
        <f ca="1">NUMBERSTRING(INT(N57*10000),2)&amp;"元整"</f>
        <v>贰亿伍仟零肆拾捌万元整</v>
      </c>
      <c r="O58" s="2496"/>
    </row>
    <row r="59" spans="1:35" ht="24.6" thickBot="1">
      <c r="A59" s="3077" t="s">
        <v>2233</v>
      </c>
      <c r="B59" s="3078"/>
      <c r="C59" s="3078"/>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075">
        <f>J57+1</f>
        <v>5</v>
      </c>
      <c r="K59" s="3073" t="s">
        <v>2235</v>
      </c>
      <c r="L59" s="1812" t="s">
        <v>2229</v>
      </c>
      <c r="M59" s="1762"/>
      <c r="N59" s="1763">
        <f ca="1">M49-N57</f>
        <v>19168</v>
      </c>
      <c r="O59" s="2498"/>
    </row>
    <row r="60" spans="1:35" ht="12" customHeight="1">
      <c r="A60" s="2499"/>
      <c r="B60" s="2421"/>
      <c r="C60" s="2421"/>
      <c r="D60" s="2421"/>
      <c r="E60" s="2168"/>
      <c r="F60" s="2492"/>
      <c r="G60" s="2492"/>
      <c r="H60" s="2500"/>
      <c r="I60" s="138"/>
      <c r="J60" s="3076"/>
      <c r="K60" s="3073"/>
      <c r="L60" s="2493" t="s">
        <v>2232</v>
      </c>
      <c r="M60" s="1761"/>
      <c r="N60" s="2495" t="str">
        <f ca="1">NUMBERSTRING(INT(N59*10000),2)&amp;"元整"</f>
        <v>壹亿玖仟壹佰陆拾捌万元整</v>
      </c>
      <c r="O60" s="2496"/>
    </row>
    <row r="61" spans="1:35" ht="13.8" thickBot="1">
      <c r="A61" s="3136" t="s">
        <v>2236</v>
      </c>
      <c r="B61" s="3136"/>
      <c r="C61" s="3136"/>
      <c r="D61" s="3136"/>
      <c r="E61" s="3136"/>
      <c r="F61" s="2492"/>
      <c r="G61" s="2492"/>
      <c r="H61" s="2500"/>
      <c r="I61" s="138"/>
      <c r="J61" s="1812">
        <f>J59+1</f>
        <v>6</v>
      </c>
      <c r="K61" s="3073" t="s">
        <v>2237</v>
      </c>
      <c r="L61" s="3073"/>
      <c r="M61" s="1764"/>
      <c r="N61" s="1765">
        <f ca="1">ROUND(N59*10000/'数据-汇总表'!E3,0)</f>
        <v>2456</v>
      </c>
      <c r="O61" s="2501"/>
    </row>
    <row r="62" spans="1:35" ht="13.2">
      <c r="A62" s="3093" t="s">
        <v>2238</v>
      </c>
      <c r="B62" s="3094"/>
      <c r="C62" s="1804"/>
      <c r="D62" s="1804" t="s">
        <v>2239</v>
      </c>
      <c r="E62" s="192" t="s">
        <v>2240</v>
      </c>
      <c r="F62" s="2492"/>
      <c r="G62" s="2492"/>
      <c r="H62" s="2500"/>
      <c r="I62" s="138"/>
    </row>
    <row r="63" spans="1:35" ht="13.2">
      <c r="A63" s="203" t="s">
        <v>775</v>
      </c>
      <c r="B63" s="193" t="s">
        <v>2241</v>
      </c>
      <c r="C63" s="194">
        <f ca="1">ROUND((C64+C65)/(1+'数据-取费表'!C42),0)</f>
        <v>42110</v>
      </c>
      <c r="D63" s="195"/>
      <c r="E63" s="196"/>
      <c r="F63" s="2492"/>
      <c r="G63" s="2492"/>
      <c r="H63" s="2500"/>
      <c r="I63" s="138"/>
      <c r="J63" s="3058" t="s">
        <v>2242</v>
      </c>
      <c r="K63" s="2502" t="s">
        <v>2243</v>
      </c>
      <c r="L63" s="1752">
        <f ca="1">IF(M49&gt;10000,M49*0.5%,IF(AND(M49&gt;1000,M49&lt;=10000),M49*1%,IF(AND(M49&gt;100,M49&lt;=1000),M49*3%,IF(AND(M49&gt;10,M49&lt;=100),M49*5%,M49*8%))))</f>
        <v>221.08</v>
      </c>
      <c r="M63" s="24">
        <f ca="1">ROUND(L63,1)</f>
        <v>221.1</v>
      </c>
      <c r="Z63" s="2426"/>
      <c r="AI63" s="2427"/>
    </row>
    <row r="64" spans="1:35" ht="14.25" customHeight="1">
      <c r="A64" s="197" t="s">
        <v>770</v>
      </c>
      <c r="B64" s="198" t="s">
        <v>2244</v>
      </c>
      <c r="C64" s="199">
        <f ca="1">D45</f>
        <v>44216</v>
      </c>
      <c r="D64" s="200" t="s">
        <v>32</v>
      </c>
      <c r="E64" s="201"/>
      <c r="F64" s="2492"/>
      <c r="G64" s="2492"/>
      <c r="H64" s="2500"/>
      <c r="I64" s="138"/>
      <c r="J64" s="3058"/>
      <c r="K64" s="2502" t="s">
        <v>2245</v>
      </c>
      <c r="L64" s="1752">
        <f ca="1">IF(M49&gt;2000,M49*0.5%,IF(AND(M49&gt;1000,M49&lt;=2000),M49*0.6%,IF(AND(M49&gt;500,M49&lt;=1000),M49*0.7%,IF(AND(M49&gt;200,M49&lt;=500),M49*0.8%,IF(AND(M49&gt;100,M49&lt;=200),M49*0.9%,IF(AND(M49&gt;50,M49&lt;=100),M49*1%,IF(AND(M49&gt;20,M49&lt;=50),M49*1.5%,IF(AND(M49&gt;10,M49&lt;=20),M49*2%,IF(AND(M49&gt;1,M49&lt;=10),M49*2.5%)))))))))</f>
        <v>221.08</v>
      </c>
      <c r="M64" s="24">
        <f t="shared" ref="M64:M65" ca="1" si="1">ROUND(L64,1)</f>
        <v>221.1</v>
      </c>
      <c r="N64" s="138" t="s">
        <v>2246</v>
      </c>
      <c r="Z64" s="2426"/>
      <c r="AI64" s="2427"/>
    </row>
    <row r="65" spans="1:35" ht="14.25" customHeight="1">
      <c r="A65" s="197" t="s">
        <v>771</v>
      </c>
      <c r="B65" s="198" t="s">
        <v>2247</v>
      </c>
      <c r="C65" s="202"/>
      <c r="D65" s="200"/>
      <c r="E65" s="201"/>
      <c r="F65" s="2492"/>
      <c r="G65" s="2492"/>
      <c r="H65" s="2500"/>
      <c r="I65" s="138"/>
      <c r="J65" s="3058"/>
      <c r="K65" s="2502" t="s">
        <v>2248</v>
      </c>
      <c r="L65" s="1752">
        <f ca="1">IF(M49&gt;1000,M49*0.1%,IF(AND(M49&gt;500,M49&lt;=1000),M49*0.5%,IF(AND(M49&gt;50,M49&lt;=500),M49*1%,IF(AND(M49&gt;1,M49&lt;=50),M49*1.5%))))</f>
        <v>44.216000000000001</v>
      </c>
      <c r="M65" s="24">
        <f t="shared" ca="1" si="1"/>
        <v>44.2</v>
      </c>
      <c r="N65" s="138" t="s">
        <v>2246</v>
      </c>
      <c r="Z65" s="2426"/>
      <c r="AI65" s="2427"/>
    </row>
    <row r="66" spans="1:35" ht="14.25" customHeight="1">
      <c r="A66" s="203" t="s">
        <v>772</v>
      </c>
      <c r="B66" s="204" t="s">
        <v>2249</v>
      </c>
      <c r="C66" s="205"/>
      <c r="D66" s="206" t="s">
        <v>32</v>
      </c>
      <c r="E66" s="1776" t="s">
        <v>1367</v>
      </c>
      <c r="F66" s="2492"/>
      <c r="G66" s="2492"/>
      <c r="H66" s="2500"/>
      <c r="I66" s="138"/>
      <c r="J66" s="3058"/>
      <c r="K66" s="2502" t="s">
        <v>2250</v>
      </c>
      <c r="L66" s="1752">
        <f ca="1">M49*0.5%</f>
        <v>221.08</v>
      </c>
      <c r="M66" s="24">
        <f ca="1">IF(L66&gt;0.5,0.5,ROUND(L66,0))</f>
        <v>0.5</v>
      </c>
      <c r="N66" s="138" t="s">
        <v>2251</v>
      </c>
      <c r="Z66" s="2426"/>
      <c r="AI66" s="2427"/>
    </row>
    <row r="67" spans="1:35" ht="14.25" customHeight="1">
      <c r="A67" s="203" t="s">
        <v>773</v>
      </c>
      <c r="B67" s="204" t="s">
        <v>2252</v>
      </c>
      <c r="C67" s="207">
        <f ca="1">C63-C66</f>
        <v>42110</v>
      </c>
      <c r="D67" s="200" t="s">
        <v>32</v>
      </c>
      <c r="E67" s="201"/>
      <c r="F67" s="2492"/>
      <c r="G67" s="2492"/>
      <c r="H67" s="2500"/>
      <c r="I67" s="138"/>
      <c r="J67" s="3058"/>
      <c r="K67" s="2502" t="s">
        <v>2253</v>
      </c>
      <c r="L67" s="1752">
        <f ca="1">IF(M49&gt;=10000,(8.25+(M49-10000)*0.01%),IF(AND(M49&gt;=8000,M49&lt;10000),(7.85+(M49-8000)*0.02%),IF(AND(M49&gt;=5000,M49&lt;8000),(6.65+(M49-5000)*0.04%),IF(AND(M49&gt;=2000,M49&lt;5000),(4.25+(PM49-2000)*0.08%),IF(AND(M49&gt;=1000,M49&lt;2000),(2.75+(M49-1000)*0.15%),IF(AND(M49&gt;=100,M49&lt;1000),(0.5+(M49-100)*0.25%),IF(AND(M49&gt;0,M49&lt;100),M49*0.5%)))))))</f>
        <v>11.6716</v>
      </c>
      <c r="M67" s="24">
        <f ca="1">ROUND(L67*0.9,1)</f>
        <v>10.5</v>
      </c>
      <c r="Z67" s="2426"/>
      <c r="AI67" s="2427"/>
    </row>
    <row r="68" spans="1:35" ht="14.25" customHeight="1" thickBot="1">
      <c r="A68" s="208" t="s">
        <v>774</v>
      </c>
      <c r="B68" s="209" t="s">
        <v>2254</v>
      </c>
      <c r="C68" s="210">
        <f ca="1">IF(C67&lt;=0,0,ROUND(C67*D68,0))</f>
        <v>2358</v>
      </c>
      <c r="D68" s="211">
        <f>'数据-取费表'!B41</f>
        <v>5.6000000000000001E-2</v>
      </c>
      <c r="E68" s="212"/>
      <c r="F68" s="2492"/>
      <c r="G68" s="2492"/>
      <c r="H68" s="2500"/>
      <c r="I68" s="138"/>
      <c r="J68" s="3058"/>
      <c r="K68" s="2502" t="s">
        <v>2255</v>
      </c>
      <c r="L68" s="1752">
        <f ca="1">IF(M49&gt;10000,M49*0.5%,IF(AND(M49&gt;5000,M49&lt;=10000),M49*1%,IF(AND(M49&gt;1000,M49&lt;=5000),M49*2%,IF(AND(M49&gt;200,M49&lt;=1000),M49*3%,M49*5%))))</f>
        <v>221.08</v>
      </c>
      <c r="M68" s="24">
        <f ca="1">ROUND(L68,1)</f>
        <v>221.1</v>
      </c>
      <c r="Z68" s="2426"/>
      <c r="AI68" s="2427"/>
    </row>
    <row r="69" spans="1:35" s="2449" customFormat="1" ht="16.5" customHeight="1">
      <c r="A69" s="2503"/>
      <c r="B69" s="2504"/>
      <c r="C69" s="2505"/>
      <c r="D69" s="2506"/>
      <c r="E69" s="2507"/>
      <c r="F69" s="2168"/>
      <c r="G69" s="2168"/>
      <c r="H69" s="2167"/>
      <c r="I69" s="2421"/>
      <c r="J69" s="3058"/>
      <c r="K69" s="2502" t="s">
        <v>2256</v>
      </c>
      <c r="L69" s="2508"/>
      <c r="M69" s="24">
        <f ca="1">ROUND(SUM(M63:M68),0)</f>
        <v>719</v>
      </c>
      <c r="N69" s="1753">
        <f ca="1">M69/M49</f>
        <v>1.6261081961280986E-2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02" t="s">
        <v>2257</v>
      </c>
      <c r="B70" s="3103"/>
      <c r="C70" s="3103"/>
      <c r="D70" s="3103"/>
      <c r="E70" s="3103"/>
      <c r="F70" s="3103"/>
      <c r="G70" s="3103"/>
      <c r="H70" s="310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093" t="s">
        <v>2238</v>
      </c>
      <c r="B71" s="3094"/>
      <c r="C71" s="1804"/>
      <c r="D71" s="1804"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2258</v>
      </c>
      <c r="C72" s="207">
        <f ca="1">ROUND(D45/(1+'数据-取费表'!C42),0)</f>
        <v>42110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2259</v>
      </c>
      <c r="C73" s="207">
        <f ca="1">C74+C78</f>
        <v>253</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099" t="s">
        <v>2266</v>
      </c>
      <c r="F76" s="3098"/>
      <c r="G76" s="3098"/>
      <c r="H76" s="310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253</v>
      </c>
      <c r="D78" s="226">
        <f>'数据-取费表'!B43</f>
        <v>6.000000000000001E-3</v>
      </c>
      <c r="E78" s="3090" t="s">
        <v>2271</v>
      </c>
      <c r="F78" s="3091"/>
      <c r="G78" s="3091"/>
      <c r="H78" s="309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2272</v>
      </c>
      <c r="C79" s="207">
        <f ca="1">C72-C73</f>
        <v>41857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165.44268774703556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2274</v>
      </c>
      <c r="C81" s="228">
        <f ca="1">ROUND(IF(C79&lt;=0,0,IF(C80&gt;=200%,C79*60%-C73*35%,IF(C80&gt;=100%,C79*50%-C73*15%,IF(C80&gt;=50%,C79*40%-C73*5%,IF(C80&lt;50%,C79*30%,0))))),0)</f>
        <v>25026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02" t="s">
        <v>2275</v>
      </c>
      <c r="B83" s="3103"/>
      <c r="C83" s="3103"/>
      <c r="D83" s="3103"/>
      <c r="E83" s="3103"/>
      <c r="F83" s="3103"/>
      <c r="G83" s="3103"/>
      <c r="H83" s="310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093" t="s">
        <v>2238</v>
      </c>
      <c r="B84" s="3094"/>
      <c r="C84" s="1804"/>
      <c r="D84" s="1804"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2258</v>
      </c>
      <c r="C85" s="207">
        <f ca="1">ROUND(D45/(1+'数据-取费表'!C42),0)</f>
        <v>42110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2259</v>
      </c>
      <c r="C86" s="207">
        <f ca="1">IF(H88="仅含出让金",C87+C90+C91+C92+C93+C94,C87+C91+C92+C93+C94)</f>
        <v>253</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2276</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3.8">
      <c r="A88" s="217" t="s">
        <v>776</v>
      </c>
      <c r="B88" s="198" t="s">
        <v>2277</v>
      </c>
      <c r="C88" s="236"/>
      <c r="D88" s="226"/>
      <c r="E88" s="237" t="s">
        <v>2278</v>
      </c>
      <c r="F88" s="1800"/>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2267</v>
      </c>
      <c r="C89" s="225">
        <f>ROUND(C88*D89,0)</f>
        <v>0</v>
      </c>
      <c r="D89" s="226">
        <f>'数据-取费表'!B48+'数据-取费表'!B49</f>
        <v>3.0499999999999999E-2</v>
      </c>
      <c r="E89" s="237" t="s">
        <v>2280</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2281</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090" t="s">
        <v>2284</v>
      </c>
      <c r="F91" s="3091"/>
      <c r="G91" s="3091"/>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090" t="s">
        <v>2288</v>
      </c>
      <c r="F92" s="3091"/>
      <c r="G92" s="3091"/>
      <c r="H92" s="309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253</v>
      </c>
      <c r="D93" s="226">
        <f>'数据-取费表'!B43</f>
        <v>6.000000000000001E-3</v>
      </c>
      <c r="E93" s="3090" t="s">
        <v>2271</v>
      </c>
      <c r="F93" s="3091"/>
      <c r="G93" s="3091"/>
      <c r="H93" s="309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138" t="s">
        <v>2292</v>
      </c>
      <c r="F94" s="3139"/>
      <c r="G94" s="3139"/>
      <c r="H94" s="314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2272</v>
      </c>
      <c r="C95" s="207">
        <f ca="1">ROUND(C85-C86,0)</f>
        <v>41857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165.44268774703556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2274</v>
      </c>
      <c r="C97" s="228">
        <f ca="1">ROUND(IF(C95&lt;=0,0,IF(C96&gt;=200%,C95*60%-C86*35%,IF(C96&gt;=100%,C95*50%-C86*15%,IF(C96&gt;=50%,C95*40%-C86*5%,IF(C96&lt;50%,C95*30%,0))))),0)</f>
        <v>25026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42" t="s">
        <v>2294</v>
      </c>
      <c r="B100" s="3043"/>
      <c r="C100" s="3043"/>
      <c r="D100" s="3074"/>
      <c r="E100" s="3043" t="s">
        <v>2295</v>
      </c>
      <c r="F100" s="3043"/>
      <c r="G100" s="3043"/>
      <c r="H100" s="3074"/>
      <c r="I100" s="138"/>
    </row>
    <row r="101" spans="1:35" ht="18.75" customHeight="1">
      <c r="A101" s="3082" t="s">
        <v>2296</v>
      </c>
      <c r="B101" s="3083"/>
      <c r="C101" s="736" t="str">
        <f>C4</f>
        <v>成本法</v>
      </c>
      <c r="D101" s="737" t="str">
        <f>D4</f>
        <v>假设开发法</v>
      </c>
      <c r="E101" s="3054" t="s">
        <v>2297</v>
      </c>
      <c r="F101" s="3055"/>
      <c r="G101" s="2523" t="s">
        <v>2298</v>
      </c>
      <c r="H101" s="1048">
        <f ca="1">H118</f>
        <v>44216</v>
      </c>
      <c r="I101" s="138"/>
    </row>
    <row r="102" spans="1:35" ht="18.75" customHeight="1">
      <c r="A102" s="3084" t="s">
        <v>2299</v>
      </c>
      <c r="B102" s="2523" t="s">
        <v>2298</v>
      </c>
      <c r="C102" s="736">
        <f ca="1">C19</f>
        <v>49532</v>
      </c>
      <c r="D102" s="737">
        <f ca="1">D19</f>
        <v>36242</v>
      </c>
      <c r="E102" s="3054"/>
      <c r="F102" s="3055"/>
      <c r="G102" s="2523" t="s">
        <v>2300</v>
      </c>
      <c r="H102" s="371">
        <f ca="1">I118</f>
        <v>5665</v>
      </c>
      <c r="I102" s="138"/>
    </row>
    <row r="103" spans="1:35" ht="42.75" customHeight="1">
      <c r="A103" s="3084"/>
      <c r="B103" s="2523" t="s">
        <v>2300</v>
      </c>
      <c r="C103" s="738">
        <f ca="1">C20</f>
        <v>6346</v>
      </c>
      <c r="D103" s="739">
        <f ca="1">D20</f>
        <v>4643</v>
      </c>
      <c r="E103" s="3048" t="s">
        <v>2301</v>
      </c>
      <c r="F103" s="3049"/>
      <c r="G103" s="2524" t="s">
        <v>2302</v>
      </c>
      <c r="H103" s="1048">
        <f>IF(D36="正常操作",H104+H105+H106,H105+H106)</f>
        <v>0</v>
      </c>
      <c r="I103" s="138"/>
    </row>
    <row r="104" spans="1:35" ht="18.75" customHeight="1">
      <c r="A104" s="3084" t="s">
        <v>2303</v>
      </c>
      <c r="B104" s="2525" t="s">
        <v>2298</v>
      </c>
      <c r="C104" s="740">
        <f ca="1">H118</f>
        <v>44216</v>
      </c>
      <c r="D104" s="741"/>
      <c r="E104" s="2269" t="s">
        <v>2304</v>
      </c>
      <c r="F104" s="2260"/>
      <c r="G104" s="2524" t="s">
        <v>2302</v>
      </c>
      <c r="H104" s="1049">
        <f>IF(D36="同一抵押权人同一抵押物续贷",C36&amp;"（未扣减，详见特别提示）",C36)</f>
        <v>0</v>
      </c>
      <c r="I104" s="138"/>
    </row>
    <row r="105" spans="1:35" ht="18.75" customHeight="1" thickBot="1">
      <c r="A105" s="3096"/>
      <c r="B105" s="2526" t="s">
        <v>2300</v>
      </c>
      <c r="C105" s="742">
        <f ca="1">I118</f>
        <v>5665</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085" t="str">
        <f>IF(项目基本情况!E8="已注销","——","3.房地产抵押价值")</f>
        <v>3.房地产抵押价值</v>
      </c>
      <c r="F107" s="3055"/>
      <c r="G107" s="2523" t="s">
        <v>2298</v>
      </c>
      <c r="H107" s="1048">
        <f ca="1">IF(E107="——","——",H101-H103)</f>
        <v>44216</v>
      </c>
      <c r="I107" s="138"/>
    </row>
    <row r="108" spans="1:35" ht="18.75" customHeight="1">
      <c r="A108" s="138"/>
      <c r="B108" s="138"/>
      <c r="C108" s="138"/>
      <c r="D108" s="138"/>
      <c r="E108" s="3085"/>
      <c r="F108" s="3055"/>
      <c r="G108" s="2523" t="s">
        <v>2300</v>
      </c>
      <c r="H108" s="371">
        <f ca="1">ROUND(H107*10000/'数据-汇总表'!E3,0)</f>
        <v>5665</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3" t="s">
        <v>2298</v>
      </c>
      <c r="H109" s="348" t="str">
        <f>IF(E109="——","——",H101-H105-H106)</f>
        <v>——</v>
      </c>
      <c r="I109" s="138"/>
    </row>
    <row r="110" spans="1:35" ht="18.75" customHeight="1">
      <c r="A110" s="138"/>
      <c r="B110" s="138"/>
      <c r="C110" s="138"/>
      <c r="D110" s="138"/>
      <c r="E110" s="3085"/>
      <c r="F110" s="3055"/>
      <c r="G110" s="2523" t="s">
        <v>2300</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3" t="s">
        <v>2298</v>
      </c>
      <c r="H111" s="1048" t="str">
        <f>IF(E111="——","——",N59)</f>
        <v>——</v>
      </c>
      <c r="I111" s="138"/>
    </row>
    <row r="112" spans="1:35" ht="18.75" customHeight="1" thickBot="1">
      <c r="A112" s="138"/>
      <c r="B112" s="138"/>
      <c r="C112" s="138"/>
      <c r="D112" s="138"/>
      <c r="E112" s="3088"/>
      <c r="F112" s="3089"/>
      <c r="G112" s="2528" t="s">
        <v>2300</v>
      </c>
      <c r="H112" s="790" t="str">
        <f>IF(E111="——","——",N61)</f>
        <v>——</v>
      </c>
      <c r="I112" s="138"/>
    </row>
    <row r="113" spans="1:11" ht="18.75" customHeight="1">
      <c r="A113" s="138"/>
      <c r="B113" s="138"/>
      <c r="C113" s="138"/>
      <c r="D113" s="138"/>
      <c r="E113" s="3097" t="s">
        <v>2306</v>
      </c>
      <c r="F113" s="3097"/>
      <c r="G113" s="3097"/>
      <c r="H113" s="3097"/>
      <c r="I113" s="138"/>
    </row>
    <row r="114" spans="1:11" ht="3.75" customHeight="1">
      <c r="A114" s="2421"/>
      <c r="B114" s="2421"/>
      <c r="C114" s="2421"/>
      <c r="D114" s="2421"/>
      <c r="E114" s="2499"/>
      <c r="F114" s="2499"/>
      <c r="G114" s="2499"/>
      <c r="H114" s="2499"/>
      <c r="I114" s="2421"/>
    </row>
    <row r="115" spans="1:11" ht="18.75" customHeight="1">
      <c r="A115" s="3110" t="s">
        <v>2308</v>
      </c>
      <c r="B115" s="3111"/>
      <c r="C115" s="3111"/>
      <c r="D115" s="3111"/>
      <c r="E115" s="3111"/>
      <c r="F115" s="3111"/>
      <c r="G115" s="3111"/>
      <c r="H115" s="3111"/>
      <c r="I115" s="3112"/>
    </row>
    <row r="116" spans="1:11" ht="27" customHeight="1">
      <c r="A116" s="3021" t="s">
        <v>2309</v>
      </c>
      <c r="B116" s="3064" t="s">
        <v>2310</v>
      </c>
      <c r="C116" s="3064" t="s">
        <v>2311</v>
      </c>
      <c r="D116" s="3070" t="s">
        <v>2312</v>
      </c>
      <c r="E116" s="3071"/>
      <c r="F116" s="3106" t="s">
        <v>2313</v>
      </c>
      <c r="G116" s="3106"/>
      <c r="H116" s="3021" t="s">
        <v>2314</v>
      </c>
      <c r="I116" s="3021"/>
    </row>
    <row r="117" spans="1:11" ht="18.75" customHeight="1">
      <c r="A117" s="3021"/>
      <c r="B117" s="3065"/>
      <c r="C117" s="3065"/>
      <c r="D117" s="1798" t="s">
        <v>2315</v>
      </c>
      <c r="E117" s="1798" t="s">
        <v>2316</v>
      </c>
      <c r="F117" s="1798" t="s">
        <v>2315</v>
      </c>
      <c r="G117" s="1798" t="s">
        <v>2317</v>
      </c>
      <c r="H117" s="1798" t="s">
        <v>2315</v>
      </c>
      <c r="I117" s="1798" t="s">
        <v>2317</v>
      </c>
    </row>
    <row r="118" spans="1:11" ht="24.75" customHeight="1">
      <c r="A118" s="2529" t="str">
        <f>项目基本情况!S2</f>
        <v>浙江省嘉兴市海宁市尖山新区闻澜路南侧、静夜路西侧出让国有建设用地使用权及在建建筑物房地产</v>
      </c>
      <c r="B118" s="1798">
        <f>M18</f>
        <v>78054.290000000008</v>
      </c>
      <c r="C118" s="1798">
        <f>M19</f>
        <v>40694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44216</v>
      </c>
      <c r="I118" s="1798">
        <f ca="1">ROUND(IF(D32="楼面单价",C32,H118*10000/B118),0)</f>
        <v>5665</v>
      </c>
    </row>
    <row r="119" spans="1:11" ht="18.75" customHeight="1">
      <c r="A119" s="3021" t="s">
        <v>2318</v>
      </c>
      <c r="B119" s="3021"/>
      <c r="C119" s="3021"/>
      <c r="D119" s="3066" t="e">
        <f ca="1">NUMBERSTRING(INT(D118*10000),2)&amp;"元整"</f>
        <v>#REF!</v>
      </c>
      <c r="E119" s="3067"/>
      <c r="F119" s="3066" t="e">
        <f ca="1">NUMBERSTRING(INT(F118*10000),2)&amp;"元整"</f>
        <v>#REF!</v>
      </c>
      <c r="G119" s="3067"/>
      <c r="H119" s="3066" t="str">
        <f ca="1">NUMBERSTRING(INT(H118*10000),2)&amp;"元整"</f>
        <v>肆亿肆仟贰佰壹拾陆万元整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6" t="str">
        <f>IF(D120=0,"故，本次评估不存在"&amp;A120,"故，本次评估"&amp;A120&amp;"为人民币"&amp;D120&amp;"万元整。")</f>
        <v>故，本次评估不存在估价师知悉的法定优先受偿款</v>
      </c>
    </row>
    <row r="121" spans="1:11" ht="18.75" customHeight="1">
      <c r="A121" s="3107" t="s">
        <v>2318</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44216</v>
      </c>
      <c r="E122" s="3062"/>
      <c r="F122" s="3062"/>
      <c r="G122" s="3062"/>
      <c r="H122" s="3062"/>
      <c r="I122" s="3063"/>
    </row>
    <row r="123" spans="1:11" ht="18.75" customHeight="1">
      <c r="A123" s="3021" t="s">
        <v>2318</v>
      </c>
      <c r="B123" s="3021"/>
      <c r="C123" s="3021"/>
      <c r="D123" s="3066" t="str">
        <f ca="1">NUMBERSTRING(INT(D122*10000),2)&amp;"元整"</f>
        <v>肆亿肆仟贰佰壹拾陆万元整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2318</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2318</v>
      </c>
      <c r="B127" s="3021"/>
      <c r="C127" s="3021"/>
      <c r="D127" s="3066" t="e">
        <f>NUMBERSTRING(INT(D126*10000),2)&amp;"元整"</f>
        <v>#VALUE!</v>
      </c>
      <c r="E127" s="3068"/>
      <c r="F127" s="3068"/>
      <c r="G127" s="3068"/>
      <c r="H127" s="3068"/>
      <c r="I127" s="3067"/>
    </row>
    <row r="128" spans="1:11" ht="21.75" customHeight="1">
      <c r="A128" s="3069" t="s">
        <v>2319</v>
      </c>
      <c r="B128" s="3069"/>
      <c r="C128" s="3069"/>
      <c r="D128" s="3069"/>
      <c r="E128" s="3069"/>
      <c r="F128" s="3069"/>
      <c r="G128" s="3069"/>
      <c r="H128" s="3069"/>
      <c r="I128" s="3069"/>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1" sqref="K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40"/>
      <c r="C1" s="242"/>
      <c r="D1" s="242"/>
      <c r="E1" s="242"/>
      <c r="F1" s="242"/>
      <c r="G1" s="1382">
        <f>MATCH(B1,'数据-取费表'!A6:A16,0)+5</f>
        <v>7</v>
      </c>
    </row>
    <row r="2" spans="1:9" s="244" customFormat="1" ht="18" customHeight="1">
      <c r="A2" s="245" t="s">
        <v>2328</v>
      </c>
      <c r="B2" s="246">
        <f ca="1">IF(D2="——",C52,C52-E2)</f>
        <v>49532</v>
      </c>
      <c r="C2" s="243" t="s">
        <v>2329</v>
      </c>
      <c r="D2" s="2552" t="s">
        <v>70</v>
      </c>
      <c r="E2" s="1443"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6346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10079</v>
      </c>
      <c r="D5" s="255" t="s">
        <v>2335</v>
      </c>
      <c r="E5" s="256" t="s">
        <v>2336</v>
      </c>
      <c r="F5" s="256" t="s">
        <v>2337</v>
      </c>
      <c r="G5" s="257"/>
    </row>
    <row r="6" spans="1:9" s="258" customFormat="1" ht="13.5" customHeight="1">
      <c r="A6" s="952" t="s">
        <v>2338</v>
      </c>
      <c r="B6" s="259" t="s">
        <v>2339</v>
      </c>
      <c r="C6" s="260">
        <f>ROUND(1500*'数据-汇总表'!F19/10000,0)</f>
        <v>9781</v>
      </c>
      <c r="D6" s="261"/>
      <c r="E6" s="262"/>
      <c r="F6" s="262"/>
      <c r="G6" s="263"/>
    </row>
    <row r="7" spans="1:9" s="258" customFormat="1" ht="13.5" customHeight="1">
      <c r="A7" s="952" t="s">
        <v>2340</v>
      </c>
      <c r="B7" s="259" t="s">
        <v>2341</v>
      </c>
      <c r="C7" s="264">
        <f>ROUND(C6*F7,0)</f>
        <v>298</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5" t="s">
        <v>3442</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30</v>
      </c>
      <c r="F9" s="265"/>
      <c r="G9" s="2556" t="s">
        <v>3443</v>
      </c>
      <c r="H9" s="1393"/>
      <c r="I9" s="2557" t="s">
        <v>2345</v>
      </c>
    </row>
    <row r="10" spans="1:9" s="258" customFormat="1" ht="13.5" customHeight="1">
      <c r="A10" s="953" t="s">
        <v>801</v>
      </c>
      <c r="B10" s="268" t="s">
        <v>2346</v>
      </c>
      <c r="C10" s="269">
        <f ca="1">ROUND(D10*E10/10000,0)</f>
        <v>624</v>
      </c>
      <c r="D10" s="1035">
        <f ca="1">IF(B1="",'数据-汇总表'!E6,IF(INDIRECT("'数据-取费表'!c"&amp;$G$1)="住宅",INDIRECT("'数据-取费表'!s"&amp;$G$1),INDIRECT("'数据-取费表'!k"&amp;$G$1)+INDIRECT("'数据-取费表'!s"&amp;$G$1)))</f>
        <v>78054.290000000008</v>
      </c>
      <c r="E10" s="269">
        <f>'数据-取费表'!B28</f>
        <v>80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1561</v>
      </c>
      <c r="D19" s="1039">
        <f ca="1">D9+D10</f>
        <v>78054.290000000008</v>
      </c>
      <c r="E19" s="255">
        <f>'数据-取费表'!B31</f>
        <v>200</v>
      </c>
      <c r="F19" s="275"/>
      <c r="G19" s="2555" t="s">
        <v>1071</v>
      </c>
    </row>
    <row r="20" spans="1:7" s="258" customFormat="1" ht="13.5" customHeight="1">
      <c r="A20" s="299" t="s">
        <v>2359</v>
      </c>
      <c r="B20" s="254" t="s">
        <v>2360</v>
      </c>
      <c r="C20" s="276">
        <f ca="1">ROUND((C5+C19)*F20,0)</f>
        <v>233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1446</v>
      </c>
      <c r="D22" s="279">
        <f ca="1">C26</f>
        <v>1.1999999999999999E-3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1240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192</v>
      </c>
      <c r="D24" s="282"/>
      <c r="E24" s="282"/>
      <c r="F24" s="283"/>
      <c r="G24" s="284" t="s">
        <v>2373</v>
      </c>
    </row>
    <row r="25" spans="1:7" s="258" customFormat="1" ht="24">
      <c r="A25" s="954" t="s">
        <v>2374</v>
      </c>
      <c r="B25" s="259" t="s">
        <v>2375</v>
      </c>
      <c r="C25" s="1358">
        <f ca="1">ROUND(IF('数据-取费表'!B22&lt;=1,C20*F22*'数据-取费表'!B23/2,C20*(POWER((1+F22),'数据-取费表'!B23/2)-1)),0)</f>
        <v>14</v>
      </c>
      <c r="D25" s="282"/>
      <c r="E25" s="285"/>
      <c r="F25" s="283"/>
      <c r="G25" s="286" t="s">
        <v>2376</v>
      </c>
    </row>
    <row r="26" spans="1:7" s="258" customFormat="1">
      <c r="A26" s="954" t="s">
        <v>795</v>
      </c>
      <c r="B26" s="259" t="s">
        <v>2377</v>
      </c>
      <c r="C26" s="282">
        <f ca="1">ROUND(IF('数据-取费表'!B22&lt;=1,F21*F22*'数据-取费表'!B23/2,F21*(POWER((1+F22),'数据-取费表'!B23/2)-1)),4)</f>
        <v>1.1999999999999999E-3</v>
      </c>
      <c r="D26" s="282"/>
      <c r="E26" s="285"/>
      <c r="F26" s="283"/>
      <c r="G26" s="287"/>
    </row>
    <row r="27" spans="1:7" s="258" customFormat="1" ht="26.4">
      <c r="A27" s="299" t="s">
        <v>2378</v>
      </c>
      <c r="B27" s="288" t="s">
        <v>2379</v>
      </c>
      <c r="C27" s="289">
        <f ca="1">C28</f>
        <v>1979</v>
      </c>
      <c r="D27" s="279">
        <f ca="1">C29</f>
        <v>3.3E-3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1979</v>
      </c>
      <c r="D28" s="279"/>
      <c r="E28" s="280"/>
      <c r="F28" s="290"/>
      <c r="G28" s="291"/>
    </row>
    <row r="29" spans="1:7" s="258" customFormat="1" ht="13.5" customHeight="1">
      <c r="A29" s="954" t="s">
        <v>792</v>
      </c>
      <c r="B29" s="292" t="s">
        <v>2383</v>
      </c>
      <c r="C29" s="282">
        <f ca="1">ROUND(C21*F27*'数据-取费表'!B21/'数据-取费表'!B20,4)</f>
        <v>3.3E-3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16589</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23625</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21063</v>
      </c>
      <c r="D34" s="261"/>
      <c r="E34" s="264"/>
      <c r="F34" s="301">
        <f ca="1">IF('数据-取费表'!B24=0,1,IF(B1="",'数据-取费表'!N16,INDIRECT("'数据-取费表'!n"&amp;$G$1)))</f>
        <v>0.76400000000000001</v>
      </c>
      <c r="G34" s="263" t="s">
        <v>2392</v>
      </c>
    </row>
    <row r="35" spans="1:7" ht="13.5" customHeight="1">
      <c r="A35" s="954" t="s">
        <v>796</v>
      </c>
      <c r="B35" s="259" t="s">
        <v>2393</v>
      </c>
      <c r="C35" s="264">
        <f ca="1">ROUND(C34*F35,0)</f>
        <v>1053</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1193</v>
      </c>
      <c r="D37" s="261">
        <f ca="1">D19</f>
        <v>78054.290000000008</v>
      </c>
      <c r="E37" s="293">
        <f>'数据-取费表'!B35</f>
        <v>200</v>
      </c>
      <c r="F37" s="303"/>
      <c r="G37" s="305" t="s">
        <v>2398</v>
      </c>
    </row>
    <row r="38" spans="1:7" ht="13.5" customHeight="1">
      <c r="A38" s="954" t="s">
        <v>799</v>
      </c>
      <c r="B38" s="259" t="s">
        <v>2399</v>
      </c>
      <c r="C38" s="264">
        <f ca="1">ROUND(C34*F38,0)</f>
        <v>316</v>
      </c>
      <c r="D38" s="264"/>
      <c r="E38" s="264"/>
      <c r="F38" s="303">
        <f>'数据-取费表'!B36</f>
        <v>1.4999999999999999E-2</v>
      </c>
      <c r="G38" s="263" t="s">
        <v>2394</v>
      </c>
    </row>
    <row r="39" spans="1:7" s="258" customFormat="1" ht="13.5" customHeight="1">
      <c r="A39" s="299" t="s">
        <v>2400</v>
      </c>
      <c r="B39" s="254" t="s">
        <v>2401</v>
      </c>
      <c r="C39" s="276">
        <f ca="1">ROUND(C33*F20,0)</f>
        <v>473</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1439</v>
      </c>
      <c r="D41" s="279">
        <f ca="1">C44</f>
        <v>1.1999999999999999E-3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1411</v>
      </c>
      <c r="D42" s="282"/>
      <c r="E42" s="282"/>
      <c r="F42" s="283"/>
      <c r="G42" s="3141" t="s">
        <v>2410</v>
      </c>
    </row>
    <row r="43" spans="1:7" ht="13.5" customHeight="1">
      <c r="A43" s="954" t="s">
        <v>792</v>
      </c>
      <c r="B43" s="259" t="s">
        <v>2411</v>
      </c>
      <c r="C43" s="282">
        <f ca="1">ROUND(IF('数据-取费表'!B22&lt;=1,C39*F22*'数据-取费表'!B21/2,C39*(POWER((1+F22),'数据-取费表'!B21/2)-1)),0)</f>
        <v>28</v>
      </c>
      <c r="D43" s="282"/>
      <c r="E43" s="282"/>
      <c r="F43" s="283"/>
      <c r="G43" s="3142"/>
    </row>
    <row r="44" spans="1:7" ht="13.5" customHeight="1">
      <c r="A44" s="954" t="s">
        <v>793</v>
      </c>
      <c r="B44" s="259" t="s">
        <v>2412</v>
      </c>
      <c r="C44" s="282">
        <f ca="1">ROUND(IF('数据-取费表'!B22&lt;=1,C40*F22*'数据-取费表'!B21/2,C40*(POWER((1+F22),'数据-取费表'!B21/2)-1)),4)</f>
        <v>1.1999999999999999E-3</v>
      </c>
      <c r="D44" s="282"/>
      <c r="E44" s="282"/>
      <c r="F44" s="283"/>
      <c r="G44" s="3143"/>
    </row>
    <row r="45" spans="1:7" s="258" customFormat="1" ht="13.5" customHeight="1">
      <c r="A45" s="299" t="s">
        <v>2413</v>
      </c>
      <c r="B45" s="288" t="s">
        <v>2379</v>
      </c>
      <c r="C45" s="289">
        <f ca="1">C46</f>
        <v>4820</v>
      </c>
      <c r="D45" s="279">
        <f ca="1">C47</f>
        <v>4.0000000000000001E-3</v>
      </c>
      <c r="E45" s="280" t="s">
        <v>2405</v>
      </c>
      <c r="F45" s="290"/>
      <c r="G45" s="291" t="s">
        <v>2414</v>
      </c>
    </row>
    <row r="46" spans="1:7" s="258" customFormat="1" ht="13.5" customHeight="1">
      <c r="A46" s="954" t="s">
        <v>791</v>
      </c>
      <c r="B46" s="292" t="s">
        <v>2415</v>
      </c>
      <c r="C46" s="293">
        <f ca="1">ROUND((C33+C39)*F27,0)</f>
        <v>4820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32943</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32943</v>
      </c>
      <c r="D51" s="276"/>
      <c r="E51" s="276"/>
      <c r="F51" s="308"/>
      <c r="G51" s="278" t="s">
        <v>2426</v>
      </c>
    </row>
    <row r="52" spans="1:7" s="252" customFormat="1" ht="16.8" thickBot="1">
      <c r="A52" s="309" t="s">
        <v>2427</v>
      </c>
      <c r="B52" s="310"/>
      <c r="C52" s="311">
        <f ca="1">C31+C51</f>
        <v>49532</v>
      </c>
      <c r="D52" s="310"/>
      <c r="E52" s="310"/>
      <c r="F52" s="310"/>
      <c r="G52" s="312"/>
    </row>
    <row r="55" spans="1:7" ht="15">
      <c r="B55" s="314" t="s">
        <v>2428</v>
      </c>
      <c r="C55" s="315"/>
    </row>
    <row r="56" spans="1:7">
      <c r="B56" s="317" t="s">
        <v>1509</v>
      </c>
      <c r="C56" s="319">
        <f ca="1">1-C57</f>
        <v>0.33499999999999996</v>
      </c>
    </row>
    <row r="57" spans="1:7">
      <c r="B57" s="317" t="s">
        <v>1510</v>
      </c>
      <c r="C57" s="318">
        <f ca="1">ROUND(C51/C52,3)</f>
        <v>0.66500000000000004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浙江省嘉兴市海宁市尖山新区闻澜路南侧、静夜路西侧出让国有建设用地使用权及在建建筑物房地产抵押价值预评估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8" sqref="I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40"/>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46792</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5995</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6244343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6244343</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30</v>
      </c>
      <c r="F9" s="265"/>
      <c r="G9" s="270"/>
    </row>
    <row r="10" spans="1:8" s="258" customFormat="1" ht="13.5" customHeight="1">
      <c r="A10" s="953" t="s">
        <v>801</v>
      </c>
      <c r="B10" s="268" t="s">
        <v>2346</v>
      </c>
      <c r="C10" s="269">
        <f ca="1">ROUND(D10*E10,0)</f>
        <v>6244343</v>
      </c>
      <c r="D10" s="1035">
        <f ca="1">IF(B1="",'数据-汇总表'!E6,IF(INDIRECT("'数据-取费表'!c"&amp;$G$1)="住宅",INDIRECT("'数据-取费表'!s"&amp;$G$1),INDIRECT("'数据-取费表'!k"&amp;$G$1)+INDIRECT("'数据-取费表'!s"&amp;$G$1)))</f>
        <v>78054.290000000008</v>
      </c>
      <c r="E10" s="269">
        <f>'数据-取费表'!B28</f>
        <v>80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15610858</v>
      </c>
      <c r="D19" s="1039">
        <f ca="1">D9+D10</f>
        <v>78054.290000000008</v>
      </c>
      <c r="E19" s="255">
        <f>'数据-取费表'!B31</f>
        <v>200</v>
      </c>
      <c r="F19" s="275"/>
      <c r="G19" s="2555"/>
    </row>
    <row r="20" spans="1:7" s="258" customFormat="1" ht="13.5" customHeight="1">
      <c r="A20" s="299" t="s">
        <v>2440</v>
      </c>
      <c r="B20" s="254" t="s">
        <v>2441</v>
      </c>
      <c r="C20" s="276">
        <f ca="1">ROUND((C5+C19)*F20,0)</f>
        <v>437104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3296151</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932754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2331886</v>
      </c>
      <c r="D24" s="282"/>
      <c r="E24" s="282"/>
      <c r="F24" s="283"/>
      <c r="G24" s="284" t="s">
        <v>2452</v>
      </c>
    </row>
    <row r="25" spans="1:7" s="258" customFormat="1" ht="24">
      <c r="A25" s="954" t="s">
        <v>2342</v>
      </c>
      <c r="B25" s="259" t="s">
        <v>2453</v>
      </c>
      <c r="C25" s="1384">
        <f ca="1">ROUND(IF('数据-取费表'!B22&lt;=1,C20*F22*'数据-取费表'!B22/2,C20*(POWER((1+F22),'数据-取费表'!B22/2)-1)),0)</f>
        <v>31511</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4458461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4458461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32613608</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309086224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275563724</v>
      </c>
      <c r="D34" s="261"/>
      <c r="E34" s="264"/>
      <c r="F34" s="301"/>
      <c r="G34" s="263"/>
    </row>
    <row r="35" spans="1:7" ht="13.5" customHeight="1">
      <c r="A35" s="954" t="s">
        <v>796</v>
      </c>
      <c r="B35" s="259" t="s">
        <v>2393</v>
      </c>
      <c r="C35" s="264">
        <f ca="1">ROUND(C34*F35,0)</f>
        <v>13778186</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15610858</v>
      </c>
      <c r="D37" s="261">
        <f ca="1">D19</f>
        <v>78054.290000000008</v>
      </c>
      <c r="E37" s="293">
        <f>'数据-取费表'!B35</f>
        <v>200</v>
      </c>
      <c r="F37" s="303"/>
      <c r="G37" s="305"/>
    </row>
    <row r="38" spans="1:7" ht="13.5" customHeight="1">
      <c r="A38" s="954" t="s">
        <v>799</v>
      </c>
      <c r="B38" s="259" t="s">
        <v>2399</v>
      </c>
      <c r="C38" s="264">
        <f ca="1">ROUND(C34*F38,0)</f>
        <v>4133456</v>
      </c>
      <c r="D38" s="264"/>
      <c r="E38" s="264"/>
      <c r="F38" s="303">
        <f>'数据-取费表'!B36</f>
        <v>1.4999999999999999E-2</v>
      </c>
      <c r="G38" s="263" t="s">
        <v>2394</v>
      </c>
    </row>
    <row r="39" spans="1:7" s="258" customFormat="1" ht="13.5" customHeight="1">
      <c r="A39" s="299" t="s">
        <v>2400</v>
      </c>
      <c r="B39" s="254" t="s">
        <v>2401</v>
      </c>
      <c r="C39" s="276">
        <f ca="1">ROUND(C33*F20,0)</f>
        <v>6181724</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22727512</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22281875</v>
      </c>
      <c r="D42" s="282"/>
      <c r="E42" s="282"/>
      <c r="F42" s="283"/>
      <c r="G42" s="3141" t="s">
        <v>2457</v>
      </c>
    </row>
    <row r="43" spans="1:7" ht="13.5" customHeight="1">
      <c r="A43" s="954" t="s">
        <v>792</v>
      </c>
      <c r="B43" s="259" t="s">
        <v>2411</v>
      </c>
      <c r="C43" s="282">
        <f ca="1">ROUND(IF('数据-取费表'!B22&lt;=1,C39*F22*'数据-取费表'!B20/2,C39*(POWER((1+F22),'数据-取费表'!B20/2)-1)),0)</f>
        <v>445637</v>
      </c>
      <c r="D43" s="282"/>
      <c r="E43" s="282"/>
      <c r="F43" s="283"/>
      <c r="G43" s="3142"/>
    </row>
    <row r="44" spans="1:7" ht="13.5" customHeight="1">
      <c r="A44" s="954" t="s">
        <v>793</v>
      </c>
      <c r="B44" s="259" t="s">
        <v>2412</v>
      </c>
      <c r="C44" s="282">
        <f ca="1">ROUND(IF('数据-取费表'!B22&lt;=1,C40*F22*'数据-取费表'!B20/2,C40*(POWER((1+F22),'数据-取费表'!B20/2)-1)),4)</f>
        <v>1.4E-3</v>
      </c>
      <c r="D44" s="282"/>
      <c r="E44" s="282"/>
      <c r="F44" s="283"/>
      <c r="G44" s="3143"/>
    </row>
    <row r="45" spans="1:7" s="258" customFormat="1" ht="13.5" customHeight="1">
      <c r="A45" s="299" t="s">
        <v>2413</v>
      </c>
      <c r="B45" s="288" t="s">
        <v>2379</v>
      </c>
      <c r="C45" s="289">
        <f ca="1">C46</f>
        <v>63053590</v>
      </c>
      <c r="D45" s="279">
        <f ca="1">C47</f>
        <v>4.0000000000000001E-3</v>
      </c>
      <c r="E45" s="280" t="s">
        <v>2405</v>
      </c>
      <c r="F45" s="290"/>
      <c r="G45" s="291" t="s">
        <v>2414</v>
      </c>
    </row>
    <row r="46" spans="1:7" s="258" customFormat="1" ht="13.5" customHeight="1">
      <c r="A46" s="954" t="s">
        <v>791</v>
      </c>
      <c r="B46" s="292" t="s">
        <v>2415</v>
      </c>
      <c r="C46" s="293">
        <f ca="1">ROUND((C33+C39)*F27,0)</f>
        <v>63053590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435307772</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435307772</v>
      </c>
      <c r="D51" s="276"/>
      <c r="E51" s="276"/>
      <c r="F51" s="308"/>
      <c r="G51" s="278" t="s">
        <v>2426</v>
      </c>
    </row>
    <row r="52" spans="1:7" s="252" customFormat="1" ht="16.8" thickBot="1">
      <c r="A52" s="309" t="s">
        <v>2427</v>
      </c>
      <c r="B52" s="310"/>
      <c r="C52" s="311">
        <f ca="1">C31+C51</f>
        <v>467921380</v>
      </c>
      <c r="D52" s="310"/>
      <c r="E52" s="310"/>
      <c r="F52" s="310"/>
      <c r="G52" s="312"/>
    </row>
    <row r="55" spans="1:7" ht="15">
      <c r="B55" s="314" t="s">
        <v>2428</v>
      </c>
      <c r="C55" s="315"/>
    </row>
    <row r="56" spans="1:7">
      <c r="B56" s="317" t="s">
        <v>1509</v>
      </c>
      <c r="C56" s="319">
        <f ca="1">1-C57</f>
        <v>6.9999999999999951E-2</v>
      </c>
    </row>
    <row r="57" spans="1:7">
      <c r="B57" s="317" t="s">
        <v>1510</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5" sqref="N1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2460</v>
      </c>
      <c r="B1" s="1584"/>
      <c r="C1" s="1585"/>
      <c r="D1" s="1583"/>
      <c r="E1" s="320"/>
      <c r="F1" s="320"/>
      <c r="G1" s="1584"/>
      <c r="H1" s="320"/>
      <c r="I1" s="320"/>
      <c r="J1" s="320"/>
      <c r="K1" s="320">
        <f>MATCH(C1,'数据-取费表'!A6:A16,0)+5</f>
        <v>7</v>
      </c>
    </row>
    <row r="2" spans="1:33" ht="18" customHeight="1">
      <c r="A2" s="245" t="s">
        <v>2328</v>
      </c>
      <c r="B2" s="248">
        <f ca="1">C32</f>
        <v>36242</v>
      </c>
      <c r="C2" s="320" t="s">
        <v>2461</v>
      </c>
      <c r="D2" s="320"/>
      <c r="E2" s="320"/>
      <c r="F2" s="320"/>
      <c r="G2" s="320"/>
      <c r="H2" s="320"/>
      <c r="I2" s="320"/>
      <c r="J2" s="320"/>
      <c r="K2" s="320"/>
    </row>
    <row r="3" spans="1:33" ht="18" customHeight="1" thickBot="1">
      <c r="A3" s="247" t="s">
        <v>2330</v>
      </c>
      <c r="B3" s="248">
        <f ca="1">ROUND(B2*10000/IF(C1="",'数据-汇总表'!E3,INDIRECT("'数据-取费表'!K"&amp;$K$1)),0)</f>
        <v>4643</v>
      </c>
      <c r="C3" s="320" t="s">
        <v>2462</v>
      </c>
      <c r="D3" s="320"/>
      <c r="E3" s="320"/>
      <c r="F3" s="320"/>
      <c r="G3" s="320"/>
      <c r="H3" s="320"/>
      <c r="I3" s="320"/>
      <c r="J3" s="320"/>
      <c r="K3" s="320"/>
    </row>
    <row r="4" spans="1:33" s="959" customFormat="1" ht="16.5" customHeight="1">
      <c r="A4" s="956" t="s">
        <v>2463</v>
      </c>
      <c r="B4" s="957"/>
      <c r="C4" s="999">
        <f ca="1">SUM(C8:K8)</f>
        <v>52274</v>
      </c>
      <c r="D4" s="957"/>
      <c r="E4" s="957"/>
      <c r="F4" s="957"/>
      <c r="G4" s="957"/>
      <c r="H4" s="957"/>
      <c r="I4" s="957"/>
      <c r="J4" s="957"/>
      <c r="K4" s="958"/>
    </row>
    <row r="5" spans="1:33" s="963" customFormat="1" ht="14.4">
      <c r="A5" s="960" t="s">
        <v>2464</v>
      </c>
      <c r="B5" s="961" t="s">
        <v>2465</v>
      </c>
      <c r="C5" s="2559" t="s">
        <v>27</v>
      </c>
      <c r="D5" s="2559"/>
      <c r="E5" s="2559"/>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f ca="1">收益法!B3</f>
        <v>8016</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65209.619999999995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f ca="1">收益法!B2</f>
        <v>52274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6494</v>
      </c>
      <c r="D11" s="976"/>
      <c r="E11" s="375"/>
      <c r="F11" s="977">
        <f ca="1">1-IF('数据-取费表'!B24=0,1,IF(C1="",'数据-取费表'!N16,INDIRECT("'数据-取费表'!n"&amp;$K$1)))</f>
        <v>0.23599999999999999</v>
      </c>
      <c r="G11" s="8"/>
      <c r="H11" s="971"/>
      <c r="I11" s="971"/>
      <c r="J11" s="971"/>
      <c r="K11" s="972"/>
    </row>
    <row r="12" spans="1:33" s="978" customFormat="1" ht="13.5" customHeight="1">
      <c r="A12" s="974" t="s">
        <v>1331</v>
      </c>
      <c r="B12" s="975" t="s">
        <v>2479</v>
      </c>
      <c r="C12" s="24">
        <f ca="1">ROUND(C11*F12,0)</f>
        <v>325</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368</v>
      </c>
      <c r="D14" s="1036">
        <f ca="1">IF(C1="",'数据-汇总表'!E3,INDIRECT("'数据-取费表'!K"&amp;$K$1)+INDIRECT("'数据-取费表'!S"&amp;$K$1))</f>
        <v>78054.290000000008</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97</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7284</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78054.290000000008</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624</v>
      </c>
      <c r="D18" s="1036"/>
      <c r="E18" s="24"/>
      <c r="F18" s="979"/>
      <c r="G18" s="2561" t="s">
        <v>3444</v>
      </c>
      <c r="H18" s="1580"/>
      <c r="I18" s="2562"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30</v>
      </c>
      <c r="F19" s="979"/>
      <c r="G19" s="15"/>
      <c r="H19" s="1582"/>
      <c r="I19" s="984"/>
      <c r="J19" s="984"/>
      <c r="K19" s="985"/>
    </row>
    <row r="20" spans="1:33" s="978" customFormat="1" ht="13.5" customHeight="1">
      <c r="A20" s="974" t="s">
        <v>806</v>
      </c>
      <c r="B20" s="975" t="s">
        <v>2493</v>
      </c>
      <c r="C20" s="24">
        <f ca="1">ROUND(D20*E20/10000,0)</f>
        <v>624</v>
      </c>
      <c r="D20" s="1036">
        <f ca="1">IF(C1="",'数据-汇总表'!E6,IF(INDIRECT("'数据-取费表'!c"&amp;$K$1)="住宅",INDIRECT("'数据-取费表'!s"&amp;$K$1),INDIRECT("'数据-取费表'!k"&amp;$K$1)+INDIRECT("'数据-取费表'!s"&amp;$K$1)))</f>
        <v>78054.290000000008</v>
      </c>
      <c r="E20" s="24">
        <f>'数据-取费表'!B28</f>
        <v>80</v>
      </c>
      <c r="F20" s="979"/>
      <c r="G20" s="15"/>
      <c r="H20" s="984"/>
      <c r="I20" s="984"/>
      <c r="J20" s="984"/>
      <c r="K20" s="985"/>
    </row>
    <row r="21" spans="1:33" s="978" customFormat="1" ht="13.5" customHeight="1">
      <c r="A21" s="964" t="s">
        <v>802</v>
      </c>
      <c r="B21" s="988" t="s">
        <v>2494</v>
      </c>
      <c r="C21" s="989">
        <f ca="1">C16+C17+C18</f>
        <v>7908</v>
      </c>
      <c r="D21" s="990"/>
      <c r="E21" s="325"/>
      <c r="F21" s="325"/>
      <c r="G21" s="140" t="s">
        <v>2495</v>
      </c>
      <c r="H21" s="982"/>
      <c r="I21" s="982"/>
      <c r="J21" s="982"/>
      <c r="K21" s="983"/>
    </row>
    <row r="22" spans="1:33" s="978" customFormat="1" ht="13.5" customHeight="1">
      <c r="A22" s="964" t="s">
        <v>2467</v>
      </c>
      <c r="B22" s="988" t="s">
        <v>2496</v>
      </c>
      <c r="C22" s="989">
        <f ca="1">ROUND(C21*F22,0)</f>
        <v>158</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247</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97</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2.4199999999999999E-2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97</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1663</v>
      </c>
      <c r="D28" s="324">
        <f ca="1">C29</f>
        <v>3.4299999999999997E-2</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3.4299999999999997E-2</v>
      </c>
      <c r="D29" s="328"/>
      <c r="E29" s="329"/>
      <c r="F29" s="334"/>
      <c r="G29" s="140" t="s">
        <v>2510</v>
      </c>
      <c r="H29" s="982"/>
      <c r="I29" s="982"/>
      <c r="J29" s="982"/>
      <c r="K29" s="983"/>
    </row>
    <row r="30" spans="1:33" s="335" customFormat="1" ht="13.5" customHeight="1">
      <c r="A30" s="974" t="s">
        <v>804</v>
      </c>
      <c r="B30" s="997" t="s">
        <v>2511</v>
      </c>
      <c r="C30" s="336">
        <f ca="1">ROUND((C21+C22+C23)*F28,0)</f>
        <v>1663</v>
      </c>
      <c r="D30" s="328"/>
      <c r="E30" s="329"/>
      <c r="F30" s="334"/>
      <c r="G30" s="140"/>
      <c r="H30" s="982"/>
      <c r="I30" s="982"/>
      <c r="J30" s="982"/>
      <c r="K30" s="983"/>
    </row>
    <row r="31" spans="1:33" s="978" customFormat="1" ht="13.5" customHeight="1" thickBot="1">
      <c r="A31" s="2565" t="s">
        <v>2512</v>
      </c>
      <c r="B31" s="1008" t="s">
        <v>2513</v>
      </c>
      <c r="C31" s="1009">
        <f ca="1">ROUND(C4*F31/(1+'数据-取费表'!C42),0)</f>
        <v>2788</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36242</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6" sqref="J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27</v>
      </c>
      <c r="D1" s="1823" t="s">
        <v>3445</v>
      </c>
      <c r="E1" s="1824" t="s">
        <v>1383</v>
      </c>
      <c r="F1" s="1286">
        <f ca="1">J53</f>
        <v>34.590000000000003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52274</v>
      </c>
      <c r="C2" s="1848" t="s">
        <v>1512</v>
      </c>
      <c r="D2" s="1848"/>
      <c r="E2" s="1849"/>
      <c r="F2" s="1850"/>
      <c r="G2" s="1851"/>
      <c r="H2" s="1843"/>
      <c r="I2" s="1843"/>
      <c r="J2" s="1843"/>
      <c r="K2" s="1844"/>
      <c r="L2" s="1843"/>
      <c r="M2" s="1843"/>
    </row>
    <row r="3" spans="1:37" ht="18" customHeight="1" thickBot="1">
      <c r="A3" s="1852" t="s">
        <v>1513</v>
      </c>
      <c r="B3" s="1853">
        <f ca="1">IF(ISERROR(B2*10000/F43),0,ROUND(B2*10000/F43,0))</f>
        <v>8016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3754</v>
      </c>
      <c r="D5" s="1825" t="s">
        <v>1398</v>
      </c>
      <c r="E5" s="1296"/>
      <c r="F5" s="1297"/>
      <c r="G5" s="1854"/>
      <c r="H5" s="344">
        <v>1</v>
      </c>
      <c r="I5" s="345" t="s">
        <v>1397</v>
      </c>
      <c r="J5" s="1295">
        <f ca="1">J6+J10+J12</f>
        <v>0</v>
      </c>
      <c r="K5" s="1825" t="s">
        <v>1398</v>
      </c>
      <c r="L5" s="1296"/>
      <c r="M5" s="1297"/>
    </row>
    <row r="6" spans="1:37" ht="18" customHeight="1">
      <c r="A6" s="1294" t="s">
        <v>1032</v>
      </c>
      <c r="B6" s="3146" t="s">
        <v>1399</v>
      </c>
      <c r="C6" s="1299">
        <f ca="1">ROUND(F6*F8*F7*(1-F9)/10000,0)</f>
        <v>3749</v>
      </c>
      <c r="D6" s="164" t="s">
        <v>3031</v>
      </c>
      <c r="E6" s="347" t="s">
        <v>1401</v>
      </c>
      <c r="F6" s="348">
        <f ca="1">INDIRECT("'数据-取费表'!u"&amp;$G$1)</f>
        <v>1.75</v>
      </c>
      <c r="G6" s="1854"/>
      <c r="H6" s="1294" t="s">
        <v>1032</v>
      </c>
      <c r="I6" s="3146" t="s">
        <v>1399</v>
      </c>
      <c r="J6" s="346">
        <f ca="1">ROUND(M6*M8*M7*(1-M9)/10000,0)</f>
        <v>0</v>
      </c>
      <c r="K6" s="164" t="s">
        <v>3030</v>
      </c>
      <c r="L6" s="347" t="s">
        <v>1401</v>
      </c>
      <c r="M6" s="348">
        <f ca="1">INDIRECT("'数据-取费表'!z"&amp;$G$1)</f>
        <v>0</v>
      </c>
    </row>
    <row r="7" spans="1:37" ht="18" customHeight="1">
      <c r="A7" s="1298"/>
      <c r="B7" s="3147"/>
      <c r="C7" s="1300"/>
      <c r="D7" s="352"/>
      <c r="E7" s="1301" t="s">
        <v>1402</v>
      </c>
      <c r="F7" s="348">
        <f ca="1">IF(INDIRECT("'数据-取费表'!ah"&amp;$G$1)="",INDIRECT("'数据-取费表'!k"&amp;$G$1),INDIRECT("'数据-取费表'!ah"&amp;$G$1))</f>
        <v>65209.619999999995</v>
      </c>
      <c r="G7" s="1854"/>
      <c r="H7" s="349"/>
      <c r="I7" s="3147"/>
      <c r="J7" s="351"/>
      <c r="K7" s="352"/>
      <c r="L7" s="347" t="s">
        <v>1402</v>
      </c>
      <c r="M7" s="348">
        <f ca="1">F7</f>
        <v>65209.619999999995</v>
      </c>
    </row>
    <row r="8" spans="1:37" ht="18" customHeight="1">
      <c r="A8" s="349"/>
      <c r="B8" s="3147"/>
      <c r="C8" s="351"/>
      <c r="D8" s="352"/>
      <c r="E8" s="347" t="s">
        <v>1403</v>
      </c>
      <c r="F8" s="348">
        <f ca="1">INDIRECT("'数据-取费表'!ai"&amp;$G$1)</f>
        <v>365</v>
      </c>
      <c r="G8" s="1854"/>
      <c r="H8" s="349"/>
      <c r="I8" s="3147"/>
      <c r="J8" s="351"/>
      <c r="K8" s="352"/>
      <c r="L8" s="347" t="s">
        <v>1403</v>
      </c>
      <c r="M8" s="348">
        <f ca="1">INDIRECT("'数据-取费表'!ai"&amp;$G$1)</f>
        <v>365</v>
      </c>
    </row>
    <row r="9" spans="1:37" ht="18" customHeight="1">
      <c r="A9" s="349"/>
      <c r="B9" s="3148"/>
      <c r="C9" s="351"/>
      <c r="D9" s="352"/>
      <c r="E9" s="347" t="s">
        <v>1404</v>
      </c>
      <c r="F9" s="357">
        <f ca="1">INDIRECT("'数据-取费表'!w"&amp;$G$1)</f>
        <v>0.1</v>
      </c>
      <c r="G9" s="1854"/>
      <c r="H9" s="349"/>
      <c r="I9" s="3148"/>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3040</v>
      </c>
      <c r="E10" s="358" t="s">
        <v>1406</v>
      </c>
      <c r="F10" s="1369" t="s">
        <v>3446</v>
      </c>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43527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27557</v>
      </c>
      <c r="D14" s="1803" t="s">
        <v>1414</v>
      </c>
      <c r="E14" s="1797"/>
      <c r="F14" s="364"/>
      <c r="G14" s="1854"/>
      <c r="H14" s="1204" t="s">
        <v>1032</v>
      </c>
      <c r="I14" s="347" t="s">
        <v>1415</v>
      </c>
      <c r="J14" s="24">
        <f ca="1">C29</f>
        <v>43527</v>
      </c>
      <c r="K14" s="15"/>
      <c r="L14" s="982"/>
      <c r="M14" s="983"/>
    </row>
    <row r="15" spans="1:37" s="1861" customFormat="1" ht="18" customHeight="1" thickBot="1">
      <c r="A15" s="1204" t="s">
        <v>1033</v>
      </c>
      <c r="B15" s="347" t="s">
        <v>1416</v>
      </c>
      <c r="C15" s="24">
        <f ca="1">ROUND(C14*F15,0)</f>
        <v>1378</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1055</v>
      </c>
      <c r="K16" s="1340" t="s">
        <v>1421</v>
      </c>
      <c r="L16" s="1341"/>
      <c r="M16" s="1297"/>
    </row>
    <row r="17" spans="1:37" s="1861" customFormat="1" ht="18" customHeight="1">
      <c r="A17" s="1204" t="s">
        <v>1386</v>
      </c>
      <c r="B17" s="347" t="s">
        <v>1422</v>
      </c>
      <c r="C17" s="24">
        <f ca="1">ROUND(F17*(F43+INDIRECT("'数据-取费表'!S"&amp;$G$1))/10000,0)</f>
        <v>1557</v>
      </c>
      <c r="D17" s="347" t="s">
        <v>1423</v>
      </c>
      <c r="E17" s="347" t="s">
        <v>1424</v>
      </c>
      <c r="F17" s="26">
        <f>'数据-取费表'!B35</f>
        <v>200</v>
      </c>
      <c r="G17" s="1857"/>
      <c r="H17" s="1204" t="s">
        <v>1032</v>
      </c>
      <c r="I17" s="347" t="s">
        <v>1425</v>
      </c>
      <c r="J17" s="24">
        <f ca="1">ROUND(IF(项目基本情况!B11="自然人",J5*M17,J18+J19+J20),1)</f>
        <v>402.2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413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30905</v>
      </c>
      <c r="D19" s="140" t="s">
        <v>1432</v>
      </c>
      <c r="E19" s="1821"/>
      <c r="F19" s="26"/>
      <c r="G19" s="1854"/>
      <c r="H19" s="1204" t="s">
        <v>1033</v>
      </c>
      <c r="I19" s="347" t="s">
        <v>1433</v>
      </c>
      <c r="J19" s="24">
        <f ca="1">IF(K19="按租金收入计税",ROUND(J5*M19,2),ROUND(C29*M19*0.7,2))</f>
        <v>365.63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618</v>
      </c>
      <c r="D20" s="369" t="s">
        <v>1436</v>
      </c>
      <c r="E20" s="347" t="s">
        <v>1418</v>
      </c>
      <c r="F20" s="367">
        <f>'数据-取费表'!B37</f>
        <v>0.02</v>
      </c>
      <c r="G20" s="1857"/>
      <c r="H20" s="1204" t="s">
        <v>1385</v>
      </c>
      <c r="I20" s="164" t="s">
        <v>1437</v>
      </c>
      <c r="J20" s="25">
        <f ca="1">ROUND(M20*M21/10000,2)</f>
        <v>36.520000000000003</v>
      </c>
      <c r="K20" s="370" t="s">
        <v>1438</v>
      </c>
      <c r="L20" s="347" t="s">
        <v>1439</v>
      </c>
      <c r="M20" s="371">
        <f>'数据-取费表'!B52</f>
        <v>9</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40577.620000000003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652.9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2273</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-1055</v>
      </c>
      <c r="K25" s="1348" t="s">
        <v>1460</v>
      </c>
      <c r="L25" s="1349"/>
      <c r="M25" s="1350"/>
    </row>
    <row r="26" spans="1:37">
      <c r="A26" s="1204" t="s">
        <v>1031</v>
      </c>
      <c r="B26" s="347" t="s">
        <v>1461</v>
      </c>
      <c r="C26" s="24">
        <f ca="1">ROUND((C19+C20)*F26,0)</f>
        <v>6305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43527</v>
      </c>
      <c r="D29" s="1345"/>
      <c r="E29" s="1343"/>
      <c r="F29" s="1346"/>
      <c r="G29" s="1857"/>
      <c r="H29" s="380" t="s">
        <v>1030</v>
      </c>
      <c r="I29" s="381" t="s">
        <v>1475</v>
      </c>
      <c r="J29" s="382">
        <f ca="1">ROUND(J26/(1+F40)^F41,0)</f>
        <v>0</v>
      </c>
      <c r="K29" s="383" t="s">
        <v>1476</v>
      </c>
      <c r="L29" s="384"/>
      <c r="M29" s="385">
        <f ca="1">INDIRECT("'数据-取费表'!k"&amp;$G$1)</f>
        <v>65209.619999999995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1443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687.2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200.21</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450.48</v>
      </c>
      <c r="D33" s="1831" t="s">
        <v>3447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36.520000000000003</v>
      </c>
      <c r="D34" s="370" t="s">
        <v>1438</v>
      </c>
      <c r="E34" s="347" t="s">
        <v>1439</v>
      </c>
      <c r="F34" s="371">
        <f>'数据-取费表'!B52</f>
        <v>9</v>
      </c>
      <c r="G34" s="1854"/>
      <c r="H34" s="745"/>
      <c r="I34" s="1863"/>
      <c r="J34" s="1864"/>
      <c r="K34" s="1866"/>
      <c r="L34" s="1867"/>
      <c r="M34" s="1867"/>
    </row>
    <row r="35" spans="1:18" ht="18" customHeight="1">
      <c r="A35" s="1356"/>
      <c r="B35" s="1354"/>
      <c r="C35" s="29"/>
      <c r="D35" s="373"/>
      <c r="E35" s="347" t="s">
        <v>1443</v>
      </c>
      <c r="F35" s="348">
        <f ca="1">INDIRECT("'数据-取费表'!r"&amp;$G$1)</f>
        <v>40577.620000000003</v>
      </c>
      <c r="G35" s="1854"/>
      <c r="H35" s="745"/>
      <c r="I35" s="1863"/>
      <c r="J35" s="1864"/>
      <c r="K35" s="1865"/>
      <c r="L35" s="1862"/>
      <c r="M35" s="1862"/>
    </row>
    <row r="36" spans="1:18" ht="18" customHeight="1">
      <c r="A36" s="1355" t="s">
        <v>1036</v>
      </c>
      <c r="B36" s="347" t="s">
        <v>1445</v>
      </c>
      <c r="C36" s="24">
        <f ca="1">ROUND(C29*F36,1)</f>
        <v>652.9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65.3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37.5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2311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52274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34.590000000000003</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8016</v>
      </c>
      <c r="D43" s="383" t="s">
        <v>1484</v>
      </c>
      <c r="E43" s="384" t="s">
        <v>1485</v>
      </c>
      <c r="F43" s="385">
        <f ca="1">INDIRECT("'数据-取费表'!k"&amp;$G$1)</f>
        <v>65209.619999999995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-124177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3448</v>
      </c>
      <c r="K47" s="1885" t="s">
        <v>1523</v>
      </c>
      <c r="L47" s="1886">
        <f ca="1">INDIRECT("'数据-取费表'!d"&amp;$G$1)</f>
        <v>40</v>
      </c>
      <c r="M47" s="1841" t="str">
        <f>IF(ISNUMBER(FIND("住宅",C1)),"住宅","非住宅")</f>
        <v>非住宅</v>
      </c>
      <c r="O47" s="1887" t="s">
        <v>1037</v>
      </c>
      <c r="P47" s="1888" t="s">
        <v>1524</v>
      </c>
      <c r="Q47" s="1889">
        <f ca="1">C40+J29</f>
        <v>52274</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t="s">
        <v>3449</v>
      </c>
      <c r="K48" s="1892" t="s">
        <v>1527</v>
      </c>
      <c r="L48" s="1893">
        <f ca="1">INDIRECT("'数据-取费表'!f"&amp;$G$1)</f>
        <v>35.090000000000003</v>
      </c>
      <c r="O48" s="1887" t="s">
        <v>1038</v>
      </c>
      <c r="P48" s="1888" t="s">
        <v>1528</v>
      </c>
      <c r="Q48" s="1889" t="str">
        <f ca="1">J60</f>
        <v>0</v>
      </c>
      <c r="R48" s="1889" t="s">
        <v>1529</v>
      </c>
    </row>
    <row r="49" spans="1:18" s="1845" customFormat="1" ht="13.8" thickBot="1">
      <c r="A49" s="1197" t="s">
        <v>1133</v>
      </c>
      <c r="B49" s="1832" t="s">
        <v>1486</v>
      </c>
      <c r="C49" s="1367">
        <f ca="1">ROUND(F49*F51*F50*(1-F52)/10000,0)</f>
        <v>0</v>
      </c>
      <c r="D49" s="1279" t="s">
        <v>3032</v>
      </c>
      <c r="E49" s="1833" t="s">
        <v>1487</v>
      </c>
      <c r="F49" s="1284"/>
      <c r="G49" s="1894"/>
      <c r="H49" s="793"/>
      <c r="I49" s="1890" t="s">
        <v>1530</v>
      </c>
      <c r="J49" s="1895">
        <v>2019</v>
      </c>
      <c r="K49" s="1892" t="s">
        <v>1531</v>
      </c>
      <c r="L49" s="1896"/>
      <c r="O49" s="1897" t="s">
        <v>1039</v>
      </c>
      <c r="P49" s="1888" t="s">
        <v>1532</v>
      </c>
      <c r="Q49" s="1889">
        <f ca="1">C29</f>
        <v>43527</v>
      </c>
      <c r="R49" s="1889" t="s">
        <v>1525</v>
      </c>
    </row>
    <row r="50" spans="1:18" s="1845" customFormat="1" ht="13.8" thickBot="1">
      <c r="A50" s="1198"/>
      <c r="B50" s="1201"/>
      <c r="C50" s="1371"/>
      <c r="D50" s="1175"/>
      <c r="E50" s="1280" t="s">
        <v>1402</v>
      </c>
      <c r="F50" s="1281">
        <f ca="1">F7</f>
        <v>65209.619999999995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-24276</v>
      </c>
      <c r="M51" s="1905"/>
      <c r="O51" s="1897" t="s">
        <v>1041</v>
      </c>
      <c r="P51" s="1888" t="s">
        <v>1538</v>
      </c>
      <c r="Q51" s="1900">
        <f>J52</f>
        <v>0.09</v>
      </c>
      <c r="R51" s="1889"/>
    </row>
    <row r="52" spans="1:18" s="1845" customFormat="1" ht="13.8" thickBot="1">
      <c r="A52" s="1199"/>
      <c r="B52" s="1201"/>
      <c r="C52" s="1202"/>
      <c r="D52" s="1175"/>
      <c r="E52" s="1203" t="s">
        <v>1404</v>
      </c>
      <c r="F52" s="1278"/>
      <c r="I52" s="1906" t="s">
        <v>1539</v>
      </c>
      <c r="J52" s="1907">
        <v>0.09</v>
      </c>
      <c r="K52" s="1906" t="s">
        <v>1540</v>
      </c>
      <c r="L52" s="1907"/>
      <c r="O52" s="1897" t="s">
        <v>1042</v>
      </c>
      <c r="P52" s="1888" t="s">
        <v>1541</v>
      </c>
      <c r="Q52" s="1889">
        <f ca="1">J53</f>
        <v>34.590000000000003</v>
      </c>
      <c r="R52" s="1889" t="s">
        <v>1542</v>
      </c>
    </row>
    <row r="53" spans="1:18" s="1845" customFormat="1" ht="36.6"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34.590000000000003</v>
      </c>
      <c r="K53" s="3144" t="s">
        <v>1544</v>
      </c>
      <c r="L53" s="3145"/>
      <c r="O53" s="1887" t="s">
        <v>1043</v>
      </c>
      <c r="P53" s="1888" t="s">
        <v>1545</v>
      </c>
      <c r="Q53" s="1889">
        <f ca="1">Q47+Q48</f>
        <v>52274</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43527</v>
      </c>
      <c r="D56" s="1917"/>
      <c r="E56" s="1918"/>
      <c r="F56" s="1910"/>
      <c r="I56" s="1919" t="s">
        <v>1550</v>
      </c>
      <c r="J56" s="1920" t="s">
        <v>3437</v>
      </c>
      <c r="K56" s="1890" t="s">
        <v>1551</v>
      </c>
      <c r="L56" s="1893" t="str">
        <f ca="1">IF(L48&lt;J51,"——",L48-J53)</f>
        <v>——</v>
      </c>
      <c r="O56" s="1887" t="s">
        <v>1037</v>
      </c>
      <c r="P56" s="1888" t="s">
        <v>1524</v>
      </c>
      <c r="Q56" s="1889">
        <f ca="1">C40+J29</f>
        <v>52274</v>
      </c>
      <c r="R56" s="1889" t="s">
        <v>1525</v>
      </c>
    </row>
    <row r="57" spans="1:18" s="1845" customFormat="1" ht="24.6" thickBot="1">
      <c r="A57" s="1921"/>
      <c r="B57" s="1172" t="s">
        <v>1474</v>
      </c>
      <c r="C57" s="282">
        <f ca="1">C29</f>
        <v>43527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6" thickBot="1">
      <c r="A58" s="360" t="s">
        <v>1027</v>
      </c>
      <c r="B58" s="1180" t="s">
        <v>1420</v>
      </c>
      <c r="C58" s="361">
        <f ca="1">ROUND(C59+C64+C65+C66,0)</f>
        <v>4411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3692.8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3656.27</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36.520000000000003</v>
      </c>
      <c r="D62" s="1187" t="s">
        <v>1493</v>
      </c>
      <c r="E62" s="1172" t="s">
        <v>1494</v>
      </c>
      <c r="F62" s="371">
        <f t="shared" si="0"/>
        <v>9</v>
      </c>
      <c r="I62" s="1932" t="s">
        <v>1566</v>
      </c>
      <c r="J62" s="1933" t="s">
        <v>1567</v>
      </c>
      <c r="K62" s="1933" t="s">
        <v>1568</v>
      </c>
      <c r="L62" s="1933" t="s">
        <v>1569</v>
      </c>
      <c r="M62" s="1934" t="s">
        <v>1570</v>
      </c>
      <c r="O62" s="1887" t="s">
        <v>1043</v>
      </c>
      <c r="P62" s="1888" t="s">
        <v>1571</v>
      </c>
      <c r="Q62" s="1889">
        <f ca="1">Q56+Q57</f>
        <v>52274</v>
      </c>
      <c r="R62" s="1889" t="s">
        <v>1044</v>
      </c>
    </row>
    <row r="63" spans="1:18" s="1845" customFormat="1" ht="13.8" thickBot="1">
      <c r="A63" s="372"/>
      <c r="B63" s="1178"/>
      <c r="C63" s="29"/>
      <c r="D63" s="1188"/>
      <c r="E63" s="1172" t="s">
        <v>1495</v>
      </c>
      <c r="F63" s="348">
        <f t="shared" ca="1" si="0"/>
        <v>40577.620000000003</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652.9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65.3</v>
      </c>
      <c r="D65" s="1186" t="s">
        <v>1450</v>
      </c>
      <c r="E65" s="1172" t="s">
        <v>1451</v>
      </c>
      <c r="F65" s="376">
        <f t="shared" ca="1" si="0"/>
        <v>1.5E-3</v>
      </c>
      <c r="I65" s="1932" t="s">
        <v>1575</v>
      </c>
      <c r="J65" s="1933">
        <v>40</v>
      </c>
      <c r="K65" s="1933">
        <v>30</v>
      </c>
      <c r="L65" s="1933">
        <v>50</v>
      </c>
      <c r="M65" s="1935">
        <v>0.02</v>
      </c>
      <c r="O65" s="1887" t="s">
        <v>1037</v>
      </c>
      <c r="P65" s="1888" t="s">
        <v>1576</v>
      </c>
      <c r="Q65" s="1889">
        <f ca="1">C40+J29</f>
        <v>52274</v>
      </c>
      <c r="R65" s="1889" t="s">
        <v>1525</v>
      </c>
    </row>
    <row r="66" spans="1:18" s="1845" customFormat="1" ht="16.2"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24.6" thickBot="1">
      <c r="A67" s="1179" t="s">
        <v>1028</v>
      </c>
      <c r="B67" s="1189" t="s">
        <v>1459</v>
      </c>
      <c r="C67" s="361">
        <f ca="1">C48-C58</f>
        <v>-4411</v>
      </c>
      <c r="D67" s="1185" t="s">
        <v>1460</v>
      </c>
      <c r="E67" s="1190"/>
      <c r="F67" s="1191"/>
      <c r="O67" s="1897" t="s">
        <v>1039</v>
      </c>
      <c r="P67" s="1888" t="s">
        <v>1558</v>
      </c>
      <c r="Q67" s="1936">
        <f ca="1">L51</f>
        <v>-24276</v>
      </c>
      <c r="R67" s="1889" t="s">
        <v>1578</v>
      </c>
    </row>
    <row r="68" spans="1:18" s="1845" customFormat="1" ht="16.2" thickBot="1">
      <c r="A68" s="1169" t="s">
        <v>1029</v>
      </c>
      <c r="B68" s="1170" t="s">
        <v>1481</v>
      </c>
      <c r="C68" s="346">
        <f ca="1">ROUND(C67*(1-((1+F70)/(1+F68))^F69)/(F68-F70),0)</f>
        <v>-71903</v>
      </c>
      <c r="D68" s="1187" t="s">
        <v>1465</v>
      </c>
      <c r="E68" s="1172" t="s">
        <v>1466</v>
      </c>
      <c r="F68" s="357">
        <f ca="1">F40</f>
        <v>0.05</v>
      </c>
      <c r="O68" s="1897" t="s">
        <v>1040</v>
      </c>
      <c r="P68" s="1937" t="s">
        <v>1579</v>
      </c>
      <c r="Q68" s="1889">
        <f ca="1">ROUND(Q69-Q70*Q71,0)</f>
        <v>-1389</v>
      </c>
      <c r="R68" s="1889" t="s">
        <v>1048</v>
      </c>
    </row>
    <row r="69" spans="1:18" s="1845" customFormat="1" ht="13.8" thickBot="1">
      <c r="A69" s="1173"/>
      <c r="B69" s="1174"/>
      <c r="C69" s="351"/>
      <c r="D69" s="1192" t="s">
        <v>1469</v>
      </c>
      <c r="E69" s="1172" t="s">
        <v>1470</v>
      </c>
      <c r="F69" s="379">
        <f ca="1">F41</f>
        <v>34.590000000000003</v>
      </c>
      <c r="O69" s="1897" t="s">
        <v>1045</v>
      </c>
      <c r="P69" s="1937" t="s">
        <v>1580</v>
      </c>
      <c r="Q69" s="1889">
        <f ca="1">C39</f>
        <v>2311</v>
      </c>
      <c r="R69" s="1889" t="s">
        <v>1525</v>
      </c>
    </row>
    <row r="70" spans="1:18" s="1845" customFormat="1" ht="13.8" thickBot="1">
      <c r="A70" s="1176"/>
      <c r="B70" s="1177"/>
      <c r="C70" s="355"/>
      <c r="D70" s="1188"/>
      <c r="E70" s="1172" t="s">
        <v>1473</v>
      </c>
      <c r="F70" s="1278"/>
      <c r="O70" s="1897" t="s">
        <v>1046</v>
      </c>
      <c r="P70" s="1937" t="s">
        <v>1581</v>
      </c>
      <c r="Q70" s="1889">
        <f ca="1">C13</f>
        <v>43527</v>
      </c>
      <c r="R70" s="1889" t="s">
        <v>1525</v>
      </c>
    </row>
    <row r="71" spans="1:18" s="1845" customFormat="1" ht="13.8" thickBot="1">
      <c r="A71" s="1193" t="s">
        <v>1030</v>
      </c>
      <c r="B71" s="1194" t="s">
        <v>1483</v>
      </c>
      <c r="C71" s="382">
        <f ca="1">ROUND(C68*10000/F71,0)</f>
        <v>-11026</v>
      </c>
      <c r="D71" s="1195" t="s">
        <v>1484</v>
      </c>
      <c r="E71" s="1196" t="s">
        <v>1485</v>
      </c>
      <c r="F71" s="385">
        <f ca="1">F43</f>
        <v>65209.619999999995</v>
      </c>
      <c r="O71" s="1897" t="s">
        <v>1047</v>
      </c>
      <c r="P71" s="1937" t="s">
        <v>1582</v>
      </c>
      <c r="Q71" s="1900">
        <f ca="1">C76</f>
        <v>8.5000000000000006E-2</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续建工期及建筑物耐用年限下的土地年期修正系数Kn</v>
      </c>
      <c r="Q74" s="1889" t="e">
        <f ca="1">L59</f>
        <v>#DIV/0!</v>
      </c>
      <c r="R74" s="1889" t="s">
        <v>1565</v>
      </c>
    </row>
    <row r="75" spans="1:18" ht="13.8" thickBot="1">
      <c r="A75" s="1845"/>
      <c r="B75" s="386" t="s">
        <v>1502</v>
      </c>
      <c r="C75" s="387">
        <f ca="1">ROUND(C13*C76,0)</f>
        <v>3700</v>
      </c>
      <c r="D75" s="1845"/>
      <c r="E75" s="1845"/>
      <c r="F75" s="1845"/>
      <c r="K75" s="1871"/>
      <c r="L75" s="1845"/>
      <c r="O75" s="1887" t="s">
        <v>1043</v>
      </c>
      <c r="P75" s="1888" t="s">
        <v>1545</v>
      </c>
      <c r="Q75" s="1889">
        <f ca="1">Q65+Q66</f>
        <v>52274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-0.60099999999999998</v>
      </c>
    </row>
    <row r="80" spans="1:18">
      <c r="B80" s="386" t="s">
        <v>1507</v>
      </c>
      <c r="C80" s="318">
        <f ca="1">ROUND(C75/C39,3)</f>
        <v>1.601</v>
      </c>
    </row>
    <row r="81" spans="2:3">
      <c r="B81" s="314" t="s">
        <v>1508</v>
      </c>
      <c r="C81" s="282"/>
    </row>
    <row r="82" spans="2:3">
      <c r="B82" s="317" t="s">
        <v>1509</v>
      </c>
      <c r="C82" s="319">
        <f ca="1">1-C83</f>
        <v>0.16700000000000004</v>
      </c>
    </row>
    <row r="83" spans="2:3">
      <c r="B83" s="317" t="s">
        <v>1510</v>
      </c>
      <c r="C83" s="318">
        <f ca="1">ROUND(C13/C40,3)</f>
        <v>0.83299999999999996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8" sqref="I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6" t="s">
        <v>1399</v>
      </c>
      <c r="C6" s="1299">
        <f ca="1">ROUND(F6*F8*F7*(1-F9),0)</f>
        <v>0</v>
      </c>
      <c r="D6" s="164" t="s">
        <v>3028</v>
      </c>
      <c r="E6" s="347" t="s">
        <v>1401</v>
      </c>
      <c r="F6" s="348">
        <f ca="1">INDIRECT("'数据-取费表'!u"&amp;$G$1)</f>
        <v>0</v>
      </c>
      <c r="G6" s="1854"/>
      <c r="H6" s="1294" t="s">
        <v>1032</v>
      </c>
      <c r="I6" s="3146" t="s">
        <v>1399</v>
      </c>
      <c r="J6" s="346">
        <f ca="1">ROUND(M6*M8*M7*(1-M9),0)</f>
        <v>0</v>
      </c>
      <c r="K6" s="1837" t="s">
        <v>3029</v>
      </c>
      <c r="L6" s="347" t="s">
        <v>1401</v>
      </c>
      <c r="M6" s="348">
        <f ca="1">INDIRECT("'数据-取费表'!z"&amp;$G$1)</f>
        <v>0</v>
      </c>
    </row>
    <row r="7" spans="1:37" ht="18" customHeight="1">
      <c r="A7" s="1298"/>
      <c r="B7" s="3147"/>
      <c r="C7" s="1300"/>
      <c r="D7" s="352"/>
      <c r="E7" s="1301" t="s">
        <v>1402</v>
      </c>
      <c r="F7" s="348">
        <f ca="1">IF(INDIRECT("'数据-取费表'!ah"&amp;$G$1)="",INDIRECT("'数据-取费表'!k"&amp;$G$1),INDIRECT("'数据-取费表'!ah"&amp;$G$1))</f>
        <v>0</v>
      </c>
      <c r="G7" s="1854"/>
      <c r="H7" s="349"/>
      <c r="I7" s="3147"/>
      <c r="J7" s="351"/>
      <c r="K7" s="352"/>
      <c r="L7" s="347" t="s">
        <v>1402</v>
      </c>
      <c r="M7" s="348">
        <f ca="1">F7</f>
        <v>0</v>
      </c>
    </row>
    <row r="8" spans="1:37" ht="18" customHeight="1">
      <c r="A8" s="349"/>
      <c r="B8" s="3147"/>
      <c r="C8" s="351"/>
      <c r="D8" s="352"/>
      <c r="E8" s="347" t="s">
        <v>1403</v>
      </c>
      <c r="F8" s="348">
        <f ca="1">INDIRECT("'数据-取费表'!ai"&amp;$G$1)</f>
        <v>0</v>
      </c>
      <c r="G8" s="1854"/>
      <c r="H8" s="349"/>
      <c r="I8" s="3147"/>
      <c r="J8" s="351"/>
      <c r="K8" s="352"/>
      <c r="L8" s="347" t="s">
        <v>1403</v>
      </c>
      <c r="M8" s="348">
        <f ca="1">INDIRECT("'数据-取费表'!ai"&amp;$G$1)</f>
        <v>0</v>
      </c>
    </row>
    <row r="9" spans="1:37" ht="18" customHeight="1">
      <c r="A9" s="349"/>
      <c r="B9" s="3148"/>
      <c r="C9" s="351"/>
      <c r="D9" s="352"/>
      <c r="E9" s="347" t="s">
        <v>1404</v>
      </c>
      <c r="F9" s="357">
        <f ca="1">INDIRECT("'数据-取费表'!w"&amp;$G$1)</f>
        <v>0</v>
      </c>
      <c r="G9" s="1854"/>
      <c r="H9" s="349"/>
      <c r="I9" s="314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9</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9</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8"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4" t="s">
        <v>1544</v>
      </c>
      <c r="L53" s="3145"/>
      <c r="O53" s="1887" t="s">
        <v>1043</v>
      </c>
      <c r="P53" s="1888" t="s">
        <v>1545</v>
      </c>
      <c r="Q53" s="1889" t="e">
        <f ca="1">Q47+Q48</f>
        <v>#DIV/0!</v>
      </c>
      <c r="R53" s="1889" t="s">
        <v>1044</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6"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9</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24.6"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8" thickBot="1">
      <c r="A69" s="1173"/>
      <c r="B69" s="1174"/>
      <c r="C69" s="351"/>
      <c r="D69" s="1192" t="s">
        <v>1469</v>
      </c>
      <c r="E69" s="1172" t="s">
        <v>1470</v>
      </c>
      <c r="F69" s="379">
        <f ca="1">F41</f>
        <v>0</v>
      </c>
      <c r="O69" s="1897" t="s">
        <v>1045</v>
      </c>
      <c r="P69" s="1937" t="s">
        <v>1580</v>
      </c>
      <c r="Q69" s="1889">
        <f ca="1">C39</f>
        <v>0</v>
      </c>
      <c r="R69" s="1889" t="s">
        <v>1525</v>
      </c>
    </row>
    <row r="70" spans="1:18" s="1845" customFormat="1" ht="13.8" thickBot="1">
      <c r="A70" s="1176"/>
      <c r="B70" s="1177"/>
      <c r="C70" s="355"/>
      <c r="D70" s="1188"/>
      <c r="E70" s="1172" t="s">
        <v>1473</v>
      </c>
      <c r="F70" s="1278">
        <f ca="1">F42</f>
        <v>0</v>
      </c>
      <c r="O70" s="1897" t="s">
        <v>1046</v>
      </c>
      <c r="P70" s="1937" t="s">
        <v>1581</v>
      </c>
      <c r="Q70" s="1889">
        <f ca="1">C13</f>
        <v>0</v>
      </c>
      <c r="R70" s="1889" t="s">
        <v>1525</v>
      </c>
    </row>
    <row r="71" spans="1:18" s="1845" customFormat="1" ht="13.8"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8" sqref="I38"/>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6" t="s">
        <v>2524</v>
      </c>
      <c r="B1" s="2567"/>
      <c r="C1" s="2567"/>
      <c r="D1" s="2567"/>
      <c r="E1" s="2568"/>
    </row>
    <row r="2" spans="1:6" ht="15.6">
      <c r="A2" s="2569" t="s">
        <v>2328</v>
      </c>
      <c r="B2" s="2570">
        <f ca="1">SUMIF(B6:B13,"&lt;&gt;#ref!",B6:B13)</f>
        <v>52274</v>
      </c>
      <c r="C2" s="2571" t="s">
        <v>2517</v>
      </c>
      <c r="D2" s="2572" t="s">
        <v>2518</v>
      </c>
      <c r="E2" s="2573">
        <f>SUM(E6:E13)</f>
        <v>77831.06</v>
      </c>
    </row>
    <row r="3" spans="1:6" ht="15.6">
      <c r="A3" s="2569" t="s">
        <v>1391</v>
      </c>
      <c r="B3" s="2570">
        <f ca="1">ROUND(B2*10000/E2,0)</f>
        <v>6716</v>
      </c>
      <c r="C3" s="2571" t="s">
        <v>2525</v>
      </c>
      <c r="D3" s="2574"/>
      <c r="E3" s="2575"/>
    </row>
    <row r="4" spans="1:6" ht="15.6">
      <c r="A4" s="2576"/>
      <c r="B4" s="2574"/>
      <c r="C4" s="2574"/>
      <c r="D4" s="2574"/>
      <c r="E4" s="2575"/>
    </row>
    <row r="5" spans="1:6" ht="14.4">
      <c r="A5" s="2577" t="s">
        <v>2519</v>
      </c>
      <c r="B5" s="3149" t="s">
        <v>2520</v>
      </c>
      <c r="C5" s="3149"/>
      <c r="D5" s="2578"/>
      <c r="E5" s="2579" t="s">
        <v>2521</v>
      </c>
      <c r="F5" s="2580" t="s">
        <v>2522</v>
      </c>
    </row>
    <row r="6" spans="1:6" ht="14.4">
      <c r="A6" s="2581" t="str">
        <f>'数据-取费表'!AN6</f>
        <v>收益法</v>
      </c>
      <c r="B6" s="2580">
        <f ca="1">IF(F6="是",'数据-取费表'!AO6,0)</f>
        <v>52274</v>
      </c>
      <c r="C6" s="2571" t="s">
        <v>2517</v>
      </c>
      <c r="D6" s="2574"/>
      <c r="E6" s="2582">
        <f>IF(OR(A6=0,F6="否"),0,'数据-取费表'!K6+'数据-取费表'!S6)</f>
        <v>77831.06</v>
      </c>
      <c r="F6" s="2583" t="s">
        <v>2523</v>
      </c>
    </row>
    <row r="7" spans="1:6" ht="14.4">
      <c r="A7" s="2581">
        <f>'数据-取费表'!AN7</f>
        <v>0</v>
      </c>
      <c r="B7" s="2580" t="e">
        <f ca="1">IF(F7="是",'数据-取费表'!AO7,0)</f>
        <v>#REF!</v>
      </c>
      <c r="C7" s="2571" t="s">
        <v>2517</v>
      </c>
      <c r="D7" s="2574"/>
      <c r="E7" s="2582">
        <f>IF(OR(A7=0,F7="否"),0,'数据-取费表'!K7+'数据-取费表'!S7)</f>
        <v>0</v>
      </c>
      <c r="F7" s="2583" t="s">
        <v>2523</v>
      </c>
    </row>
    <row r="8" spans="1:6" ht="14.4">
      <c r="A8" s="2581">
        <f>'数据-取费表'!AN8</f>
        <v>0</v>
      </c>
      <c r="B8" s="2580" t="e">
        <f ca="1">IF(F8="是",'数据-取费表'!AO8,0)</f>
        <v>#REF!</v>
      </c>
      <c r="C8" s="2571" t="s">
        <v>2517</v>
      </c>
      <c r="D8" s="2574"/>
      <c r="E8" s="2582">
        <f>IF(OR(A8=0,F8="否"),0,'数据-取费表'!K8+'数据-取费表'!S8)</f>
        <v>0</v>
      </c>
      <c r="F8" s="2583" t="s">
        <v>2523</v>
      </c>
    </row>
    <row r="9" spans="1:6" ht="14.4">
      <c r="A9" s="2581">
        <f>'数据-取费表'!AN9</f>
        <v>0</v>
      </c>
      <c r="B9" s="2580" t="e">
        <f ca="1">IF(F9="是",'数据-取费表'!AO9,0)</f>
        <v>#REF!</v>
      </c>
      <c r="C9" s="2571" t="s">
        <v>2517</v>
      </c>
      <c r="D9" s="2574"/>
      <c r="E9" s="2582">
        <f>IF(OR(A9=0,F9="否"),0,'数据-取费表'!K9+'数据-取费表'!S9)</f>
        <v>0</v>
      </c>
      <c r="F9" s="2583" t="s">
        <v>2523</v>
      </c>
    </row>
    <row r="10" spans="1:6" ht="14.4">
      <c r="A10" s="2581">
        <f>'数据-取费表'!AN10</f>
        <v>0</v>
      </c>
      <c r="B10" s="2580" t="e">
        <f ca="1">IF(F10="是",'数据-取费表'!AO10,0)</f>
        <v>#REF!</v>
      </c>
      <c r="C10" s="2571" t="s">
        <v>2517</v>
      </c>
      <c r="D10" s="2574"/>
      <c r="E10" s="2582">
        <f>IF(OR(A10=0,F10="否"),0,'数据-取费表'!K10+'数据-取费表'!S10)</f>
        <v>0</v>
      </c>
      <c r="F10" s="2583" t="s">
        <v>2523</v>
      </c>
    </row>
    <row r="11" spans="1:6" ht="14.4">
      <c r="A11" s="2581">
        <f>'数据-取费表'!AN11</f>
        <v>0</v>
      </c>
      <c r="B11" s="2580" t="e">
        <f ca="1">IF(F11="是",'数据-取费表'!AO11,0)</f>
        <v>#REF!</v>
      </c>
      <c r="C11" s="2571" t="s">
        <v>2517</v>
      </c>
      <c r="D11" s="2574"/>
      <c r="E11" s="2582">
        <f>IF(OR(A11=0,F11="否"),0,'数据-取费表'!K11+'数据-取费表'!S11)</f>
        <v>0</v>
      </c>
      <c r="F11" s="2583" t="s">
        <v>2523</v>
      </c>
    </row>
    <row r="12" spans="1:6" ht="14.4">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8" sqref="I38"/>
    </sheetView>
  </sheetViews>
  <sheetFormatPr defaultRowHeight="14.4"/>
  <cols>
    <col min="1" max="1" width="10.44140625" customWidth="1"/>
    <col min="2" max="2" width="12.88671875" customWidth="1"/>
    <col min="3" max="3" width="8.77734375" customWidth="1"/>
  </cols>
  <sheetData>
    <row r="1" spans="1:9" ht="15.6">
      <c r="A1" s="3150" t="s">
        <v>1073</v>
      </c>
      <c r="B1" s="3151"/>
      <c r="C1" s="3152"/>
      <c r="D1" s="3153">
        <f>SUM(I10,I15,I20,I21,I23)</f>
        <v>0</v>
      </c>
      <c r="E1" s="3153"/>
      <c r="F1" s="3153"/>
      <c r="G1" s="3153"/>
      <c r="H1" s="3153"/>
      <c r="I1" s="3154"/>
    </row>
    <row r="2" spans="1:9">
      <c r="A2" s="3155" t="s">
        <v>1074</v>
      </c>
      <c r="B2" s="3156" t="s">
        <v>1075</v>
      </c>
      <c r="C2" s="3156"/>
      <c r="D2" s="1304" t="s">
        <v>1076</v>
      </c>
      <c r="E2" s="1304" t="s">
        <v>1077</v>
      </c>
      <c r="F2" s="1304" t="s">
        <v>1078</v>
      </c>
      <c r="G2" s="1304" t="s">
        <v>1079</v>
      </c>
      <c r="H2" s="1304" t="s">
        <v>1080</v>
      </c>
      <c r="I2" s="1305" t="s">
        <v>1081</v>
      </c>
    </row>
    <row r="3" spans="1:9">
      <c r="A3" s="3155"/>
      <c r="B3" s="3156" t="s">
        <v>1082</v>
      </c>
      <c r="C3" s="3156"/>
      <c r="D3" s="1306"/>
      <c r="E3" s="1304"/>
      <c r="F3" s="1307"/>
      <c r="G3" s="1307"/>
      <c r="H3" s="1308"/>
      <c r="I3" s="1309">
        <f>ROUND(D3*E3*F3*G3*H3/10000,0)</f>
        <v>0</v>
      </c>
    </row>
    <row r="4" spans="1:9">
      <c r="A4" s="3155"/>
      <c r="B4" s="3156" t="s">
        <v>1083</v>
      </c>
      <c r="C4" s="3156"/>
      <c r="D4" s="1306"/>
      <c r="E4" s="1304"/>
      <c r="F4" s="1307"/>
      <c r="G4" s="1307"/>
      <c r="H4" s="1308"/>
      <c r="I4" s="1309">
        <f t="shared" ref="I4:I9" si="0">ROUND(D4*E4*F4*G4*H4/10000,0)</f>
        <v>0</v>
      </c>
    </row>
    <row r="5" spans="1:9">
      <c r="A5" s="3155"/>
      <c r="B5" s="3156" t="s">
        <v>1084</v>
      </c>
      <c r="C5" s="3156"/>
      <c r="D5" s="1306"/>
      <c r="E5" s="1304"/>
      <c r="F5" s="1307"/>
      <c r="G5" s="1307"/>
      <c r="H5" s="1308"/>
      <c r="I5" s="1309">
        <f t="shared" si="0"/>
        <v>0</v>
      </c>
    </row>
    <row r="6" spans="1:9">
      <c r="A6" s="3155"/>
      <c r="B6" s="3156" t="s">
        <v>1085</v>
      </c>
      <c r="C6" s="3156"/>
      <c r="D6" s="1306"/>
      <c r="E6" s="1304"/>
      <c r="F6" s="1307"/>
      <c r="G6" s="1307"/>
      <c r="H6" s="1308"/>
      <c r="I6" s="1309">
        <f t="shared" si="0"/>
        <v>0</v>
      </c>
    </row>
    <row r="7" spans="1:9">
      <c r="A7" s="3155"/>
      <c r="B7" s="3156" t="s">
        <v>1086</v>
      </c>
      <c r="C7" s="3156"/>
      <c r="D7" s="1306"/>
      <c r="E7" s="1304"/>
      <c r="F7" s="1307"/>
      <c r="G7" s="1307"/>
      <c r="H7" s="1308"/>
      <c r="I7" s="1309">
        <f t="shared" si="0"/>
        <v>0</v>
      </c>
    </row>
    <row r="8" spans="1:9">
      <c r="A8" s="3155"/>
      <c r="B8" s="3156" t="s">
        <v>1087</v>
      </c>
      <c r="C8" s="3156"/>
      <c r="D8" s="1306"/>
      <c r="E8" s="1304"/>
      <c r="F8" s="1307"/>
      <c r="G8" s="1307"/>
      <c r="H8" s="1308"/>
      <c r="I8" s="1309">
        <f t="shared" si="0"/>
        <v>0</v>
      </c>
    </row>
    <row r="9" spans="1:9">
      <c r="A9" s="3155"/>
      <c r="B9" s="3156" t="s">
        <v>1088</v>
      </c>
      <c r="C9" s="3156"/>
      <c r="D9" s="1306"/>
      <c r="E9" s="1304"/>
      <c r="F9" s="1307"/>
      <c r="G9" s="1307"/>
      <c r="H9" s="1308"/>
      <c r="I9" s="1309">
        <f t="shared" si="0"/>
        <v>0</v>
      </c>
    </row>
    <row r="10" spans="1:9">
      <c r="A10" s="3155"/>
      <c r="B10" s="3157" t="s">
        <v>1089</v>
      </c>
      <c r="C10" s="3157"/>
      <c r="D10" s="1310"/>
      <c r="E10" s="1310" t="e">
        <f>ROUND(D1*10000/D10/H9,0)</f>
        <v>#DIV/0!</v>
      </c>
      <c r="F10" s="1311"/>
      <c r="G10" s="1311"/>
      <c r="H10" s="1312"/>
      <c r="I10" s="1313">
        <f>SUM(I3:I9)</f>
        <v>0</v>
      </c>
    </row>
    <row r="11" spans="1:9" ht="15.6">
      <c r="A11" s="3155" t="s">
        <v>1090</v>
      </c>
      <c r="B11" s="3156" t="s">
        <v>1091</v>
      </c>
      <c r="C11" s="3156"/>
      <c r="D11" s="1306" t="s">
        <v>1092</v>
      </c>
      <c r="E11" s="1306" t="s">
        <v>1093</v>
      </c>
      <c r="F11" s="1307" t="s">
        <v>1094</v>
      </c>
      <c r="G11" s="1307" t="s">
        <v>1080</v>
      </c>
      <c r="H11" s="1314" t="s">
        <v>1095</v>
      </c>
      <c r="I11" s="1305" t="s">
        <v>1081</v>
      </c>
    </row>
    <row r="12" spans="1:9">
      <c r="A12" s="3155"/>
      <c r="B12" s="3156" t="s">
        <v>1096</v>
      </c>
      <c r="C12" s="3156"/>
      <c r="D12" s="1306"/>
      <c r="E12" s="1306"/>
      <c r="F12" s="1307"/>
      <c r="G12" s="1308"/>
      <c r="H12" s="1315"/>
      <c r="I12" s="1305">
        <f>ROUND(D12*E12*F12*G12/10000,0)</f>
        <v>0</v>
      </c>
    </row>
    <row r="13" spans="1:9">
      <c r="A13" s="3155"/>
      <c r="B13" s="3156" t="s">
        <v>1097</v>
      </c>
      <c r="C13" s="3156"/>
      <c r="D13" s="1306"/>
      <c r="E13" s="1306"/>
      <c r="F13" s="1307"/>
      <c r="G13" s="1308"/>
      <c r="H13" s="1315"/>
      <c r="I13" s="1305">
        <f>ROUND(D13*E13*F13*G13/10000,0)</f>
        <v>0</v>
      </c>
    </row>
    <row r="14" spans="1:9">
      <c r="A14" s="3155"/>
      <c r="B14" s="3156" t="s">
        <v>1098</v>
      </c>
      <c r="C14" s="3156"/>
      <c r="D14" s="1306"/>
      <c r="E14" s="1306"/>
      <c r="F14" s="1307"/>
      <c r="G14" s="1308"/>
      <c r="H14" s="1315"/>
      <c r="I14" s="1305">
        <f>ROUND(D14*E14*F14*G14/10000,0)</f>
        <v>0</v>
      </c>
    </row>
    <row r="15" spans="1:9">
      <c r="A15" s="3155"/>
      <c r="B15" s="3157" t="s">
        <v>1089</v>
      </c>
      <c r="C15" s="3157"/>
      <c r="D15" s="1310"/>
      <c r="E15" s="1310">
        <f>SUM(E12:E14)</f>
        <v>0</v>
      </c>
      <c r="F15" s="1311"/>
      <c r="G15" s="1308"/>
      <c r="H15" s="1315"/>
      <c r="I15" s="1316">
        <f>SUM(I12:I14)</f>
        <v>0</v>
      </c>
    </row>
    <row r="16" spans="1:9" ht="24">
      <c r="A16" s="3155" t="s">
        <v>1099</v>
      </c>
      <c r="B16" s="3156" t="s">
        <v>1100</v>
      </c>
      <c r="C16" s="3156"/>
      <c r="D16" s="1306" t="s">
        <v>1076</v>
      </c>
      <c r="E16" s="1317" t="s">
        <v>1101</v>
      </c>
      <c r="F16" s="1307" t="s">
        <v>1102</v>
      </c>
      <c r="G16" s="1308" t="s">
        <v>1080</v>
      </c>
      <c r="H16" s="1314" t="s">
        <v>1095</v>
      </c>
      <c r="I16" s="1305" t="s">
        <v>1081</v>
      </c>
    </row>
    <row r="17" spans="1:9" ht="15.6">
      <c r="A17" s="3155"/>
      <c r="B17" s="3156" t="s">
        <v>1103</v>
      </c>
      <c r="C17" s="3156"/>
      <c r="D17" s="1306"/>
      <c r="E17" s="1306"/>
      <c r="F17" s="1307"/>
      <c r="G17" s="1308"/>
      <c r="H17" s="1318"/>
      <c r="I17" s="1319">
        <f>ROUND(D17*E17*F17*G17/10000,0)</f>
        <v>0</v>
      </c>
    </row>
    <row r="18" spans="1:9" ht="15.6">
      <c r="A18" s="3155"/>
      <c r="B18" s="3156" t="s">
        <v>1104</v>
      </c>
      <c r="C18" s="3156"/>
      <c r="D18" s="1306"/>
      <c r="E18" s="1306"/>
      <c r="F18" s="1307"/>
      <c r="G18" s="1308"/>
      <c r="H18" s="1318"/>
      <c r="I18" s="1319">
        <f>ROUND(D18*E18*F18*G18/10000,0)</f>
        <v>0</v>
      </c>
    </row>
    <row r="19" spans="1:9" ht="15.6">
      <c r="A19" s="3155"/>
      <c r="B19" s="3156" t="s">
        <v>1105</v>
      </c>
      <c r="C19" s="3156"/>
      <c r="D19" s="1306"/>
      <c r="E19" s="1306"/>
      <c r="F19" s="1307"/>
      <c r="G19" s="1308"/>
      <c r="H19" s="1318"/>
      <c r="I19" s="1319">
        <f>ROUND(D19*E19*F19*G19/10000,0)</f>
        <v>0</v>
      </c>
    </row>
    <row r="20" spans="1:9">
      <c r="A20" s="3155"/>
      <c r="B20" s="3157" t="s">
        <v>1089</v>
      </c>
      <c r="C20" s="3157"/>
      <c r="D20" s="1310">
        <f>SUM(D17:D19)</f>
        <v>0</v>
      </c>
      <c r="E20" s="1310"/>
      <c r="F20" s="1311"/>
      <c r="G20" s="1308"/>
      <c r="H20" s="1315"/>
      <c r="I20" s="1316">
        <f>SUM(I17:I19)</f>
        <v>0</v>
      </c>
    </row>
    <row r="21" spans="1:9">
      <c r="A21" s="3155" t="s">
        <v>1106</v>
      </c>
      <c r="B21" s="3159"/>
      <c r="C21" s="3159"/>
      <c r="D21" s="3159"/>
      <c r="E21" s="3159"/>
      <c r="F21" s="3159"/>
      <c r="G21" s="3159"/>
      <c r="H21" s="1768">
        <v>0.1</v>
      </c>
      <c r="I21" s="1313">
        <f>ROUND(I10*H21,0)</f>
        <v>0</v>
      </c>
    </row>
    <row r="22" spans="1:9" ht="15.6">
      <c r="A22" s="3160" t="s">
        <v>1107</v>
      </c>
      <c r="B22" s="3161"/>
      <c r="C22" s="3162"/>
      <c r="D22" s="1320" t="s">
        <v>1108</v>
      </c>
      <c r="E22" s="1320" t="s">
        <v>1109</v>
      </c>
      <c r="F22" s="1321" t="s">
        <v>1110</v>
      </c>
      <c r="G22" s="1321" t="s">
        <v>1111</v>
      </c>
      <c r="H22" s="1314" t="s">
        <v>1112</v>
      </c>
      <c r="I22" s="1305" t="s">
        <v>1113</v>
      </c>
    </row>
    <row r="23" spans="1:9" ht="15" thickBot="1">
      <c r="A23" s="3163"/>
      <c r="B23" s="3164"/>
      <c r="C23" s="3165"/>
      <c r="D23" s="1322"/>
      <c r="E23" s="1322"/>
      <c r="F23" s="1322"/>
      <c r="G23" s="1323"/>
      <c r="H23" s="1324"/>
      <c r="I23" s="1325">
        <f>ROUND(E23*D23*F23*(1-G23)/10000,0)</f>
        <v>0</v>
      </c>
    </row>
    <row r="26" spans="1:9">
      <c r="A26" s="1326" t="s">
        <v>1114</v>
      </c>
      <c r="B26" s="1326"/>
      <c r="C26" s="1326"/>
      <c r="D26" s="1326"/>
      <c r="E26" s="3166">
        <f>C27-C30-C31-C32</f>
        <v>0</v>
      </c>
      <c r="F26" s="3166"/>
      <c r="G26" s="3166"/>
      <c r="H26" s="1740" t="s">
        <v>1336</v>
      </c>
    </row>
    <row r="27" spans="1:9">
      <c r="A27" s="1327">
        <v>1</v>
      </c>
      <c r="B27" s="1328" t="s">
        <v>1115</v>
      </c>
      <c r="C27" s="1328">
        <f>C28+C29</f>
        <v>0</v>
      </c>
      <c r="D27" s="1328"/>
      <c r="E27" s="3167"/>
      <c r="F27" s="3167"/>
      <c r="G27" s="3167"/>
    </row>
    <row r="28" spans="1:9">
      <c r="A28" s="1329" t="s">
        <v>1116</v>
      </c>
      <c r="B28" s="1328" t="s">
        <v>1117</v>
      </c>
      <c r="C28" s="1328"/>
      <c r="D28" s="1328"/>
      <c r="E28" s="3167"/>
      <c r="F28" s="3167"/>
      <c r="G28" s="316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8"/>
      <c r="F32" s="3158"/>
      <c r="G32" s="3158"/>
    </row>
    <row r="33" spans="1:7" hidden="1">
      <c r="A33" s="3168" t="s">
        <v>1126</v>
      </c>
      <c r="B33" s="3169"/>
      <c r="C33" s="3169"/>
      <c r="D33" s="3170"/>
      <c r="E33" s="3166"/>
      <c r="F33" s="3166"/>
      <c r="G33" s="3166"/>
    </row>
    <row r="34" spans="1:7" hidden="1">
      <c r="A34" s="1331">
        <v>1</v>
      </c>
      <c r="B34" s="1328" t="s">
        <v>1127</v>
      </c>
      <c r="C34" s="1328"/>
      <c r="D34" s="1328"/>
      <c r="E34" s="3167"/>
      <c r="F34" s="3167"/>
      <c r="G34" s="3167"/>
    </row>
    <row r="35" spans="1:7" hidden="1">
      <c r="A35" s="1331">
        <v>2</v>
      </c>
      <c r="B35" s="1328" t="s">
        <v>1128</v>
      </c>
      <c r="C35" s="1328"/>
      <c r="D35" s="1328"/>
      <c r="E35" s="3167"/>
      <c r="F35" s="3167"/>
      <c r="G35" s="3167"/>
    </row>
    <row r="36" spans="1:7" hidden="1">
      <c r="A36" s="1331">
        <v>3</v>
      </c>
      <c r="B36" s="1328" t="s">
        <v>1129</v>
      </c>
      <c r="C36" s="1328"/>
      <c r="D36" s="1328"/>
      <c r="E36" s="3167"/>
      <c r="F36" s="3167"/>
      <c r="G36" s="3167"/>
    </row>
    <row r="37" spans="1:7" hidden="1">
      <c r="A37" s="1331">
        <v>4</v>
      </c>
      <c r="B37" s="1328" t="s">
        <v>1130</v>
      </c>
      <c r="C37" s="1328"/>
      <c r="D37" s="1328"/>
      <c r="E37" s="3167"/>
      <c r="F37" s="3167"/>
      <c r="G37" s="3167"/>
    </row>
    <row r="38" spans="1:7" hidden="1">
      <c r="A38" s="3168" t="s">
        <v>1131</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8" sqref="I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587" t="s">
        <v>2527</v>
      </c>
      <c r="C1" s="1637" t="s">
        <v>2528</v>
      </c>
      <c r="D1" s="1624"/>
      <c r="E1" s="2588"/>
      <c r="F1" s="2589" t="s">
        <v>2529</v>
      </c>
      <c r="G1" s="1634" t="s">
        <v>2530</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2532</v>
      </c>
      <c r="D3" s="399">
        <f>IF(D1="",'数据-汇总表'!E3,SUMIF('数据-汇总表'!$C19:$C33,D1,'数据-汇总表'!$E19:$E33))</f>
        <v>78054.290000000008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2533</v>
      </c>
      <c r="B4" s="402"/>
      <c r="C4" s="3189" t="s">
        <v>2534</v>
      </c>
      <c r="D4" s="3190"/>
      <c r="E4" s="3191" t="s">
        <v>2535</v>
      </c>
      <c r="F4" s="3192"/>
      <c r="G4" s="3189" t="s">
        <v>2536</v>
      </c>
      <c r="H4" s="3190"/>
      <c r="I4" s="3189" t="s">
        <v>2537</v>
      </c>
      <c r="J4" s="3190"/>
      <c r="K4" s="2601" t="s">
        <v>2538</v>
      </c>
      <c r="L4" s="1133"/>
      <c r="M4" s="1134"/>
      <c r="N4" s="1134"/>
      <c r="O4" s="1134"/>
      <c r="P4" s="3193" t="s">
        <v>2539</v>
      </c>
      <c r="Q4" s="3194"/>
      <c r="R4" s="3176" t="s">
        <v>2535</v>
      </c>
      <c r="S4" s="3177"/>
      <c r="T4" s="3176" t="s">
        <v>2536</v>
      </c>
      <c r="U4" s="3177"/>
      <c r="V4" s="3201" t="s">
        <v>2537</v>
      </c>
      <c r="W4" s="3201"/>
      <c r="X4" s="1816"/>
      <c r="Y4" s="3176" t="s">
        <v>2539</v>
      </c>
      <c r="Z4" s="3177"/>
      <c r="AA4" s="3171" t="s">
        <v>2535</v>
      </c>
      <c r="AB4" s="3171" t="s">
        <v>2536</v>
      </c>
      <c r="AC4" s="3171" t="s">
        <v>2537</v>
      </c>
    </row>
    <row r="5" spans="1:29">
      <c r="A5" s="404"/>
      <c r="B5" s="405"/>
      <c r="C5" s="3182" t="s">
        <v>2540</v>
      </c>
      <c r="D5" s="3183"/>
      <c r="E5" s="3180" t="s">
        <v>2541</v>
      </c>
      <c r="F5" s="3181"/>
      <c r="G5" s="3182" t="s">
        <v>2542</v>
      </c>
      <c r="H5" s="3183"/>
      <c r="I5" s="3182" t="s">
        <v>2543</v>
      </c>
      <c r="J5" s="3183"/>
      <c r="K5" s="2602"/>
      <c r="L5" s="1133"/>
      <c r="M5" s="1134"/>
      <c r="N5" s="1134"/>
      <c r="O5" s="1134"/>
      <c r="P5" s="3195"/>
      <c r="Q5" s="3196"/>
      <c r="R5" s="3178"/>
      <c r="S5" s="3179"/>
      <c r="T5" s="3178"/>
      <c r="U5" s="3179"/>
      <c r="V5" s="3201"/>
      <c r="W5" s="3201"/>
      <c r="X5" s="1816"/>
      <c r="Y5" s="3178"/>
      <c r="Z5" s="3179"/>
      <c r="AA5" s="3172"/>
      <c r="AB5" s="3172"/>
      <c r="AC5" s="3172"/>
    </row>
    <row r="6" spans="1:29" ht="15" thickBot="1">
      <c r="A6" s="406"/>
      <c r="B6" s="407"/>
      <c r="C6" s="3184" t="s">
        <v>2544</v>
      </c>
      <c r="D6" s="3185"/>
      <c r="E6" s="3186" t="s">
        <v>2544</v>
      </c>
      <c r="F6" s="3187"/>
      <c r="G6" s="3184" t="s">
        <v>2544</v>
      </c>
      <c r="H6" s="3185"/>
      <c r="I6" s="3184" t="s">
        <v>2544</v>
      </c>
      <c r="J6" s="3185"/>
      <c r="K6" s="2602" t="s">
        <v>2545</v>
      </c>
      <c r="L6" s="1133"/>
      <c r="M6" s="1134"/>
      <c r="N6" s="1134"/>
      <c r="O6" s="1134"/>
      <c r="P6" s="3197"/>
      <c r="Q6" s="3198"/>
      <c r="R6" s="3178"/>
      <c r="S6" s="3179"/>
      <c r="T6" s="3199"/>
      <c r="U6" s="3200"/>
      <c r="V6" s="3201"/>
      <c r="W6" s="3201"/>
      <c r="X6" s="1816"/>
      <c r="Y6" s="3199"/>
      <c r="Z6" s="3200"/>
      <c r="AA6" s="3173"/>
      <c r="AB6" s="3173"/>
      <c r="AC6" s="3173"/>
    </row>
    <row r="7" spans="1:29" s="117" customFormat="1" ht="15" thickBot="1">
      <c r="A7" s="408" t="s">
        <v>2546</v>
      </c>
      <c r="B7" s="409"/>
      <c r="C7" s="410">
        <f>'数据-取费表'!B2</f>
        <v>43556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4" t="s">
        <v>2547</v>
      </c>
      <c r="Q7" s="3202"/>
      <c r="R7" s="770" t="s">
        <v>23</v>
      </c>
      <c r="S7" s="771">
        <f t="shared" ref="S7:S15" si="0">F7</f>
        <v>0</v>
      </c>
      <c r="T7" s="770" t="s">
        <v>23</v>
      </c>
      <c r="U7" s="771">
        <f t="shared" ref="U7:U15" si="1">H7</f>
        <v>0</v>
      </c>
      <c r="V7" s="770" t="s">
        <v>23</v>
      </c>
      <c r="W7" s="771">
        <f t="shared" ref="W7:W15" si="2">J7</f>
        <v>0</v>
      </c>
      <c r="X7" s="772"/>
      <c r="Y7" s="3174" t="s">
        <v>2547</v>
      </c>
      <c r="Z7" s="3175"/>
      <c r="AA7" s="773" t="e">
        <f>D7/F7</f>
        <v>#DIV/0!</v>
      </c>
      <c r="AB7" s="773" t="e">
        <f>D7/H7</f>
        <v>#DIV/0!</v>
      </c>
      <c r="AC7" s="773" t="e">
        <f>D7/J7</f>
        <v>#DIV/0!</v>
      </c>
    </row>
    <row r="8" spans="1:29" s="117" customFormat="1" ht="1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4" t="s">
        <v>2550</v>
      </c>
      <c r="Q8" s="3175"/>
      <c r="R8" s="770" t="s">
        <v>23</v>
      </c>
      <c r="S8" s="771">
        <f t="shared" si="0"/>
        <v>0</v>
      </c>
      <c r="T8" s="770" t="s">
        <v>23</v>
      </c>
      <c r="U8" s="771">
        <f t="shared" si="1"/>
        <v>0</v>
      </c>
      <c r="V8" s="770" t="s">
        <v>23</v>
      </c>
      <c r="W8" s="771">
        <f t="shared" si="2"/>
        <v>0</v>
      </c>
      <c r="X8" s="772"/>
      <c r="Y8" s="3174" t="s">
        <v>2550</v>
      </c>
      <c r="Z8" s="3175"/>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6.6">
      <c r="A15" s="440" t="s">
        <v>2557</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2558</v>
      </c>
      <c r="Q15" s="1813" t="str">
        <f t="shared" si="6"/>
        <v>居住社区成熟度</v>
      </c>
      <c r="R15" s="774" t="s">
        <v>21</v>
      </c>
      <c r="S15" s="775">
        <f t="shared" si="0"/>
        <v>100</v>
      </c>
      <c r="T15" s="774" t="s">
        <v>21</v>
      </c>
      <c r="U15" s="775">
        <f t="shared" si="1"/>
        <v>100</v>
      </c>
      <c r="V15" s="774" t="s">
        <v>21</v>
      </c>
      <c r="W15" s="775">
        <f t="shared" si="2"/>
        <v>100</v>
      </c>
      <c r="X15" s="1816"/>
      <c r="Y15" s="3208" t="s">
        <v>2558</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16"/>
      <c r="Q16" s="1813"/>
      <c r="R16" s="774"/>
      <c r="S16" s="775"/>
      <c r="T16" s="774"/>
      <c r="U16" s="775"/>
      <c r="V16" s="774"/>
      <c r="W16" s="775"/>
      <c r="X16" s="1816"/>
      <c r="Y16" s="3209"/>
      <c r="Z16" s="1817"/>
      <c r="AA16" s="1814">
        <v>1</v>
      </c>
      <c r="AB16" s="1814">
        <v>1</v>
      </c>
      <c r="AC16" s="1814">
        <v>1</v>
      </c>
    </row>
    <row r="17" spans="1:29" ht="82.8">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0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16"/>
      <c r="Q18" s="1813"/>
      <c r="R18" s="774"/>
      <c r="S18" s="775"/>
      <c r="T18" s="774"/>
      <c r="U18" s="775"/>
      <c r="V18" s="774"/>
      <c r="W18" s="775"/>
      <c r="X18" s="1816"/>
      <c r="Y18" s="3209"/>
      <c r="Z18" s="1817"/>
      <c r="AA18" s="1814">
        <v>1</v>
      </c>
      <c r="AB18" s="1814">
        <v>1</v>
      </c>
      <c r="AC18" s="1814">
        <v>1</v>
      </c>
    </row>
    <row r="19" spans="1:29" ht="41.4">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16"/>
      <c r="Q20" s="1813"/>
      <c r="R20" s="774"/>
      <c r="S20" s="775"/>
      <c r="T20" s="774"/>
      <c r="U20" s="775"/>
      <c r="V20" s="774"/>
      <c r="W20" s="775"/>
      <c r="X20" s="1816"/>
      <c r="Y20" s="3209"/>
      <c r="Z20" s="1817"/>
      <c r="AA20" s="1814">
        <v>1</v>
      </c>
      <c r="AB20" s="1814">
        <v>1</v>
      </c>
      <c r="AC20" s="1814">
        <v>1</v>
      </c>
    </row>
    <row r="21" spans="1:29" ht="27.6">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16"/>
      <c r="Q22" s="1813"/>
      <c r="R22" s="774"/>
      <c r="S22" s="775"/>
      <c r="T22" s="774"/>
      <c r="U22" s="775"/>
      <c r="V22" s="774"/>
      <c r="W22" s="775"/>
      <c r="X22" s="1816"/>
      <c r="Y22" s="3209"/>
      <c r="Z22" s="1817"/>
      <c r="AA22" s="1814">
        <v>1</v>
      </c>
      <c r="AB22" s="1814">
        <v>1</v>
      </c>
      <c r="AC22" s="1814">
        <v>1</v>
      </c>
    </row>
    <row r="23" spans="1:29" ht="55.2">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0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9"/>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0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0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0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0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09"/>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09"/>
      <c r="Z31" s="1817">
        <f t="shared" si="18"/>
        <v>111</v>
      </c>
      <c r="AA31" s="1814">
        <f t="shared" si="15"/>
        <v>1</v>
      </c>
      <c r="AB31" s="1814">
        <f t="shared" si="16"/>
        <v>1</v>
      </c>
      <c r="AC31" s="1814">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10" t="s">
        <v>2563</v>
      </c>
      <c r="Q32" s="1813" t="str">
        <f t="shared" si="11"/>
        <v>建筑类型</v>
      </c>
      <c r="R32" s="774" t="s">
        <v>21</v>
      </c>
      <c r="S32" s="775">
        <f t="shared" si="12"/>
        <v>100</v>
      </c>
      <c r="T32" s="774" t="s">
        <v>21</v>
      </c>
      <c r="U32" s="775">
        <f t="shared" si="13"/>
        <v>100</v>
      </c>
      <c r="V32" s="774" t="s">
        <v>21</v>
      </c>
      <c r="W32" s="775">
        <f t="shared" si="14"/>
        <v>100</v>
      </c>
      <c r="X32" s="1816"/>
      <c r="Y32" s="3213"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4" t="e">
        <f t="shared" si="15"/>
        <v>#N/A</v>
      </c>
      <c r="AB33" s="1814" t="e">
        <f t="shared" si="16"/>
        <v>#N/A</v>
      </c>
      <c r="AC33" s="1814"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11"/>
      <c r="Q34" s="1813" t="str">
        <f t="shared" si="11"/>
        <v>建筑结构</v>
      </c>
      <c r="R34" s="774" t="s">
        <v>21</v>
      </c>
      <c r="S34" s="775">
        <f t="shared" si="12"/>
        <v>100</v>
      </c>
      <c r="T34" s="774" t="s">
        <v>21</v>
      </c>
      <c r="U34" s="775">
        <f t="shared" si="13"/>
        <v>100</v>
      </c>
      <c r="V34" s="774" t="s">
        <v>21</v>
      </c>
      <c r="W34" s="775">
        <f t="shared" si="14"/>
        <v>100</v>
      </c>
      <c r="X34" s="1816"/>
      <c r="Y34" s="3213"/>
      <c r="Z34" s="1817" t="str">
        <f t="shared" si="18"/>
        <v>建筑结构</v>
      </c>
      <c r="AA34" s="1814">
        <f t="shared" si="15"/>
        <v>1</v>
      </c>
      <c r="AB34" s="1814">
        <f t="shared" si="16"/>
        <v>1</v>
      </c>
      <c r="AC34" s="1814">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11"/>
      <c r="Q35" s="1813" t="str">
        <f t="shared" si="11"/>
        <v>建筑品质</v>
      </c>
      <c r="R35" s="774" t="s">
        <v>21</v>
      </c>
      <c r="S35" s="775">
        <f t="shared" si="12"/>
        <v>100</v>
      </c>
      <c r="T35" s="774" t="s">
        <v>21</v>
      </c>
      <c r="U35" s="775">
        <f t="shared" si="13"/>
        <v>100</v>
      </c>
      <c r="V35" s="774" t="s">
        <v>21</v>
      </c>
      <c r="W35" s="775">
        <f t="shared" si="14"/>
        <v>100</v>
      </c>
      <c r="X35" s="1816"/>
      <c r="Y35" s="3213"/>
      <c r="Z35" s="1817" t="str">
        <f t="shared" si="18"/>
        <v>建筑品质</v>
      </c>
      <c r="AA35" s="1814">
        <f t="shared" si="15"/>
        <v>1</v>
      </c>
      <c r="AB35" s="1814">
        <f t="shared" si="16"/>
        <v>1</v>
      </c>
      <c r="AC35" s="1814">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11"/>
      <c r="Q36" s="1813" t="str">
        <f t="shared" si="11"/>
        <v>公共部分装修</v>
      </c>
      <c r="R36" s="774" t="s">
        <v>21</v>
      </c>
      <c r="S36" s="775">
        <f t="shared" si="12"/>
        <v>100</v>
      </c>
      <c r="T36" s="774" t="s">
        <v>21</v>
      </c>
      <c r="U36" s="775">
        <f t="shared" si="13"/>
        <v>100</v>
      </c>
      <c r="V36" s="774" t="s">
        <v>21</v>
      </c>
      <c r="W36" s="775">
        <f t="shared" si="14"/>
        <v>100</v>
      </c>
      <c r="X36" s="1816"/>
      <c r="Y36" s="3213"/>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1"/>
      <c r="Q37" s="1798"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11" t="s">
        <v>2563</v>
      </c>
      <c r="Q38" s="1813" t="str">
        <f t="shared" si="11"/>
        <v>物业管理</v>
      </c>
      <c r="R38" s="774" t="s">
        <v>21</v>
      </c>
      <c r="S38" s="775">
        <f t="shared" si="12"/>
        <v>100</v>
      </c>
      <c r="T38" s="774" t="s">
        <v>21</v>
      </c>
      <c r="U38" s="775">
        <f t="shared" si="13"/>
        <v>100</v>
      </c>
      <c r="V38" s="774" t="s">
        <v>21</v>
      </c>
      <c r="W38" s="775">
        <f t="shared" si="14"/>
        <v>100</v>
      </c>
      <c r="X38" s="1816"/>
      <c r="Y38" s="3213" t="s">
        <v>2563</v>
      </c>
      <c r="Z38" s="1817" t="str">
        <f t="shared" si="18"/>
        <v>物业管理</v>
      </c>
      <c r="AA38" s="1814">
        <f t="shared" si="15"/>
        <v>1</v>
      </c>
      <c r="AB38" s="1814">
        <f t="shared" si="16"/>
        <v>1</v>
      </c>
      <c r="AC38" s="1814">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11"/>
      <c r="Q39" s="1813" t="str">
        <f t="shared" si="11"/>
        <v>市政基础设施</v>
      </c>
      <c r="R39" s="774" t="s">
        <v>21</v>
      </c>
      <c r="S39" s="775">
        <f t="shared" si="12"/>
        <v>100</v>
      </c>
      <c r="T39" s="774" t="s">
        <v>21</v>
      </c>
      <c r="U39" s="775">
        <f t="shared" si="13"/>
        <v>100</v>
      </c>
      <c r="V39" s="774" t="s">
        <v>21</v>
      </c>
      <c r="W39" s="775">
        <f t="shared" si="14"/>
        <v>100</v>
      </c>
      <c r="X39" s="1816"/>
      <c r="Y39" s="3213"/>
      <c r="Z39" s="1817" t="str">
        <f t="shared" si="18"/>
        <v>市政基础设施</v>
      </c>
      <c r="AA39" s="1814">
        <f t="shared" si="15"/>
        <v>1</v>
      </c>
      <c r="AB39" s="1814">
        <f t="shared" si="16"/>
        <v>1</v>
      </c>
      <c r="AC39" s="1814">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11"/>
      <c r="Q40" s="1813" t="str">
        <f t="shared" si="11"/>
        <v>房型</v>
      </c>
      <c r="R40" s="774" t="s">
        <v>21</v>
      </c>
      <c r="S40" s="775">
        <f t="shared" si="12"/>
        <v>100</v>
      </c>
      <c r="T40" s="774" t="s">
        <v>21</v>
      </c>
      <c r="U40" s="775">
        <f t="shared" si="13"/>
        <v>100</v>
      </c>
      <c r="V40" s="774" t="s">
        <v>21</v>
      </c>
      <c r="W40" s="775">
        <f t="shared" si="14"/>
        <v>100</v>
      </c>
      <c r="X40" s="1816"/>
      <c r="Y40" s="3213"/>
      <c r="Z40" s="1817" t="str">
        <f t="shared" si="18"/>
        <v>房型</v>
      </c>
      <c r="AA40" s="1814">
        <f t="shared" si="15"/>
        <v>1</v>
      </c>
      <c r="AB40" s="1814">
        <f t="shared" si="16"/>
        <v>1</v>
      </c>
      <c r="AC40" s="1814">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4">
        <f t="shared" si="15"/>
        <v>1</v>
      </c>
      <c r="AB41" s="1814">
        <f t="shared" si="16"/>
        <v>1</v>
      </c>
      <c r="AC41" s="1814">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11"/>
      <c r="Q42" s="1813" t="str">
        <f t="shared" si="11"/>
        <v>内部装修</v>
      </c>
      <c r="R42" s="774" t="s">
        <v>21</v>
      </c>
      <c r="S42" s="775">
        <f t="shared" si="12"/>
        <v>100</v>
      </c>
      <c r="T42" s="774" t="s">
        <v>21</v>
      </c>
      <c r="U42" s="775">
        <f t="shared" si="13"/>
        <v>100</v>
      </c>
      <c r="V42" s="774" t="s">
        <v>21</v>
      </c>
      <c r="W42" s="775">
        <f t="shared" si="14"/>
        <v>100</v>
      </c>
      <c r="X42" s="1816"/>
      <c r="Y42" s="3213"/>
      <c r="Z42" s="1817" t="str">
        <f t="shared" si="18"/>
        <v>内部装修</v>
      </c>
      <c r="AA42" s="1814">
        <f t="shared" si="15"/>
        <v>1</v>
      </c>
      <c r="AB42" s="1814">
        <f t="shared" si="16"/>
        <v>1</v>
      </c>
      <c r="AC42" s="1814">
        <f t="shared" si="17"/>
        <v>1</v>
      </c>
    </row>
    <row r="43" spans="1:29" ht="28.8">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11"/>
      <c r="Q43" s="1813" t="str">
        <f t="shared" si="11"/>
        <v>内部装修维护情况</v>
      </c>
      <c r="R43" s="774" t="s">
        <v>21</v>
      </c>
      <c r="S43" s="775">
        <f t="shared" si="12"/>
        <v>100</v>
      </c>
      <c r="T43" s="774" t="s">
        <v>21</v>
      </c>
      <c r="U43" s="775">
        <f t="shared" si="13"/>
        <v>100</v>
      </c>
      <c r="V43" s="774" t="s">
        <v>21</v>
      </c>
      <c r="W43" s="775">
        <f t="shared" si="14"/>
        <v>100</v>
      </c>
      <c r="X43" s="1816"/>
      <c r="Y43" s="321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11"/>
      <c r="Q44" s="1798">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11"/>
      <c r="Q45" s="1813">
        <f t="shared" si="11"/>
        <v>111</v>
      </c>
      <c r="R45" s="774" t="s">
        <v>21</v>
      </c>
      <c r="S45" s="775">
        <f t="shared" si="12"/>
        <v>100</v>
      </c>
      <c r="T45" s="774" t="s">
        <v>21</v>
      </c>
      <c r="U45" s="775">
        <f t="shared" si="13"/>
        <v>100</v>
      </c>
      <c r="V45" s="774" t="s">
        <v>21</v>
      </c>
      <c r="W45" s="775">
        <f t="shared" si="14"/>
        <v>100</v>
      </c>
      <c r="X45" s="1816"/>
      <c r="Y45" s="3213"/>
      <c r="Z45" s="1817">
        <f t="shared" si="18"/>
        <v>111</v>
      </c>
      <c r="AA45" s="1814">
        <f t="shared" si="15"/>
        <v>1</v>
      </c>
      <c r="AB45" s="1814">
        <f t="shared" si="16"/>
        <v>1</v>
      </c>
      <c r="AC45" s="1814">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12"/>
      <c r="Q46" s="1813">
        <f t="shared" si="11"/>
        <v>111</v>
      </c>
      <c r="R46" s="774" t="s">
        <v>20</v>
      </c>
      <c r="S46" s="775">
        <f t="shared" si="12"/>
        <v>100</v>
      </c>
      <c r="T46" s="774" t="s">
        <v>20</v>
      </c>
      <c r="U46" s="775">
        <f t="shared" si="13"/>
        <v>100</v>
      </c>
      <c r="V46" s="774" t="s">
        <v>20</v>
      </c>
      <c r="W46" s="775">
        <f t="shared" si="14"/>
        <v>100</v>
      </c>
      <c r="X46" s="1816"/>
      <c r="Y46" s="3214"/>
      <c r="Z46" s="1817">
        <f t="shared" si="18"/>
        <v>111</v>
      </c>
      <c r="AA46" s="1814">
        <f t="shared" si="15"/>
        <v>1</v>
      </c>
      <c r="AB46" s="1814">
        <f t="shared" si="16"/>
        <v>1</v>
      </c>
      <c r="AC46" s="1814">
        <f t="shared" si="17"/>
        <v>1</v>
      </c>
    </row>
    <row r="47" spans="1:29" ht="14.4">
      <c r="A47" s="479" t="s">
        <v>2575</v>
      </c>
      <c r="B47" s="480"/>
      <c r="C47" s="1410" t="s">
        <v>19</v>
      </c>
      <c r="D47" s="1411"/>
      <c r="E47" s="1412"/>
      <c r="F47" s="1413"/>
      <c r="G47" s="1414"/>
      <c r="H47" s="1415"/>
      <c r="I47" s="1412"/>
      <c r="J47" s="1415"/>
      <c r="K47" s="2626"/>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 thickBot="1">
      <c r="A48" s="486" t="s">
        <v>2576</v>
      </c>
      <c r="B48" s="487"/>
      <c r="C48" s="1416" t="e">
        <f>R49</f>
        <v>#DIV/0!</v>
      </c>
      <c r="D48" s="1417"/>
      <c r="E48" s="1418" t="e">
        <f>R48</f>
        <v>#DIV/0!</v>
      </c>
      <c r="F48" s="1418"/>
      <c r="G48" s="1416" t="e">
        <f>T48</f>
        <v>#DIV/0!</v>
      </c>
      <c r="H48" s="1417"/>
      <c r="I48" s="1418" t="e">
        <f>V48</f>
        <v>#DIV/0!</v>
      </c>
      <c r="J48" s="1417"/>
      <c r="K48" s="2627"/>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2577</v>
      </c>
      <c r="B49" s="493"/>
      <c r="C49" s="1419" t="e">
        <f>R49</f>
        <v>#DIV/0!</v>
      </c>
      <c r="D49" s="1420"/>
      <c r="E49" s="1420"/>
      <c r="F49" s="1420"/>
      <c r="G49" s="1420"/>
      <c r="H49" s="1420"/>
      <c r="I49" s="1420"/>
      <c r="J49" s="1420"/>
      <c r="K49" s="2628"/>
      <c r="L49" s="1146"/>
      <c r="M49" s="1147"/>
      <c r="N49" s="1147"/>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2581</v>
      </c>
      <c r="B57" s="759"/>
      <c r="C57" s="764"/>
      <c r="D57" s="764"/>
      <c r="E57" s="764"/>
      <c r="F57" s="765"/>
      <c r="G57" s="765"/>
      <c r="H57" s="764"/>
      <c r="I57" s="764"/>
      <c r="J57" s="764"/>
      <c r="K57" s="1163"/>
      <c r="L57" s="1164"/>
      <c r="M57" s="1162"/>
      <c r="N57" s="1162"/>
      <c r="O57" s="1162"/>
      <c r="P57" s="2631"/>
      <c r="Q57" s="504"/>
    </row>
    <row r="58" spans="1:29" s="508" customFormat="1" ht="14.4">
      <c r="A58" s="505" t="s">
        <v>2582</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c r="A59" s="509"/>
      <c r="B59" s="2632"/>
      <c r="C59" s="1576">
        <v>100</v>
      </c>
      <c r="D59" s="511"/>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2584</v>
      </c>
      <c r="B61" s="510"/>
      <c r="C61" s="522" t="s">
        <v>2585</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2097</v>
      </c>
      <c r="C82" s="539" t="s">
        <v>2602</v>
      </c>
      <c r="D82" s="539" t="s">
        <v>2603</v>
      </c>
      <c r="E82" s="539" t="s">
        <v>2604</v>
      </c>
      <c r="F82" s="539" t="s">
        <v>2605</v>
      </c>
      <c r="G82" s="539" t="s">
        <v>2606</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2609</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2561</v>
      </c>
      <c r="B100" s="528" t="s">
        <v>2610</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6.2"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ht="14.4">
      <c r="B147" s="2642" t="s">
        <v>2638</v>
      </c>
    </row>
    <row r="148" spans="2:11" ht="14.4">
      <c r="B148" s="264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8" sqref="I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587" t="s">
        <v>2640</v>
      </c>
      <c r="C1" s="1637" t="s">
        <v>2528</v>
      </c>
      <c r="D1" s="1624"/>
      <c r="E1" s="2662"/>
      <c r="F1" s="2589"/>
      <c r="G1" s="1634" t="s">
        <v>2641</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2642</v>
      </c>
      <c r="D3" s="399">
        <f>IF(D1="",'数据-汇总表'!E3,SUMIF('数据-汇总表'!$C19:$C33,D1,'数据-汇总表'!$E19:$E33))</f>
        <v>78054.290000000008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201" t="s">
        <v>2646</v>
      </c>
      <c r="AC4" s="3171" t="s">
        <v>2647</v>
      </c>
    </row>
    <row r="5" spans="1:29">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201"/>
      <c r="AC5" s="3172"/>
    </row>
    <row r="6" spans="1:29" ht="1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201"/>
      <c r="AC6" s="3173"/>
    </row>
    <row r="7" spans="1:29" s="117" customFormat="1" ht="15" thickBot="1">
      <c r="A7" s="408" t="s">
        <v>2546</v>
      </c>
      <c r="B7" s="409"/>
      <c r="C7" s="410">
        <f>'数据-取费表'!B2</f>
        <v>43556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69">
      <c r="A15" s="440" t="s">
        <v>2557</v>
      </c>
      <c r="B15" s="69" t="s">
        <v>2651</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2558</v>
      </c>
      <c r="Q15" s="1813" t="str">
        <f t="shared" si="6"/>
        <v>商业繁华度</v>
      </c>
      <c r="R15" s="774" t="s">
        <v>17</v>
      </c>
      <c r="S15" s="775">
        <f t="shared" si="0"/>
        <v>100</v>
      </c>
      <c r="T15" s="774" t="s">
        <v>17</v>
      </c>
      <c r="U15" s="775">
        <f t="shared" si="1"/>
        <v>100</v>
      </c>
      <c r="V15" s="774" t="s">
        <v>17</v>
      </c>
      <c r="W15" s="775">
        <f t="shared" si="2"/>
        <v>100</v>
      </c>
      <c r="X15" s="1816"/>
      <c r="Y15" s="3208"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1814">
        <v>1</v>
      </c>
    </row>
    <row r="17" spans="1:29" ht="82.8">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16"/>
      <c r="Q18" s="1813"/>
      <c r="R18" s="774"/>
      <c r="S18" s="775"/>
      <c r="T18" s="774"/>
      <c r="U18" s="775"/>
      <c r="V18" s="774"/>
      <c r="W18" s="775"/>
      <c r="X18" s="1816"/>
      <c r="Y18" s="3209"/>
      <c r="Z18" s="1817"/>
      <c r="AA18" s="1814">
        <v>1</v>
      </c>
      <c r="AB18" s="1814">
        <v>1</v>
      </c>
      <c r="AC18" s="1814">
        <v>1</v>
      </c>
    </row>
    <row r="19" spans="1:29" ht="41.4">
      <c r="A19" s="428"/>
      <c r="B19" s="451" t="s">
        <v>2652</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16"/>
      <c r="Q20" s="1813"/>
      <c r="R20" s="774"/>
      <c r="S20" s="775"/>
      <c r="T20" s="774"/>
      <c r="U20" s="775"/>
      <c r="V20" s="774"/>
      <c r="W20" s="775"/>
      <c r="X20" s="1816"/>
      <c r="Y20" s="3209"/>
      <c r="Z20" s="1817"/>
      <c r="AA20" s="1814">
        <v>1</v>
      </c>
      <c r="AB20" s="1814">
        <v>1</v>
      </c>
      <c r="AC20" s="1814">
        <v>1</v>
      </c>
    </row>
    <row r="21" spans="1:29" ht="27.6">
      <c r="A21" s="428"/>
      <c r="B21" s="1387" t="s">
        <v>2653</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16"/>
      <c r="Q22" s="1813"/>
      <c r="R22" s="774"/>
      <c r="S22" s="775"/>
      <c r="T22" s="774"/>
      <c r="U22" s="775"/>
      <c r="V22" s="774"/>
      <c r="W22" s="775"/>
      <c r="X22" s="1816"/>
      <c r="Y22" s="3209"/>
      <c r="Z22" s="1817"/>
      <c r="AA22" s="1814">
        <v>1</v>
      </c>
      <c r="AB22" s="1814">
        <v>1</v>
      </c>
      <c r="AC22" s="1814">
        <v>1</v>
      </c>
    </row>
    <row r="23" spans="1:29" ht="55.2">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0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09"/>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09"/>
      <c r="Z26" s="1817" t="str">
        <f>Q26</f>
        <v>平面位置/可视性</v>
      </c>
      <c r="AA26" s="1814">
        <f t="shared" si="3"/>
        <v>1</v>
      </c>
      <c r="AB26" s="1814">
        <f t="shared" si="4"/>
        <v>1</v>
      </c>
      <c r="AC26" s="1814">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09"/>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0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1814">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10" t="s">
        <v>2563</v>
      </c>
      <c r="Q32" s="1813" t="str">
        <f t="shared" si="11"/>
        <v>商业类型</v>
      </c>
      <c r="R32" s="774" t="s">
        <v>17</v>
      </c>
      <c r="S32" s="775">
        <f t="shared" si="12"/>
        <v>100</v>
      </c>
      <c r="T32" s="774" t="s">
        <v>17</v>
      </c>
      <c r="U32" s="775">
        <f t="shared" si="13"/>
        <v>100</v>
      </c>
      <c r="V32" s="774" t="s">
        <v>17</v>
      </c>
      <c r="W32" s="775">
        <f t="shared" si="14"/>
        <v>100</v>
      </c>
      <c r="X32" s="1816"/>
      <c r="Y32" s="3213"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4" t="e">
        <f t="shared" si="3"/>
        <v>#N/A</v>
      </c>
      <c r="AB33" s="1814" t="e">
        <f t="shared" si="4"/>
        <v>#N/A</v>
      </c>
      <c r="AC33" s="1814"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11"/>
      <c r="Q34" s="1813" t="str">
        <f t="shared" si="11"/>
        <v>建筑结构</v>
      </c>
      <c r="R34" s="774" t="s">
        <v>17</v>
      </c>
      <c r="S34" s="775">
        <f t="shared" si="12"/>
        <v>100</v>
      </c>
      <c r="T34" s="774" t="s">
        <v>17</v>
      </c>
      <c r="U34" s="775">
        <f t="shared" si="13"/>
        <v>100</v>
      </c>
      <c r="V34" s="774" t="s">
        <v>17</v>
      </c>
      <c r="W34" s="775">
        <f t="shared" si="14"/>
        <v>100</v>
      </c>
      <c r="X34" s="1816"/>
      <c r="Y34" s="3213"/>
      <c r="Z34" s="1817" t="str">
        <f t="shared" si="15"/>
        <v>建筑结构</v>
      </c>
      <c r="AA34" s="1814">
        <f t="shared" si="3"/>
        <v>1</v>
      </c>
      <c r="AB34" s="1814">
        <f t="shared" si="4"/>
        <v>1</v>
      </c>
      <c r="AC34" s="1814">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11"/>
      <c r="Q35" s="1813" t="str">
        <f t="shared" si="11"/>
        <v>公共部分装修</v>
      </c>
      <c r="R35" s="774" t="s">
        <v>17</v>
      </c>
      <c r="S35" s="775">
        <f t="shared" si="12"/>
        <v>100</v>
      </c>
      <c r="T35" s="774" t="s">
        <v>17</v>
      </c>
      <c r="U35" s="775">
        <f t="shared" si="13"/>
        <v>100</v>
      </c>
      <c r="V35" s="774" t="s">
        <v>17</v>
      </c>
      <c r="W35" s="775">
        <f t="shared" si="14"/>
        <v>100</v>
      </c>
      <c r="X35" s="1816"/>
      <c r="Y35" s="3213"/>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1"/>
      <c r="Q36" s="1813" t="str">
        <f t="shared" si="11"/>
        <v>成新度</v>
      </c>
      <c r="R36" s="774" t="s">
        <v>17</v>
      </c>
      <c r="S36" s="775" t="e">
        <f t="shared" si="12"/>
        <v>#N/A</v>
      </c>
      <c r="T36" s="774" t="s">
        <v>17</v>
      </c>
      <c r="U36" s="775" t="e">
        <f t="shared" si="13"/>
        <v>#N/A</v>
      </c>
      <c r="V36" s="774" t="s">
        <v>17</v>
      </c>
      <c r="W36" s="775" t="e">
        <f t="shared" si="14"/>
        <v>#N/A</v>
      </c>
      <c r="X36" s="1816"/>
      <c r="Y36" s="3213"/>
      <c r="Z36" s="1817" t="str">
        <f t="shared" si="15"/>
        <v>成新度</v>
      </c>
      <c r="AA36" s="1814" t="e">
        <f t="shared" si="3"/>
        <v>#N/A</v>
      </c>
      <c r="AB36" s="1814" t="e">
        <f t="shared" si="4"/>
        <v>#N/A</v>
      </c>
      <c r="AC36" s="1814"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11"/>
      <c r="Q37" s="1798"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11" t="s">
        <v>2563</v>
      </c>
      <c r="Q38" s="1813" t="str">
        <f t="shared" si="11"/>
        <v>业态</v>
      </c>
      <c r="R38" s="774" t="s">
        <v>17</v>
      </c>
      <c r="S38" s="775">
        <f t="shared" si="12"/>
        <v>100</v>
      </c>
      <c r="T38" s="774" t="s">
        <v>17</v>
      </c>
      <c r="U38" s="775">
        <f t="shared" si="13"/>
        <v>100</v>
      </c>
      <c r="V38" s="774" t="s">
        <v>17</v>
      </c>
      <c r="W38" s="775">
        <f t="shared" si="14"/>
        <v>100</v>
      </c>
      <c r="X38" s="1816"/>
      <c r="Y38" s="3213" t="s">
        <v>2563</v>
      </c>
      <c r="Z38" s="1817" t="str">
        <f t="shared" si="15"/>
        <v>业态</v>
      </c>
      <c r="AA38" s="1814">
        <f t="shared" si="3"/>
        <v>1</v>
      </c>
      <c r="AB38" s="1814">
        <f t="shared" si="4"/>
        <v>1</v>
      </c>
      <c r="AC38" s="1814">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11"/>
      <c r="Q39" s="1813" t="str">
        <f t="shared" si="11"/>
        <v>层高</v>
      </c>
      <c r="R39" s="774" t="s">
        <v>17</v>
      </c>
      <c r="S39" s="775">
        <f t="shared" si="12"/>
        <v>100</v>
      </c>
      <c r="T39" s="774" t="s">
        <v>17</v>
      </c>
      <c r="U39" s="775">
        <f t="shared" si="13"/>
        <v>100</v>
      </c>
      <c r="V39" s="774" t="s">
        <v>17</v>
      </c>
      <c r="W39" s="775">
        <f t="shared" si="14"/>
        <v>100</v>
      </c>
      <c r="X39" s="1816"/>
      <c r="Y39" s="3213"/>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1"/>
      <c r="Q40" s="1813" t="str">
        <f t="shared" si="11"/>
        <v>单套建筑面积</v>
      </c>
      <c r="R40" s="774" t="s">
        <v>17</v>
      </c>
      <c r="S40" s="775">
        <f t="shared" si="12"/>
        <v>100</v>
      </c>
      <c r="T40" s="774" t="s">
        <v>17</v>
      </c>
      <c r="U40" s="775">
        <f t="shared" si="13"/>
        <v>100</v>
      </c>
      <c r="V40" s="774" t="s">
        <v>17</v>
      </c>
      <c r="W40" s="775">
        <f t="shared" si="14"/>
        <v>100</v>
      </c>
      <c r="X40" s="1816"/>
      <c r="Y40" s="3213"/>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4">
        <f t="shared" si="3"/>
        <v>1</v>
      </c>
      <c r="AB41" s="1814">
        <f t="shared" si="4"/>
        <v>1</v>
      </c>
      <c r="AC41" s="1814">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11"/>
      <c r="Q42" s="1813" t="str">
        <f t="shared" si="11"/>
        <v>内部装修</v>
      </c>
      <c r="R42" s="774" t="s">
        <v>17</v>
      </c>
      <c r="S42" s="775">
        <f t="shared" si="12"/>
        <v>100</v>
      </c>
      <c r="T42" s="774" t="s">
        <v>17</v>
      </c>
      <c r="U42" s="775">
        <f t="shared" si="13"/>
        <v>100</v>
      </c>
      <c r="V42" s="774" t="s">
        <v>17</v>
      </c>
      <c r="W42" s="775">
        <f t="shared" si="14"/>
        <v>100</v>
      </c>
      <c r="X42" s="1816"/>
      <c r="Y42" s="3213"/>
      <c r="Z42" s="1817" t="str">
        <f t="shared" si="15"/>
        <v>内部装修</v>
      </c>
      <c r="AA42" s="1814">
        <f t="shared" si="3"/>
        <v>1</v>
      </c>
      <c r="AB42" s="1814">
        <f t="shared" si="4"/>
        <v>1</v>
      </c>
      <c r="AC42" s="1814">
        <f t="shared" si="5"/>
        <v>1</v>
      </c>
    </row>
    <row r="43" spans="1:29" ht="28.8">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11"/>
      <c r="Q43" s="1813" t="str">
        <f t="shared" si="11"/>
        <v>内部装修维护情况</v>
      </c>
      <c r="R43" s="774" t="s">
        <v>17</v>
      </c>
      <c r="S43" s="775">
        <f t="shared" si="12"/>
        <v>100</v>
      </c>
      <c r="T43" s="774" t="s">
        <v>17</v>
      </c>
      <c r="U43" s="775">
        <f t="shared" si="13"/>
        <v>100</v>
      </c>
      <c r="V43" s="774" t="s">
        <v>17</v>
      </c>
      <c r="W43" s="775">
        <f t="shared" si="14"/>
        <v>100</v>
      </c>
      <c r="X43" s="1816"/>
      <c r="Y43" s="321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1"/>
      <c r="Q44" s="1798">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1"/>
      <c r="Q45" s="1813">
        <f t="shared" si="11"/>
        <v>111</v>
      </c>
      <c r="R45" s="774" t="s">
        <v>17</v>
      </c>
      <c r="S45" s="775">
        <f t="shared" si="12"/>
        <v>100</v>
      </c>
      <c r="T45" s="774" t="s">
        <v>17</v>
      </c>
      <c r="U45" s="775">
        <f t="shared" si="13"/>
        <v>100</v>
      </c>
      <c r="V45" s="774" t="s">
        <v>17</v>
      </c>
      <c r="W45" s="775">
        <f t="shared" si="14"/>
        <v>100</v>
      </c>
      <c r="X45" s="1816"/>
      <c r="Y45" s="3213"/>
      <c r="Z45" s="1817">
        <f t="shared" si="15"/>
        <v>111</v>
      </c>
      <c r="AA45" s="1814">
        <f t="shared" si="3"/>
        <v>1</v>
      </c>
      <c r="AB45" s="1814">
        <f t="shared" si="4"/>
        <v>1</v>
      </c>
      <c r="AC45" s="1814">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1814">
        <f t="shared" si="5"/>
        <v>1</v>
      </c>
    </row>
    <row r="47" spans="1:29" ht="14.4">
      <c r="A47" s="479" t="s">
        <v>2575</v>
      </c>
      <c r="B47" s="480"/>
      <c r="C47" s="1410" t="s">
        <v>1</v>
      </c>
      <c r="D47" s="1411"/>
      <c r="E47" s="1412"/>
      <c r="F47" s="1413"/>
      <c r="G47" s="1414"/>
      <c r="H47" s="1415"/>
      <c r="I47" s="1412"/>
      <c r="J47" s="1415"/>
      <c r="K47" s="783"/>
      <c r="L47" s="1146"/>
      <c r="M47" s="1147"/>
      <c r="N47" s="1134"/>
      <c r="O47" s="1147"/>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 thickBot="1">
      <c r="A49" s="492" t="s">
        <v>2668</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2546</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c r="A59" s="509"/>
      <c r="B59" s="510"/>
      <c r="C59" s="1576">
        <v>100</v>
      </c>
      <c r="D59" s="512"/>
      <c r="E59" s="512"/>
      <c r="F59" s="512"/>
      <c r="G59" s="512"/>
      <c r="H59" s="512"/>
      <c r="I59" s="512"/>
      <c r="J59" s="512"/>
      <c r="K59" s="512"/>
      <c r="L59" s="512"/>
      <c r="M59" s="513"/>
      <c r="N59" s="512"/>
      <c r="O59" s="513"/>
      <c r="P59" s="2633"/>
    </row>
    <row r="60" spans="1:29" s="117" customFormat="1" ht="15" thickBot="1">
      <c r="A60" s="515" t="s">
        <v>2583</v>
      </c>
      <c r="B60" s="516"/>
      <c r="C60" s="517"/>
      <c r="D60" s="518"/>
      <c r="E60" s="518"/>
      <c r="F60" s="518"/>
      <c r="G60" s="518"/>
      <c r="H60" s="518"/>
      <c r="I60" s="518"/>
      <c r="J60" s="518"/>
      <c r="K60" s="518"/>
      <c r="L60" s="518"/>
      <c r="M60" s="519"/>
      <c r="N60" s="518"/>
      <c r="O60" s="519"/>
      <c r="P60" s="2633"/>
      <c r="Q60" s="504"/>
    </row>
    <row r="61" spans="1:29" s="117" customFormat="1" ht="14.4">
      <c r="A61" s="521" t="s">
        <v>2548</v>
      </c>
      <c r="B61" s="510"/>
      <c r="C61" s="522" t="s">
        <v>2650</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2586</v>
      </c>
      <c r="B63" s="528" t="s">
        <v>2552</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2678</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2561</v>
      </c>
      <c r="B100" s="528" t="s">
        <v>2679</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8" sqref="I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674" t="s">
        <v>2684</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78054.290000000008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223" t="s">
        <v>2649</v>
      </c>
      <c r="Q4" s="3224"/>
      <c r="R4" s="3218" t="s">
        <v>2645</v>
      </c>
      <c r="S4" s="3219"/>
      <c r="T4" s="3218" t="s">
        <v>2646</v>
      </c>
      <c r="U4" s="3219"/>
      <c r="V4" s="3227" t="s">
        <v>2647</v>
      </c>
      <c r="W4" s="3227"/>
      <c r="X4" s="2675"/>
      <c r="Y4" s="3218" t="s">
        <v>2649</v>
      </c>
      <c r="Z4" s="3219"/>
      <c r="AA4" s="3217" t="s">
        <v>2645</v>
      </c>
      <c r="AB4" s="3217" t="s">
        <v>2646</v>
      </c>
      <c r="AC4" s="3220" t="s">
        <v>2647</v>
      </c>
    </row>
    <row r="5" spans="1:29">
      <c r="A5" s="404"/>
      <c r="B5" s="405"/>
      <c r="C5" s="3182" t="s">
        <v>2540</v>
      </c>
      <c r="D5" s="3183"/>
      <c r="E5" s="3180" t="s">
        <v>2541</v>
      </c>
      <c r="F5" s="3181"/>
      <c r="G5" s="3182" t="s">
        <v>2542</v>
      </c>
      <c r="H5" s="3183"/>
      <c r="I5" s="3182" t="s">
        <v>2543</v>
      </c>
      <c r="J5" s="3183"/>
      <c r="K5" s="610"/>
      <c r="L5" s="1133"/>
      <c r="M5" s="1134"/>
      <c r="N5" s="1134"/>
      <c r="O5" s="1134"/>
      <c r="P5" s="3225"/>
      <c r="Q5" s="3196"/>
      <c r="R5" s="3178"/>
      <c r="S5" s="3179"/>
      <c r="T5" s="3178"/>
      <c r="U5" s="3179"/>
      <c r="V5" s="3201"/>
      <c r="W5" s="3201"/>
      <c r="X5" s="1816"/>
      <c r="Y5" s="3178"/>
      <c r="Z5" s="3179"/>
      <c r="AA5" s="3172"/>
      <c r="AB5" s="3172"/>
      <c r="AC5" s="3221"/>
    </row>
    <row r="6" spans="1:29" ht="15" thickBot="1">
      <c r="A6" s="406"/>
      <c r="B6" s="407"/>
      <c r="C6" s="3184" t="s">
        <v>2544</v>
      </c>
      <c r="D6" s="3185"/>
      <c r="E6" s="3186" t="s">
        <v>2544</v>
      </c>
      <c r="F6" s="3187"/>
      <c r="G6" s="3184" t="s">
        <v>2544</v>
      </c>
      <c r="H6" s="3185"/>
      <c r="I6" s="3184" t="s">
        <v>2544</v>
      </c>
      <c r="J6" s="3185"/>
      <c r="K6" s="610" t="s">
        <v>2545</v>
      </c>
      <c r="L6" s="1133"/>
      <c r="M6" s="1134"/>
      <c r="N6" s="1134"/>
      <c r="O6" s="1134"/>
      <c r="P6" s="3226"/>
      <c r="Q6" s="3198"/>
      <c r="R6" s="3178"/>
      <c r="S6" s="3179"/>
      <c r="T6" s="3199"/>
      <c r="U6" s="3200"/>
      <c r="V6" s="3201"/>
      <c r="W6" s="3201"/>
      <c r="X6" s="1816"/>
      <c r="Y6" s="3199"/>
      <c r="Z6" s="3200"/>
      <c r="AA6" s="3173"/>
      <c r="AB6" s="3173"/>
      <c r="AC6" s="3222"/>
    </row>
    <row r="7" spans="1:29" s="117" customFormat="1" ht="15" thickBot="1">
      <c r="A7" s="408" t="s">
        <v>2546</v>
      </c>
      <c r="B7" s="409"/>
      <c r="C7" s="410">
        <f>'数据-取费表'!B2</f>
        <v>43556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8"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2676"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8" t="s">
        <v>2550</v>
      </c>
      <c r="Q8" s="3175"/>
      <c r="R8" s="770" t="s">
        <v>17</v>
      </c>
      <c r="S8" s="771">
        <f t="shared" si="0"/>
        <v>0</v>
      </c>
      <c r="T8" s="770" t="s">
        <v>17</v>
      </c>
      <c r="U8" s="771">
        <f t="shared" si="1"/>
        <v>0</v>
      </c>
      <c r="V8" s="770" t="s">
        <v>17</v>
      </c>
      <c r="W8" s="771">
        <f t="shared" si="2"/>
        <v>0</v>
      </c>
      <c r="X8" s="772"/>
      <c r="Y8" s="3174" t="s">
        <v>2550</v>
      </c>
      <c r="Z8" s="3175"/>
      <c r="AA8" s="773" t="e">
        <f t="shared" ref="AA8:AA47" si="3">D8/F8</f>
        <v>#DIV/0!</v>
      </c>
      <c r="AB8" s="773" t="e">
        <f t="shared" ref="AB8:AB47" si="4">D8/H8</f>
        <v>#DIV/0!</v>
      </c>
      <c r="AC8" s="2676"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2676">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6">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6">
        <f t="shared" si="5"/>
        <v>1</v>
      </c>
    </row>
    <row r="15" spans="1:29" ht="69">
      <c r="A15" s="440" t="s">
        <v>2557</v>
      </c>
      <c r="B15" s="629" t="s">
        <v>2685</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5" t="s">
        <v>2558</v>
      </c>
      <c r="Q15" s="1813" t="str">
        <f t="shared" si="6"/>
        <v>办公集聚程度</v>
      </c>
      <c r="R15" s="774" t="s">
        <v>17</v>
      </c>
      <c r="S15" s="775">
        <f t="shared" si="0"/>
        <v>100</v>
      </c>
      <c r="T15" s="774" t="s">
        <v>17</v>
      </c>
      <c r="U15" s="775">
        <f t="shared" si="1"/>
        <v>100</v>
      </c>
      <c r="V15" s="774" t="s">
        <v>17</v>
      </c>
      <c r="W15" s="775">
        <f t="shared" si="2"/>
        <v>100</v>
      </c>
      <c r="X15" s="1816"/>
      <c r="Y15" s="3208" t="s">
        <v>2558</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2679">
        <v>1</v>
      </c>
    </row>
    <row r="17" spans="1:29" ht="82.8">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16"/>
      <c r="Q18" s="1813"/>
      <c r="R18" s="774"/>
      <c r="S18" s="775"/>
      <c r="T18" s="774"/>
      <c r="U18" s="775"/>
      <c r="V18" s="774"/>
      <c r="W18" s="775"/>
      <c r="X18" s="1816"/>
      <c r="Y18" s="3209"/>
      <c r="Z18" s="1817"/>
      <c r="AA18" s="1814">
        <v>1</v>
      </c>
      <c r="AB18" s="1814">
        <v>1</v>
      </c>
      <c r="AC18" s="2679">
        <v>1</v>
      </c>
    </row>
    <row r="19" spans="1:29" ht="41.4">
      <c r="A19" s="428"/>
      <c r="B19" s="631" t="s">
        <v>2686</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16"/>
      <c r="Q20" s="1813"/>
      <c r="R20" s="774"/>
      <c r="S20" s="775"/>
      <c r="T20" s="774"/>
      <c r="U20" s="775"/>
      <c r="V20" s="774"/>
      <c r="W20" s="775"/>
      <c r="X20" s="1816"/>
      <c r="Y20" s="3209"/>
      <c r="Z20" s="1817"/>
      <c r="AA20" s="1814">
        <v>1</v>
      </c>
      <c r="AB20" s="1814">
        <v>1</v>
      </c>
      <c r="AC20" s="2679">
        <v>1</v>
      </c>
    </row>
    <row r="21" spans="1:29" ht="27.6">
      <c r="A21" s="428"/>
      <c r="B21" s="633" t="s">
        <v>2687</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16"/>
      <c r="Q22" s="1813"/>
      <c r="R22" s="774"/>
      <c r="S22" s="775"/>
      <c r="T22" s="774"/>
      <c r="U22" s="775"/>
      <c r="V22" s="774"/>
      <c r="W22" s="775"/>
      <c r="X22" s="1816"/>
      <c r="Y22" s="3209"/>
      <c r="Z22" s="1817"/>
      <c r="AA22" s="1814">
        <v>1</v>
      </c>
      <c r="AB22" s="1814">
        <v>1</v>
      </c>
      <c r="AC22" s="2679">
        <v>1</v>
      </c>
    </row>
    <row r="23" spans="1:29" ht="55.2">
      <c r="A23" s="428"/>
      <c r="B23" s="631" t="s">
        <v>2688</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6"/>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16"/>
      <c r="Q24" s="1813"/>
      <c r="R24" s="774"/>
      <c r="S24" s="775"/>
      <c r="T24" s="774"/>
      <c r="U24" s="775"/>
      <c r="V24" s="774"/>
      <c r="W24" s="775"/>
      <c r="X24" s="1816"/>
      <c r="Y24" s="3209"/>
      <c r="Z24" s="1817"/>
      <c r="AA24" s="1814">
        <v>1</v>
      </c>
      <c r="AB24" s="1814">
        <v>1</v>
      </c>
      <c r="AC24" s="2679">
        <v>1</v>
      </c>
    </row>
    <row r="25" spans="1:29" ht="28.8">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16"/>
      <c r="Q25" s="1813" t="str">
        <f>B25</f>
        <v>毗邻道路的类型与等级</v>
      </c>
      <c r="R25" s="774" t="s">
        <v>17</v>
      </c>
      <c r="S25" s="775">
        <f>F25</f>
        <v>100</v>
      </c>
      <c r="T25" s="774" t="s">
        <v>17</v>
      </c>
      <c r="U25" s="775">
        <f>H25</f>
        <v>100</v>
      </c>
      <c r="V25" s="774" t="s">
        <v>17</v>
      </c>
      <c r="W25" s="775">
        <f>J25</f>
        <v>100</v>
      </c>
      <c r="X25" s="1816"/>
      <c r="Y25" s="320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16"/>
      <c r="Q26" s="1813"/>
      <c r="R26" s="774"/>
      <c r="S26" s="775"/>
      <c r="T26" s="774"/>
      <c r="U26" s="775"/>
      <c r="V26" s="774"/>
      <c r="W26" s="775"/>
      <c r="X26" s="1816"/>
      <c r="Y26" s="3209"/>
      <c r="Z26" s="1817"/>
      <c r="AA26" s="1814">
        <v>1</v>
      </c>
      <c r="AB26" s="1814">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6"/>
      <c r="Q27" s="1813" t="str">
        <f t="shared" ref="Q27:Q47" si="11">B27</f>
        <v>楼层</v>
      </c>
      <c r="R27" s="774" t="s">
        <v>17</v>
      </c>
      <c r="S27" s="775">
        <f>F27</f>
        <v>100</v>
      </c>
      <c r="T27" s="774" t="s">
        <v>17</v>
      </c>
      <c r="U27" s="775">
        <f>H27</f>
        <v>100</v>
      </c>
      <c r="V27" s="774" t="s">
        <v>17</v>
      </c>
      <c r="W27" s="775">
        <f>J27</f>
        <v>100</v>
      </c>
      <c r="X27" s="1816"/>
      <c r="Y27" s="3209"/>
      <c r="Z27" s="1817" t="str">
        <f>Q27</f>
        <v>楼层</v>
      </c>
      <c r="AA27" s="1814">
        <f t="shared" si="3"/>
        <v>1</v>
      </c>
      <c r="AB27" s="1814">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16"/>
      <c r="Q28" s="1798" t="str">
        <f t="shared" si="11"/>
        <v>朝向</v>
      </c>
      <c r="R28" s="770" t="s">
        <v>17</v>
      </c>
      <c r="S28" s="771">
        <f>F28</f>
        <v>100</v>
      </c>
      <c r="T28" s="770" t="s">
        <v>17</v>
      </c>
      <c r="U28" s="771">
        <f>H28</f>
        <v>100</v>
      </c>
      <c r="V28" s="770" t="s">
        <v>17</v>
      </c>
      <c r="W28" s="771">
        <f>J28</f>
        <v>100</v>
      </c>
      <c r="X28" s="772"/>
      <c r="Y28" s="320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0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09"/>
      <c r="Z32" s="1817">
        <f t="shared" si="15"/>
        <v>111</v>
      </c>
      <c r="AA32" s="1814">
        <f t="shared" si="3"/>
        <v>1</v>
      </c>
      <c r="AB32" s="1814">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10" t="s">
        <v>2563</v>
      </c>
      <c r="Q33" s="1813" t="str">
        <f t="shared" si="11"/>
        <v>建筑类型</v>
      </c>
      <c r="R33" s="774" t="s">
        <v>17</v>
      </c>
      <c r="S33" s="775">
        <f t="shared" si="12"/>
        <v>100</v>
      </c>
      <c r="T33" s="774" t="s">
        <v>17</v>
      </c>
      <c r="U33" s="775">
        <f t="shared" si="13"/>
        <v>100</v>
      </c>
      <c r="V33" s="774" t="s">
        <v>17</v>
      </c>
      <c r="W33" s="775">
        <f t="shared" si="14"/>
        <v>100</v>
      </c>
      <c r="X33" s="1816"/>
      <c r="Y33" s="3213" t="s">
        <v>2563</v>
      </c>
      <c r="Z33" s="1817" t="str">
        <f t="shared" si="15"/>
        <v>建筑类型</v>
      </c>
      <c r="AA33" s="1814">
        <f t="shared" si="3"/>
        <v>1</v>
      </c>
      <c r="AB33" s="1814">
        <f t="shared" si="4"/>
        <v>1</v>
      </c>
      <c r="AC33" s="2679">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4" t="e">
        <f t="shared" si="3"/>
        <v>#N/A</v>
      </c>
      <c r="AB34" s="1814" t="e">
        <f t="shared" si="4"/>
        <v>#N/A</v>
      </c>
      <c r="AC34" s="2679"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1"/>
      <c r="Q35" s="1813" t="str">
        <f t="shared" si="11"/>
        <v>建筑结构</v>
      </c>
      <c r="R35" s="774" t="s">
        <v>17</v>
      </c>
      <c r="S35" s="775">
        <f t="shared" si="12"/>
        <v>100</v>
      </c>
      <c r="T35" s="774" t="s">
        <v>17</v>
      </c>
      <c r="U35" s="775">
        <f t="shared" si="13"/>
        <v>100</v>
      </c>
      <c r="V35" s="774" t="s">
        <v>17</v>
      </c>
      <c r="W35" s="775">
        <f t="shared" si="14"/>
        <v>100</v>
      </c>
      <c r="X35" s="1816"/>
      <c r="Y35" s="3213"/>
      <c r="Z35" s="1817" t="str">
        <f t="shared" si="15"/>
        <v>建筑结构</v>
      </c>
      <c r="AA35" s="1814">
        <f t="shared" si="3"/>
        <v>1</v>
      </c>
      <c r="AB35" s="1814">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1"/>
      <c r="Q36" s="1813" t="str">
        <f t="shared" si="11"/>
        <v>公共部分装修</v>
      </c>
      <c r="R36" s="774" t="s">
        <v>17</v>
      </c>
      <c r="S36" s="775">
        <f t="shared" si="12"/>
        <v>100</v>
      </c>
      <c r="T36" s="774" t="s">
        <v>17</v>
      </c>
      <c r="U36" s="775">
        <f t="shared" si="13"/>
        <v>100</v>
      </c>
      <c r="V36" s="774" t="s">
        <v>17</v>
      </c>
      <c r="W36" s="775">
        <f t="shared" si="14"/>
        <v>100</v>
      </c>
      <c r="X36" s="1816"/>
      <c r="Y36" s="3213"/>
      <c r="Z36" s="1817" t="str">
        <f t="shared" si="15"/>
        <v>公共部分装修</v>
      </c>
      <c r="AA36" s="1814">
        <f t="shared" si="3"/>
        <v>1</v>
      </c>
      <c r="AB36" s="1814">
        <f t="shared" si="4"/>
        <v>1</v>
      </c>
      <c r="AC36" s="2679">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1"/>
      <c r="Q37" s="1813" t="str">
        <f t="shared" si="11"/>
        <v>成新度</v>
      </c>
      <c r="R37" s="774" t="s">
        <v>17</v>
      </c>
      <c r="S37" s="775" t="e">
        <f t="shared" si="12"/>
        <v>#N/A</v>
      </c>
      <c r="T37" s="774" t="s">
        <v>17</v>
      </c>
      <c r="U37" s="775" t="e">
        <f t="shared" si="13"/>
        <v>#N/A</v>
      </c>
      <c r="V37" s="774" t="s">
        <v>17</v>
      </c>
      <c r="W37" s="775" t="e">
        <f t="shared" si="14"/>
        <v>#N/A</v>
      </c>
      <c r="X37" s="1816"/>
      <c r="Y37" s="3213"/>
      <c r="Z37" s="1817" t="str">
        <f t="shared" si="15"/>
        <v>成新度</v>
      </c>
      <c r="AA37" s="1814" t="e">
        <f t="shared" si="3"/>
        <v>#N/A</v>
      </c>
      <c r="AB37" s="1814" t="e">
        <f t="shared" si="4"/>
        <v>#N/A</v>
      </c>
      <c r="AC37" s="2679"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1"/>
      <c r="Q38" s="1798"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1" t="s">
        <v>2563</v>
      </c>
      <c r="Q39" s="1813" t="str">
        <f t="shared" si="11"/>
        <v>物业管理</v>
      </c>
      <c r="R39" s="774" t="s">
        <v>17</v>
      </c>
      <c r="S39" s="775">
        <f t="shared" si="12"/>
        <v>100</v>
      </c>
      <c r="T39" s="774" t="s">
        <v>17</v>
      </c>
      <c r="U39" s="775">
        <f t="shared" si="13"/>
        <v>100</v>
      </c>
      <c r="V39" s="774" t="s">
        <v>17</v>
      </c>
      <c r="W39" s="775">
        <f t="shared" si="14"/>
        <v>100</v>
      </c>
      <c r="X39" s="1816"/>
      <c r="Y39" s="3213" t="s">
        <v>2563</v>
      </c>
      <c r="Z39" s="1817" t="str">
        <f t="shared" si="15"/>
        <v>物业管理</v>
      </c>
      <c r="AA39" s="1814">
        <f t="shared" si="3"/>
        <v>1</v>
      </c>
      <c r="AB39" s="1814">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1"/>
      <c r="Q40" s="1813" t="str">
        <f t="shared" si="11"/>
        <v>市政基础设施</v>
      </c>
      <c r="R40" s="774" t="s">
        <v>17</v>
      </c>
      <c r="S40" s="775">
        <f t="shared" si="12"/>
        <v>100</v>
      </c>
      <c r="T40" s="774" t="s">
        <v>17</v>
      </c>
      <c r="U40" s="775">
        <f t="shared" si="13"/>
        <v>100</v>
      </c>
      <c r="V40" s="774" t="s">
        <v>17</v>
      </c>
      <c r="W40" s="775">
        <f t="shared" si="14"/>
        <v>100</v>
      </c>
      <c r="X40" s="1816"/>
      <c r="Y40" s="3213"/>
      <c r="Z40" s="1817" t="str">
        <f t="shared" si="15"/>
        <v>市政基础设施</v>
      </c>
      <c r="AA40" s="1814">
        <f t="shared" si="3"/>
        <v>1</v>
      </c>
      <c r="AB40" s="1814">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1"/>
      <c r="Q41" s="1813" t="str">
        <f t="shared" si="11"/>
        <v>层高</v>
      </c>
      <c r="R41" s="774" t="s">
        <v>17</v>
      </c>
      <c r="S41" s="775">
        <f t="shared" si="12"/>
        <v>100</v>
      </c>
      <c r="T41" s="774" t="s">
        <v>17</v>
      </c>
      <c r="U41" s="775">
        <f t="shared" si="13"/>
        <v>100</v>
      </c>
      <c r="V41" s="774" t="s">
        <v>17</v>
      </c>
      <c r="W41" s="775">
        <f t="shared" si="14"/>
        <v>100</v>
      </c>
      <c r="X41" s="1816"/>
      <c r="Y41" s="3213"/>
      <c r="Z41" s="1817" t="str">
        <f t="shared" si="15"/>
        <v>层高</v>
      </c>
      <c r="AA41" s="1814">
        <f t="shared" si="3"/>
        <v>1</v>
      </c>
      <c r="AB41" s="1814">
        <f t="shared" si="4"/>
        <v>1</v>
      </c>
      <c r="AC41" s="2679">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4">
        <f t="shared" si="3"/>
        <v>1</v>
      </c>
      <c r="AB42" s="1814">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1"/>
      <c r="Q43" s="1813" t="str">
        <f t="shared" si="11"/>
        <v>内部装修</v>
      </c>
      <c r="R43" s="774" t="s">
        <v>17</v>
      </c>
      <c r="S43" s="775">
        <f t="shared" si="12"/>
        <v>100</v>
      </c>
      <c r="T43" s="774" t="s">
        <v>17</v>
      </c>
      <c r="U43" s="775">
        <f t="shared" si="13"/>
        <v>100</v>
      </c>
      <c r="V43" s="774" t="s">
        <v>17</v>
      </c>
      <c r="W43" s="775">
        <f t="shared" si="14"/>
        <v>100</v>
      </c>
      <c r="X43" s="1816"/>
      <c r="Y43" s="3213"/>
      <c r="Z43" s="1817" t="str">
        <f t="shared" si="15"/>
        <v>内部装修</v>
      </c>
      <c r="AA43" s="1814">
        <f t="shared" si="3"/>
        <v>1</v>
      </c>
      <c r="AB43" s="1814">
        <f t="shared" si="4"/>
        <v>1</v>
      </c>
      <c r="AC43" s="2679">
        <f t="shared" si="5"/>
        <v>1</v>
      </c>
    </row>
    <row r="44" spans="1:29" ht="28.8">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11"/>
      <c r="Q44" s="1813" t="str">
        <f t="shared" si="11"/>
        <v>内部装修维护情况</v>
      </c>
      <c r="R44" s="774" t="s">
        <v>17</v>
      </c>
      <c r="S44" s="775">
        <f t="shared" si="12"/>
        <v>100</v>
      </c>
      <c r="T44" s="774" t="s">
        <v>17</v>
      </c>
      <c r="U44" s="775">
        <f t="shared" si="13"/>
        <v>100</v>
      </c>
      <c r="V44" s="774" t="s">
        <v>17</v>
      </c>
      <c r="W44" s="775">
        <f t="shared" si="14"/>
        <v>100</v>
      </c>
      <c r="X44" s="1816"/>
      <c r="Y44" s="321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1"/>
      <c r="Q45" s="1798">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2"/>
      <c r="Q47" s="1813">
        <f t="shared" si="11"/>
        <v>111</v>
      </c>
      <c r="R47" s="774" t="s">
        <v>17</v>
      </c>
      <c r="S47" s="775">
        <f t="shared" si="12"/>
        <v>100</v>
      </c>
      <c r="T47" s="774" t="s">
        <v>17</v>
      </c>
      <c r="U47" s="775">
        <f t="shared" si="13"/>
        <v>100</v>
      </c>
      <c r="V47" s="774" t="s">
        <v>17</v>
      </c>
      <c r="W47" s="775">
        <f t="shared" si="14"/>
        <v>100</v>
      </c>
      <c r="X47" s="1816"/>
      <c r="Y47" s="3214"/>
      <c r="Z47" s="1817">
        <f t="shared" si="15"/>
        <v>111</v>
      </c>
      <c r="AA47" s="1814">
        <f t="shared" si="3"/>
        <v>1</v>
      </c>
      <c r="AB47" s="1814">
        <f t="shared" si="4"/>
        <v>1</v>
      </c>
      <c r="AC47" s="2679">
        <f t="shared" si="5"/>
        <v>1</v>
      </c>
    </row>
    <row r="48" spans="1:29" ht="14.4">
      <c r="A48" s="479" t="s">
        <v>2575</v>
      </c>
      <c r="B48" s="480"/>
      <c r="C48" s="1410" t="s">
        <v>1</v>
      </c>
      <c r="D48" s="1411"/>
      <c r="E48" s="1412"/>
      <c r="F48" s="1413"/>
      <c r="G48" s="1414"/>
      <c r="H48" s="1415"/>
      <c r="I48" s="1412"/>
      <c r="J48" s="485"/>
      <c r="K48" s="783"/>
      <c r="L48" s="1146"/>
      <c r="M48" s="1134"/>
      <c r="N48" s="1134"/>
      <c r="O48" s="1134"/>
      <c r="P48" s="3188" t="str">
        <f>A48</f>
        <v>成交单价（元/平方米）</v>
      </c>
      <c r="Q48" s="3206"/>
      <c r="R48" s="3207">
        <f>E48</f>
        <v>0</v>
      </c>
      <c r="S48" s="3207"/>
      <c r="T48" s="3207">
        <f>G48</f>
        <v>0</v>
      </c>
      <c r="U48" s="3207"/>
      <c r="V48" s="3207">
        <f>I48</f>
        <v>0</v>
      </c>
      <c r="W48" s="3207"/>
      <c r="X48" s="446"/>
      <c r="Y48" s="781"/>
      <c r="Z48" s="446"/>
      <c r="AA48" s="446"/>
      <c r="AB48" s="446"/>
      <c r="AC48" s="630"/>
    </row>
    <row r="49" spans="1:29" ht="1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 thickBot="1">
      <c r="A50" s="492" t="s">
        <v>2668</v>
      </c>
      <c r="B50" s="493"/>
      <c r="C50" s="1420" t="e">
        <f>R50</f>
        <v>#DIV/0!</v>
      </c>
      <c r="D50" s="1420"/>
      <c r="E50" s="1420"/>
      <c r="F50" s="1420"/>
      <c r="G50" s="1420"/>
      <c r="H50" s="1420"/>
      <c r="I50" s="1420"/>
      <c r="J50" s="494"/>
      <c r="K50" s="785"/>
      <c r="L50" s="1146"/>
      <c r="M50" s="1134"/>
      <c r="N50" s="1134"/>
      <c r="O50" s="1134"/>
      <c r="P50" s="3229" t="str">
        <f>A50</f>
        <v>估价对象XX用房的比较价值（楼面单价，元/平方米）</v>
      </c>
      <c r="Q50" s="3230"/>
      <c r="R50" s="3231" t="e">
        <f>IF(F1="售价",ROUND(AVERAGE(R49:V49),0),ROUND(AVERAGE(R49:V49),1))</f>
        <v>#DIV/0!</v>
      </c>
      <c r="S50" s="3231"/>
      <c r="T50" s="3231"/>
      <c r="U50" s="3231"/>
      <c r="V50" s="3231"/>
      <c r="W50" s="323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2672</v>
      </c>
      <c r="B58" s="759"/>
      <c r="C58" s="764"/>
      <c r="D58" s="764"/>
      <c r="E58" s="764"/>
      <c r="F58" s="765"/>
      <c r="G58" s="765"/>
      <c r="H58" s="764"/>
      <c r="I58" s="764"/>
      <c r="J58" s="764"/>
      <c r="K58" s="766"/>
      <c r="L58" s="1164"/>
      <c r="M58" s="1162"/>
      <c r="N58" s="1162"/>
      <c r="O58" s="1162"/>
      <c r="P58" s="2686"/>
      <c r="Q58" s="504"/>
    </row>
    <row r="59" spans="1:29" s="508" customFormat="1" ht="14.4">
      <c r="A59" s="505" t="s">
        <v>2546</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c r="A60" s="509"/>
      <c r="B60" s="510"/>
      <c r="C60" s="1576">
        <v>100</v>
      </c>
      <c r="D60" s="512"/>
      <c r="E60" s="512"/>
      <c r="F60" s="512"/>
      <c r="G60" s="512"/>
      <c r="H60" s="512"/>
      <c r="I60" s="512"/>
      <c r="J60" s="512"/>
      <c r="K60" s="512"/>
      <c r="L60" s="512"/>
      <c r="M60" s="513"/>
      <c r="N60" s="512"/>
      <c r="O60" s="513"/>
      <c r="P60" s="2687"/>
    </row>
    <row r="61" spans="1:29" s="117" customFormat="1" ht="15" thickBot="1">
      <c r="A61" s="515" t="s">
        <v>2583</v>
      </c>
      <c r="B61" s="516"/>
      <c r="C61" s="517"/>
      <c r="D61" s="518"/>
      <c r="E61" s="518"/>
      <c r="F61" s="518"/>
      <c r="G61" s="518"/>
      <c r="H61" s="518"/>
      <c r="I61" s="518"/>
      <c r="J61" s="518"/>
      <c r="K61" s="518"/>
      <c r="L61" s="518"/>
      <c r="M61" s="519"/>
      <c r="N61" s="518"/>
      <c r="O61" s="519"/>
      <c r="P61" s="2687"/>
      <c r="Q61" s="504"/>
    </row>
    <row r="62" spans="1:29" s="117" customFormat="1" ht="14.4">
      <c r="A62" s="521" t="s">
        <v>2548</v>
      </c>
      <c r="B62" s="510"/>
      <c r="C62" s="522" t="s">
        <v>2650</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2586</v>
      </c>
      <c r="B64" s="528" t="s">
        <v>2552</v>
      </c>
      <c r="C64" s="529">
        <f>C9</f>
        <v>0</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c r="D69" s="549"/>
      <c r="E69" s="549"/>
      <c r="F69" s="549"/>
      <c r="G69" s="549"/>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2697</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2561</v>
      </c>
      <c r="B101" s="528" t="s">
        <v>2610</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2526</v>
      </c>
      <c r="B1" s="2674" t="s">
        <v>2700</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78054.290000000008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 thickBot="1">
      <c r="A7" s="408" t="s">
        <v>2546</v>
      </c>
      <c r="B7" s="409"/>
      <c r="C7" s="410">
        <f>'数据-取费表'!B2</f>
        <v>43556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69">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2558</v>
      </c>
      <c r="Q15" s="1813" t="str">
        <f t="shared" si="6"/>
        <v>产业集聚程度</v>
      </c>
      <c r="R15" s="774" t="s">
        <v>17</v>
      </c>
      <c r="S15" s="775">
        <f t="shared" si="0"/>
        <v>100</v>
      </c>
      <c r="T15" s="774" t="s">
        <v>17</v>
      </c>
      <c r="U15" s="775">
        <f t="shared" si="1"/>
        <v>100</v>
      </c>
      <c r="V15" s="774" t="s">
        <v>17</v>
      </c>
      <c r="W15" s="775">
        <f t="shared" si="2"/>
        <v>100</v>
      </c>
      <c r="X15" s="1816"/>
      <c r="Y15" s="3208"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9"/>
      <c r="Q16" s="1813"/>
      <c r="R16" s="774"/>
      <c r="S16" s="775"/>
      <c r="T16" s="774"/>
      <c r="U16" s="775"/>
      <c r="V16" s="774"/>
      <c r="W16" s="775"/>
      <c r="X16" s="1816"/>
      <c r="Y16" s="3209"/>
      <c r="Z16" s="1817"/>
      <c r="AA16" s="1814">
        <v>1</v>
      </c>
      <c r="AB16" s="1814">
        <v>1</v>
      </c>
      <c r="AC16" s="1814">
        <v>1</v>
      </c>
    </row>
    <row r="17" spans="1:29" ht="96.6">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09"/>
      <c r="Q18" s="1813"/>
      <c r="R18" s="774"/>
      <c r="S18" s="775"/>
      <c r="T18" s="774"/>
      <c r="U18" s="775"/>
      <c r="V18" s="774"/>
      <c r="W18" s="775"/>
      <c r="X18" s="1816"/>
      <c r="Y18" s="3209"/>
      <c r="Z18" s="1817"/>
      <c r="AA18" s="1814">
        <v>1</v>
      </c>
      <c r="AB18" s="1814">
        <v>1</v>
      </c>
      <c r="AC18" s="1814">
        <v>1</v>
      </c>
    </row>
    <row r="19" spans="1:29" ht="41.4">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09"/>
      <c r="Q20" s="1813"/>
      <c r="R20" s="774"/>
      <c r="S20" s="775"/>
      <c r="T20" s="774"/>
      <c r="U20" s="775"/>
      <c r="V20" s="774"/>
      <c r="W20" s="775"/>
      <c r="X20" s="1816"/>
      <c r="Y20" s="3209"/>
      <c r="Z20" s="1817"/>
      <c r="AA20" s="1814">
        <v>1</v>
      </c>
      <c r="AB20" s="1814">
        <v>1</v>
      </c>
      <c r="AC20" s="1814">
        <v>1</v>
      </c>
    </row>
    <row r="21" spans="1:29" ht="41.4">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09"/>
      <c r="Q22" s="1813"/>
      <c r="R22" s="774"/>
      <c r="S22" s="775"/>
      <c r="T22" s="774"/>
      <c r="U22" s="775"/>
      <c r="V22" s="774"/>
      <c r="W22" s="775"/>
      <c r="X22" s="1816"/>
      <c r="Y22" s="3209"/>
      <c r="Z22" s="1817"/>
      <c r="AA22" s="1814">
        <v>1</v>
      </c>
      <c r="AB22" s="1814">
        <v>1</v>
      </c>
      <c r="AC22" s="1814">
        <v>1</v>
      </c>
    </row>
    <row r="23" spans="1:29" ht="82.8">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09"/>
      <c r="Q24" s="1813"/>
      <c r="R24" s="774"/>
      <c r="S24" s="775"/>
      <c r="T24" s="774"/>
      <c r="U24" s="775"/>
      <c r="V24" s="774"/>
      <c r="W24" s="775"/>
      <c r="X24" s="1816"/>
      <c r="Y24" s="320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3">
        <f>B25</f>
        <v>111</v>
      </c>
      <c r="R25" s="774" t="s">
        <v>17</v>
      </c>
      <c r="S25" s="775">
        <f>F25</f>
        <v>100</v>
      </c>
      <c r="T25" s="774" t="s">
        <v>17</v>
      </c>
      <c r="U25" s="775">
        <f>H25</f>
        <v>100</v>
      </c>
      <c r="V25" s="774" t="s">
        <v>17</v>
      </c>
      <c r="W25" s="775">
        <f>J25</f>
        <v>100</v>
      </c>
      <c r="X25" s="1816"/>
      <c r="Y25" s="320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3">
        <f t="shared" ref="Q26:Q40" si="11">B26</f>
        <v>111</v>
      </c>
      <c r="R26" s="774" t="s">
        <v>17</v>
      </c>
      <c r="S26" s="775">
        <f>F26</f>
        <v>100</v>
      </c>
      <c r="T26" s="774" t="s">
        <v>17</v>
      </c>
      <c r="U26" s="775">
        <f>H26</f>
        <v>100</v>
      </c>
      <c r="V26" s="774" t="s">
        <v>17</v>
      </c>
      <c r="W26" s="775">
        <f>J26</f>
        <v>100</v>
      </c>
      <c r="X26" s="1816"/>
      <c r="Y26" s="320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8">
        <f t="shared" si="11"/>
        <v>111</v>
      </c>
      <c r="R27" s="770" t="s">
        <v>17</v>
      </c>
      <c r="S27" s="771">
        <f>F27</f>
        <v>100</v>
      </c>
      <c r="T27" s="770" t="s">
        <v>17</v>
      </c>
      <c r="U27" s="771">
        <f>H27</f>
        <v>100</v>
      </c>
      <c r="V27" s="770" t="s">
        <v>17</v>
      </c>
      <c r="W27" s="771">
        <f>J27</f>
        <v>100</v>
      </c>
      <c r="X27" s="772"/>
      <c r="Y27" s="3209"/>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3">
        <f t="shared" si="11"/>
        <v>111</v>
      </c>
      <c r="R28" s="774" t="s">
        <v>17</v>
      </c>
      <c r="S28" s="775">
        <f t="shared" ref="S28:S40" si="12">F28</f>
        <v>100</v>
      </c>
      <c r="T28" s="774" t="s">
        <v>17</v>
      </c>
      <c r="U28" s="775">
        <f t="shared" ref="U28:U40" si="13">H28</f>
        <v>100</v>
      </c>
      <c r="V28" s="774" t="s">
        <v>17</v>
      </c>
      <c r="W28" s="775">
        <f t="shared" ref="W28:W40" si="14">J28</f>
        <v>100</v>
      </c>
      <c r="X28" s="1816"/>
      <c r="Y28" s="3209"/>
      <c r="Z28" s="1817">
        <f t="shared" ref="Z28:Z40" si="15">Q28</f>
        <v>111</v>
      </c>
      <c r="AA28" s="1814">
        <f t="shared" si="3"/>
        <v>1</v>
      </c>
      <c r="AB28" s="1814">
        <f t="shared" si="4"/>
        <v>1</v>
      </c>
      <c r="AC28" s="1814">
        <f t="shared" si="5"/>
        <v>1</v>
      </c>
    </row>
    <row r="29" spans="1:29" ht="30">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32" t="s">
        <v>2563</v>
      </c>
      <c r="Q29" s="1813" t="str">
        <f t="shared" si="11"/>
        <v>建筑类型</v>
      </c>
      <c r="R29" s="774" t="s">
        <v>17</v>
      </c>
      <c r="S29" s="775">
        <f t="shared" si="12"/>
        <v>100</v>
      </c>
      <c r="T29" s="774" t="s">
        <v>17</v>
      </c>
      <c r="U29" s="775">
        <f t="shared" si="13"/>
        <v>100</v>
      </c>
      <c r="V29" s="774" t="s">
        <v>17</v>
      </c>
      <c r="W29" s="775">
        <f t="shared" si="14"/>
        <v>100</v>
      </c>
      <c r="X29" s="1816"/>
      <c r="Y29" s="3213"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3" t="str">
        <f t="shared" si="11"/>
        <v>建筑结构</v>
      </c>
      <c r="R31" s="774" t="s">
        <v>17</v>
      </c>
      <c r="S31" s="775">
        <f t="shared" si="12"/>
        <v>100</v>
      </c>
      <c r="T31" s="774" t="s">
        <v>17</v>
      </c>
      <c r="U31" s="775">
        <f t="shared" si="13"/>
        <v>100</v>
      </c>
      <c r="V31" s="774" t="s">
        <v>17</v>
      </c>
      <c r="W31" s="775">
        <f t="shared" si="14"/>
        <v>100</v>
      </c>
      <c r="X31" s="1816"/>
      <c r="Y31" s="3213"/>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3" t="str">
        <f t="shared" si="11"/>
        <v>公共部分装修</v>
      </c>
      <c r="R32" s="774" t="s">
        <v>17</v>
      </c>
      <c r="S32" s="775">
        <f t="shared" si="12"/>
        <v>100</v>
      </c>
      <c r="T32" s="774" t="s">
        <v>17</v>
      </c>
      <c r="U32" s="775">
        <f t="shared" si="13"/>
        <v>100</v>
      </c>
      <c r="V32" s="774" t="s">
        <v>17</v>
      </c>
      <c r="W32" s="775">
        <f t="shared" si="14"/>
        <v>100</v>
      </c>
      <c r="X32" s="1816"/>
      <c r="Y32" s="3213"/>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3" t="str">
        <f t="shared" si="11"/>
        <v>成新度</v>
      </c>
      <c r="R33" s="774" t="s">
        <v>17</v>
      </c>
      <c r="S33" s="775" t="e">
        <f t="shared" si="12"/>
        <v>#N/A</v>
      </c>
      <c r="T33" s="774" t="s">
        <v>17</v>
      </c>
      <c r="U33" s="775" t="e">
        <f t="shared" si="13"/>
        <v>#N/A</v>
      </c>
      <c r="V33" s="774" t="s">
        <v>17</v>
      </c>
      <c r="W33" s="775" t="e">
        <f t="shared" si="14"/>
        <v>#N/A</v>
      </c>
      <c r="X33" s="1816"/>
      <c r="Y33" s="3213"/>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8"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2563</v>
      </c>
      <c r="Q35" s="1813" t="str">
        <f t="shared" si="11"/>
        <v>市政基础设施</v>
      </c>
      <c r="R35" s="774" t="s">
        <v>17</v>
      </c>
      <c r="S35" s="775">
        <f t="shared" si="12"/>
        <v>100</v>
      </c>
      <c r="T35" s="774" t="s">
        <v>17</v>
      </c>
      <c r="U35" s="775">
        <f t="shared" si="13"/>
        <v>100</v>
      </c>
      <c r="V35" s="774" t="s">
        <v>17</v>
      </c>
      <c r="W35" s="775">
        <f t="shared" si="14"/>
        <v>100</v>
      </c>
      <c r="X35" s="1816"/>
      <c r="Y35" s="3213"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3" t="str">
        <f t="shared" si="11"/>
        <v>内部装修</v>
      </c>
      <c r="R36" s="774" t="s">
        <v>17</v>
      </c>
      <c r="S36" s="775">
        <f t="shared" si="12"/>
        <v>100</v>
      </c>
      <c r="T36" s="774" t="s">
        <v>17</v>
      </c>
      <c r="U36" s="775">
        <f t="shared" si="13"/>
        <v>100</v>
      </c>
      <c r="V36" s="774" t="s">
        <v>17</v>
      </c>
      <c r="W36" s="775">
        <f t="shared" si="14"/>
        <v>100</v>
      </c>
      <c r="X36" s="1816"/>
      <c r="Y36" s="3213"/>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3" t="str">
        <f t="shared" si="11"/>
        <v>内部装修状况</v>
      </c>
      <c r="R37" s="774" t="s">
        <v>17</v>
      </c>
      <c r="S37" s="775">
        <f t="shared" si="12"/>
        <v>100</v>
      </c>
      <c r="T37" s="774" t="s">
        <v>17</v>
      </c>
      <c r="U37" s="775">
        <f t="shared" si="13"/>
        <v>100</v>
      </c>
      <c r="V37" s="774" t="s">
        <v>17</v>
      </c>
      <c r="W37" s="775">
        <f t="shared" si="14"/>
        <v>100</v>
      </c>
      <c r="X37" s="1816"/>
      <c r="Y37" s="321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3">
        <f t="shared" si="11"/>
        <v>111</v>
      </c>
      <c r="R39" s="774" t="s">
        <v>17</v>
      </c>
      <c r="S39" s="775">
        <f t="shared" si="12"/>
        <v>100</v>
      </c>
      <c r="T39" s="774" t="s">
        <v>17</v>
      </c>
      <c r="U39" s="775">
        <f t="shared" si="13"/>
        <v>100</v>
      </c>
      <c r="V39" s="774" t="s">
        <v>17</v>
      </c>
      <c r="W39" s="775">
        <f t="shared" si="14"/>
        <v>100</v>
      </c>
      <c r="X39" s="1816"/>
      <c r="Y39" s="3213"/>
      <c r="Z39" s="1817">
        <f t="shared" si="15"/>
        <v>111</v>
      </c>
      <c r="AA39" s="1814">
        <f t="shared" si="3"/>
        <v>1</v>
      </c>
      <c r="AB39" s="1814">
        <f t="shared" si="4"/>
        <v>1</v>
      </c>
      <c r="AC39" s="1814">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4"/>
      <c r="Q40" s="1813">
        <f t="shared" si="11"/>
        <v>111</v>
      </c>
      <c r="R40" s="774" t="s">
        <v>17</v>
      </c>
      <c r="S40" s="775">
        <f t="shared" si="12"/>
        <v>100</v>
      </c>
      <c r="T40" s="774" t="s">
        <v>17</v>
      </c>
      <c r="U40" s="775">
        <f t="shared" si="13"/>
        <v>100</v>
      </c>
      <c r="V40" s="774" t="s">
        <v>17</v>
      </c>
      <c r="W40" s="775">
        <f t="shared" si="14"/>
        <v>100</v>
      </c>
      <c r="X40" s="1816"/>
      <c r="Y40" s="3214"/>
      <c r="Z40" s="1817">
        <f t="shared" si="15"/>
        <v>111</v>
      </c>
      <c r="AA40" s="1814">
        <f t="shared" si="3"/>
        <v>1</v>
      </c>
      <c r="AB40" s="1814">
        <f t="shared" si="4"/>
        <v>1</v>
      </c>
      <c r="AC40" s="1814">
        <f t="shared" si="5"/>
        <v>1</v>
      </c>
    </row>
    <row r="41" spans="1:29" ht="14.4">
      <c r="A41" s="479" t="s">
        <v>2575</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 thickBot="1">
      <c r="A43" s="492" t="s">
        <v>2668</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2672</v>
      </c>
      <c r="B51" s="759"/>
      <c r="C51" s="764"/>
      <c r="D51" s="764"/>
      <c r="E51" s="764"/>
      <c r="F51" s="765"/>
      <c r="G51" s="765"/>
      <c r="H51" s="764"/>
      <c r="I51" s="764"/>
      <c r="J51" s="764"/>
      <c r="K51" s="1163"/>
      <c r="L51" s="1164"/>
      <c r="M51" s="1162"/>
      <c r="N51" s="1162"/>
      <c r="O51" s="1162"/>
      <c r="P51" s="503"/>
      <c r="Q51" s="504"/>
    </row>
    <row r="52" spans="1:17" s="508" customFormat="1" ht="14.4">
      <c r="A52" s="505" t="s">
        <v>2546</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2586</v>
      </c>
      <c r="B57" s="528" t="s">
        <v>2552</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2561</v>
      </c>
      <c r="B88" s="528" t="s">
        <v>2610</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52.2">
      <c r="A4" s="1951" t="str">
        <f>"受贵公司委托，我公司对"&amp;项目基本情况!S1&amp;"进行了预评估。"</f>
        <v>受贵公司委托，我公司对浙江省嘉兴市海宁市尖山新区闻澜路南侧、静夜路西侧出让国有建设用地使用权及在建建筑物房地产抵押价值进行了预评估。</v>
      </c>
    </row>
    <row r="5" spans="1:1" ht="17.399999999999999">
      <c r="A5" s="1952" t="s">
        <v>1608</v>
      </c>
    </row>
    <row r="6" spans="1:1" ht="17.399999999999999">
      <c r="A6" s="1953" t="s">
        <v>1609</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嘉兴市海宁市尖山新区闻澜路南侧、静夜路西侧出让国有建设用地使用权及在建建筑物房地产，为所有。根据《国有土地使用证》[]，估价对象（分摊）出让国有建设用地使用权面积为40694平方米，建筑面积为78054.29平方米。</v>
      </c>
    </row>
    <row r="8" spans="1:1" ht="54.6">
      <c r="A8" s="1954" t="s">
        <v>1610</v>
      </c>
    </row>
    <row r="9" spans="1:1" ht="17.399999999999999">
      <c r="A9" s="1953" t="s">
        <v>1611</v>
      </c>
    </row>
    <row r="10" spans="1:1" ht="69.59999999999999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嘉兴市海宁市尖山新区闻澜路南侧、静夜路西侧出让国有建设用地使用权及在建建筑物房地产,属开发建设的，该项目尚在开发建设中。根据《国有土地使用证》[]，估价对象（分摊）出让国有建设用地使用权面积为40694平方米，规划建筑面积为78054.29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拟使用浙江省嘉兴市海宁市尖山新区闻澜路南侧、静夜路西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2019年4月1日（评估专业人员实地查勘之日）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1605</v>
      </c>
    </row>
    <row r="24" spans="1:1" ht="17.399999999999999">
      <c r="A24" s="1958" t="str">
        <f>"本次评估采用的主估价方法为"&amp;结果表!K4&amp;"和"&amp;结果表!L4&amp;"。"</f>
        <v>本次评估采用的主估价方法为成本法和假设开发法。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8" sqref="I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2705</v>
      </c>
      <c r="B1" s="1622"/>
      <c r="C1" s="1623" t="s">
        <v>2528</v>
      </c>
      <c r="D1" s="1624"/>
      <c r="E1" s="1625"/>
      <c r="F1" s="2589"/>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 thickBot="1">
      <c r="A7" s="408" t="s">
        <v>2546</v>
      </c>
      <c r="B7" s="409"/>
      <c r="C7" s="410">
        <f>'数据-取费表'!B2</f>
        <v>43556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4" t="s">
        <v>2547</v>
      </c>
      <c r="Q7" s="3202"/>
      <c r="R7" s="770" t="s">
        <v>17</v>
      </c>
      <c r="S7" s="771">
        <f t="shared" ref="S7:S14" si="0">F7</f>
        <v>0</v>
      </c>
      <c r="T7" s="770" t="s">
        <v>17</v>
      </c>
      <c r="U7" s="771">
        <f t="shared" ref="U7:U14" si="1">H7</f>
        <v>0</v>
      </c>
      <c r="V7" s="770" t="s">
        <v>17</v>
      </c>
      <c r="W7" s="771">
        <f t="shared" ref="W7:W14" si="2">J7</f>
        <v>0</v>
      </c>
      <c r="X7" s="772"/>
      <c r="Y7" s="3174" t="s">
        <v>2547</v>
      </c>
      <c r="Z7" s="3175"/>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2553</v>
      </c>
      <c r="Q9" s="1798" t="str">
        <f t="shared" ref="Q9:Q14" si="6">B9</f>
        <v>用途</v>
      </c>
      <c r="R9" s="770" t="s">
        <v>17</v>
      </c>
      <c r="S9" s="771">
        <f t="shared" si="0"/>
        <v>100</v>
      </c>
      <c r="T9" s="770" t="s">
        <v>17</v>
      </c>
      <c r="U9" s="771">
        <f t="shared" si="1"/>
        <v>100</v>
      </c>
      <c r="V9" s="770" t="s">
        <v>17</v>
      </c>
      <c r="W9" s="771">
        <f t="shared" si="2"/>
        <v>100</v>
      </c>
      <c r="X9" s="772"/>
      <c r="Y9" s="3021"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6.6">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8" t="s">
        <v>2558</v>
      </c>
      <c r="Q14" s="1813" t="str">
        <f t="shared" si="6"/>
        <v>交通便捷度</v>
      </c>
      <c r="R14" s="774" t="s">
        <v>17</v>
      </c>
      <c r="S14" s="775">
        <f t="shared" si="0"/>
        <v>100</v>
      </c>
      <c r="T14" s="774" t="s">
        <v>17</v>
      </c>
      <c r="U14" s="775">
        <f t="shared" si="1"/>
        <v>100</v>
      </c>
      <c r="V14" s="774" t="s">
        <v>17</v>
      </c>
      <c r="W14" s="775">
        <f t="shared" si="2"/>
        <v>100</v>
      </c>
      <c r="X14" s="1816"/>
      <c r="Y14" s="3208"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9"/>
      <c r="Q15" s="1813"/>
      <c r="R15" s="774"/>
      <c r="S15" s="775"/>
      <c r="T15" s="774"/>
      <c r="U15" s="775"/>
      <c r="V15" s="774"/>
      <c r="W15" s="775"/>
      <c r="X15" s="1816"/>
      <c r="Y15" s="3209"/>
      <c r="Z15" s="1817"/>
      <c r="AA15" s="1814">
        <v>1</v>
      </c>
      <c r="AB15" s="1814">
        <v>1</v>
      </c>
      <c r="AC15" s="1814">
        <v>1</v>
      </c>
    </row>
    <row r="16" spans="1:29" ht="41.4">
      <c r="A16" s="404"/>
      <c r="B16" s="631" t="s">
        <v>2686</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09"/>
      <c r="Q17" s="1813"/>
      <c r="R17" s="774"/>
      <c r="S17" s="775"/>
      <c r="T17" s="774"/>
      <c r="U17" s="775"/>
      <c r="V17" s="774"/>
      <c r="W17" s="775"/>
      <c r="X17" s="1816"/>
      <c r="Y17" s="3209"/>
      <c r="Z17" s="1817"/>
      <c r="AA17" s="1814">
        <v>1</v>
      </c>
      <c r="AB17" s="1814">
        <v>1</v>
      </c>
      <c r="AC17" s="1814">
        <v>1</v>
      </c>
    </row>
    <row r="18" spans="1:29" ht="41.4">
      <c r="A18" s="404"/>
      <c r="B18" s="633" t="s">
        <v>2687</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09"/>
      <c r="Q19" s="1813"/>
      <c r="R19" s="774"/>
      <c r="S19" s="775"/>
      <c r="T19" s="774"/>
      <c r="U19" s="775"/>
      <c r="V19" s="774"/>
      <c r="W19" s="775"/>
      <c r="X19" s="1816"/>
      <c r="Y19" s="3209"/>
      <c r="Z19" s="1817"/>
      <c r="AA19" s="1814">
        <v>1</v>
      </c>
      <c r="AB19" s="1814">
        <v>1</v>
      </c>
      <c r="AC19" s="1814">
        <v>1</v>
      </c>
    </row>
    <row r="20" spans="1:29" ht="55.2">
      <c r="A20" s="404"/>
      <c r="B20" s="631" t="s">
        <v>2708</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9"/>
      <c r="Q21" s="1813"/>
      <c r="R21" s="774"/>
      <c r="S21" s="775"/>
      <c r="T21" s="774"/>
      <c r="U21" s="775"/>
      <c r="V21" s="774"/>
      <c r="W21" s="775"/>
      <c r="X21" s="1816"/>
      <c r="Y21" s="3209"/>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3">
        <f t="shared" ref="Q24:Q36"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30">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2"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3"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3" t="str">
        <f t="shared" si="11"/>
        <v>公共部分装修</v>
      </c>
      <c r="R28" s="774" t="s">
        <v>17</v>
      </c>
      <c r="S28" s="775">
        <f t="shared" si="12"/>
        <v>100</v>
      </c>
      <c r="T28" s="774" t="s">
        <v>17</v>
      </c>
      <c r="U28" s="775">
        <f t="shared" si="13"/>
        <v>100</v>
      </c>
      <c r="V28" s="774" t="s">
        <v>17</v>
      </c>
      <c r="W28" s="775">
        <f t="shared" si="14"/>
        <v>100</v>
      </c>
      <c r="X28" s="1816"/>
      <c r="Y28" s="3213"/>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3" t="str">
        <f t="shared" si="11"/>
        <v>成新率</v>
      </c>
      <c r="R29" s="774" t="s">
        <v>17</v>
      </c>
      <c r="S29" s="775" t="e">
        <f t="shared" si="12"/>
        <v>#N/A</v>
      </c>
      <c r="T29" s="774" t="s">
        <v>17</v>
      </c>
      <c r="U29" s="775" t="e">
        <f t="shared" si="13"/>
        <v>#N/A</v>
      </c>
      <c r="V29" s="774" t="s">
        <v>17</v>
      </c>
      <c r="W29" s="775" t="e">
        <f t="shared" si="14"/>
        <v>#N/A</v>
      </c>
      <c r="X29" s="1816"/>
      <c r="Y29" s="3213"/>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3" t="str">
        <f t="shared" si="11"/>
        <v>物业等级</v>
      </c>
      <c r="R30" s="774" t="s">
        <v>17</v>
      </c>
      <c r="S30" s="775">
        <f t="shared" si="12"/>
        <v>100</v>
      </c>
      <c r="T30" s="774" t="s">
        <v>17</v>
      </c>
      <c r="U30" s="775">
        <f t="shared" si="13"/>
        <v>100</v>
      </c>
      <c r="V30" s="774" t="s">
        <v>17</v>
      </c>
      <c r="W30" s="775">
        <f t="shared" si="14"/>
        <v>100</v>
      </c>
      <c r="X30" s="1816"/>
      <c r="Y30" s="3213"/>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8"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2563</v>
      </c>
      <c r="Q32" s="1813" t="str">
        <f t="shared" si="11"/>
        <v>车位类型</v>
      </c>
      <c r="R32" s="774" t="s">
        <v>17</v>
      </c>
      <c r="S32" s="775">
        <f t="shared" si="12"/>
        <v>100</v>
      </c>
      <c r="T32" s="774" t="s">
        <v>17</v>
      </c>
      <c r="U32" s="775">
        <f t="shared" si="13"/>
        <v>100</v>
      </c>
      <c r="V32" s="774" t="s">
        <v>17</v>
      </c>
      <c r="W32" s="775">
        <f t="shared" si="14"/>
        <v>100</v>
      </c>
      <c r="X32" s="1816"/>
      <c r="Y32" s="3213"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3" t="str">
        <f t="shared" si="11"/>
        <v>是否直接入户</v>
      </c>
      <c r="R33" s="774" t="s">
        <v>17</v>
      </c>
      <c r="S33" s="775">
        <f t="shared" si="12"/>
        <v>100</v>
      </c>
      <c r="T33" s="774" t="s">
        <v>17</v>
      </c>
      <c r="U33" s="775">
        <f t="shared" si="13"/>
        <v>100</v>
      </c>
      <c r="V33" s="774" t="s">
        <v>17</v>
      </c>
      <c r="W33" s="775">
        <f t="shared" si="14"/>
        <v>100</v>
      </c>
      <c r="X33" s="1816"/>
      <c r="Y33" s="321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3">
        <f t="shared" si="11"/>
        <v>111</v>
      </c>
      <c r="R36" s="774" t="s">
        <v>17</v>
      </c>
      <c r="S36" s="775">
        <f t="shared" si="12"/>
        <v>100</v>
      </c>
      <c r="T36" s="774" t="s">
        <v>17</v>
      </c>
      <c r="U36" s="775">
        <f t="shared" si="13"/>
        <v>100</v>
      </c>
      <c r="V36" s="774" t="s">
        <v>17</v>
      </c>
      <c r="W36" s="775">
        <f t="shared" si="14"/>
        <v>100</v>
      </c>
      <c r="X36" s="1816"/>
      <c r="Y36" s="3213"/>
      <c r="Z36" s="1817">
        <f t="shared" si="15"/>
        <v>111</v>
      </c>
      <c r="AA36" s="1814">
        <f t="shared" si="3"/>
        <v>1</v>
      </c>
      <c r="AB36" s="1814">
        <f t="shared" si="4"/>
        <v>1</v>
      </c>
      <c r="AC36" s="1814">
        <f t="shared" si="5"/>
        <v>1</v>
      </c>
    </row>
    <row r="37" spans="1:29" ht="14.4">
      <c r="A37" s="479" t="s">
        <v>2718</v>
      </c>
      <c r="B37" s="2700" t="s">
        <v>2719</v>
      </c>
      <c r="C37" s="1410" t="s">
        <v>1</v>
      </c>
      <c r="D37" s="1411"/>
      <c r="E37" s="1412"/>
      <c r="F37" s="1413"/>
      <c r="G37" s="1414"/>
      <c r="H37" s="1415"/>
      <c r="I37" s="1412"/>
      <c r="J37" s="1415"/>
      <c r="K37" s="619"/>
      <c r="L37" s="1146"/>
      <c r="M37" s="1147"/>
      <c r="N37" s="1134"/>
      <c r="O37" s="1147"/>
      <c r="P37" s="3206" t="str">
        <f>A37</f>
        <v>成交单价</v>
      </c>
      <c r="Q37" s="3206"/>
      <c r="R37" s="3207">
        <f>E37</f>
        <v>0</v>
      </c>
      <c r="S37" s="3207"/>
      <c r="T37" s="3207">
        <f>G37</f>
        <v>0</v>
      </c>
      <c r="U37" s="3207"/>
      <c r="V37" s="3207">
        <f>I37</f>
        <v>0</v>
      </c>
      <c r="W37" s="3207"/>
      <c r="X37" s="759"/>
      <c r="Y37" s="781"/>
      <c r="Z37" s="759"/>
      <c r="AA37" s="759"/>
      <c r="AB37" s="759"/>
      <c r="AC37" s="759"/>
    </row>
    <row r="38" spans="1:29" ht="1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 thickBot="1">
      <c r="A39" s="492" t="s">
        <v>2721</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2726</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8" sqref="I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2705</v>
      </c>
      <c r="B1" s="1622"/>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 thickBot="1">
      <c r="A7" s="408" t="s">
        <v>2546</v>
      </c>
      <c r="B7" s="409"/>
      <c r="C7" s="410">
        <f>'数据-取费表'!B2</f>
        <v>43556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4" t="s">
        <v>2547</v>
      </c>
      <c r="Q7" s="3202"/>
      <c r="R7" s="770" t="s">
        <v>17</v>
      </c>
      <c r="S7" s="771">
        <f t="shared" ref="S7:S14" si="0">F7</f>
        <v>0</v>
      </c>
      <c r="T7" s="770" t="s">
        <v>17</v>
      </c>
      <c r="U7" s="771">
        <f t="shared" ref="U7:U14" si="1">H7</f>
        <v>0</v>
      </c>
      <c r="V7" s="770" t="s">
        <v>17</v>
      </c>
      <c r="W7" s="771">
        <f t="shared" ref="W7:W14" si="2">J7</f>
        <v>0</v>
      </c>
      <c r="X7" s="772"/>
      <c r="Y7" s="3174" t="s">
        <v>2547</v>
      </c>
      <c r="Z7" s="3175"/>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2553</v>
      </c>
      <c r="Q9" s="1798" t="str">
        <f t="shared" ref="Q9:Q14" si="6">B9</f>
        <v>用途</v>
      </c>
      <c r="R9" s="770" t="s">
        <v>17</v>
      </c>
      <c r="S9" s="771">
        <f t="shared" si="0"/>
        <v>100</v>
      </c>
      <c r="T9" s="770" t="s">
        <v>17</v>
      </c>
      <c r="U9" s="771">
        <f t="shared" si="1"/>
        <v>100</v>
      </c>
      <c r="V9" s="770" t="s">
        <v>17</v>
      </c>
      <c r="W9" s="771">
        <f t="shared" si="2"/>
        <v>100</v>
      </c>
      <c r="X9" s="772"/>
      <c r="Y9" s="3021"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6.6">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2558</v>
      </c>
      <c r="Q14" s="1813" t="str">
        <f t="shared" si="6"/>
        <v>交通便捷度</v>
      </c>
      <c r="R14" s="774" t="s">
        <v>17</v>
      </c>
      <c r="S14" s="775">
        <f t="shared" si="0"/>
        <v>100</v>
      </c>
      <c r="T14" s="774" t="s">
        <v>17</v>
      </c>
      <c r="U14" s="775">
        <f t="shared" si="1"/>
        <v>100</v>
      </c>
      <c r="V14" s="774" t="s">
        <v>17</v>
      </c>
      <c r="W14" s="775">
        <f t="shared" si="2"/>
        <v>100</v>
      </c>
      <c r="X14" s="1816"/>
      <c r="Y14" s="3208"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9"/>
      <c r="Q15" s="1813"/>
      <c r="R15" s="774"/>
      <c r="S15" s="775"/>
      <c r="T15" s="774"/>
      <c r="U15" s="775"/>
      <c r="V15" s="774"/>
      <c r="W15" s="775"/>
      <c r="X15" s="1816"/>
      <c r="Y15" s="3209"/>
      <c r="Z15" s="1817"/>
      <c r="AA15" s="1814">
        <v>1</v>
      </c>
      <c r="AB15" s="1814">
        <v>1</v>
      </c>
      <c r="AC15" s="1814">
        <v>1</v>
      </c>
    </row>
    <row r="16" spans="1:29" ht="41.4">
      <c r="A16" s="428"/>
      <c r="B16" s="451" t="s">
        <v>2686</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09"/>
      <c r="Q17" s="1813"/>
      <c r="R17" s="774"/>
      <c r="S17" s="775"/>
      <c r="T17" s="774"/>
      <c r="U17" s="775"/>
      <c r="V17" s="774"/>
      <c r="W17" s="775"/>
      <c r="X17" s="1816"/>
      <c r="Y17" s="3209"/>
      <c r="Z17" s="1817"/>
      <c r="AA17" s="1814">
        <v>1</v>
      </c>
      <c r="AB17" s="1814">
        <v>1</v>
      </c>
      <c r="AC17" s="1814">
        <v>1</v>
      </c>
    </row>
    <row r="18" spans="1:29" ht="41.4">
      <c r="A18" s="428"/>
      <c r="B18" s="1387" t="s">
        <v>2687</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09"/>
      <c r="Q19" s="1813"/>
      <c r="R19" s="774"/>
      <c r="S19" s="775"/>
      <c r="T19" s="774"/>
      <c r="U19" s="775"/>
      <c r="V19" s="774"/>
      <c r="W19" s="775"/>
      <c r="X19" s="1816"/>
      <c r="Y19" s="3209"/>
      <c r="Z19" s="1817"/>
      <c r="AA19" s="1814">
        <v>1</v>
      </c>
      <c r="AB19" s="1814">
        <v>1</v>
      </c>
      <c r="AC19" s="1814">
        <v>1</v>
      </c>
    </row>
    <row r="20" spans="1:29" ht="55.2">
      <c r="A20" s="428"/>
      <c r="B20" s="451" t="s">
        <v>2708</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9"/>
      <c r="Q21" s="1813"/>
      <c r="R21" s="774"/>
      <c r="S21" s="775"/>
      <c r="T21" s="774"/>
      <c r="U21" s="775"/>
      <c r="V21" s="774"/>
      <c r="W21" s="775"/>
      <c r="X21" s="1816"/>
      <c r="Y21" s="3209"/>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3">
        <f t="shared" ref="Q24:Q34"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30">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32"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3"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3" t="str">
        <f t="shared" si="11"/>
        <v>物业等级</v>
      </c>
      <c r="R28" s="774" t="s">
        <v>17</v>
      </c>
      <c r="S28" s="775">
        <f t="shared" si="12"/>
        <v>100</v>
      </c>
      <c r="T28" s="774" t="s">
        <v>17</v>
      </c>
      <c r="U28" s="775">
        <f t="shared" si="13"/>
        <v>100</v>
      </c>
      <c r="V28" s="774" t="s">
        <v>17</v>
      </c>
      <c r="W28" s="775">
        <f t="shared" si="14"/>
        <v>100</v>
      </c>
      <c r="X28" s="1816"/>
      <c r="Y28" s="3213"/>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3" t="str">
        <f t="shared" si="11"/>
        <v>有无电梯</v>
      </c>
      <c r="R29" s="774" t="s">
        <v>17</v>
      </c>
      <c r="S29" s="775">
        <f t="shared" si="12"/>
        <v>100</v>
      </c>
      <c r="T29" s="774" t="s">
        <v>17</v>
      </c>
      <c r="U29" s="775">
        <f t="shared" si="13"/>
        <v>100</v>
      </c>
      <c r="V29" s="774" t="s">
        <v>17</v>
      </c>
      <c r="W29" s="775">
        <f t="shared" si="14"/>
        <v>100</v>
      </c>
      <c r="X29" s="1816"/>
      <c r="Y29" s="3213"/>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3" t="str">
        <f t="shared" si="11"/>
        <v>建筑面积</v>
      </c>
      <c r="R30" s="774" t="s">
        <v>17</v>
      </c>
      <c r="S30" s="775" t="e">
        <f t="shared" si="12"/>
        <v>#N/A</v>
      </c>
      <c r="T30" s="774" t="s">
        <v>17</v>
      </c>
      <c r="U30" s="775" t="e">
        <f t="shared" si="13"/>
        <v>#N/A</v>
      </c>
      <c r="V30" s="774" t="s">
        <v>17</v>
      </c>
      <c r="W30" s="775" t="e">
        <f t="shared" si="14"/>
        <v>#N/A</v>
      </c>
      <c r="X30" s="1816"/>
      <c r="Y30" s="3213"/>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8"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2563</v>
      </c>
      <c r="Q32" s="1813">
        <f t="shared" si="11"/>
        <v>111</v>
      </c>
      <c r="R32" s="774" t="s">
        <v>17</v>
      </c>
      <c r="S32" s="775">
        <f t="shared" si="12"/>
        <v>100</v>
      </c>
      <c r="T32" s="774" t="s">
        <v>17</v>
      </c>
      <c r="U32" s="775">
        <f t="shared" si="13"/>
        <v>100</v>
      </c>
      <c r="V32" s="774" t="s">
        <v>17</v>
      </c>
      <c r="W32" s="775">
        <f t="shared" si="14"/>
        <v>100</v>
      </c>
      <c r="X32" s="1816"/>
      <c r="Y32" s="3213" t="s">
        <v>2563</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3">
        <f t="shared" si="11"/>
        <v>111</v>
      </c>
      <c r="R33" s="774" t="s">
        <v>17</v>
      </c>
      <c r="S33" s="775">
        <f t="shared" si="12"/>
        <v>100</v>
      </c>
      <c r="T33" s="774" t="s">
        <v>17</v>
      </c>
      <c r="U33" s="775">
        <f t="shared" si="13"/>
        <v>100</v>
      </c>
      <c r="V33" s="774" t="s">
        <v>17</v>
      </c>
      <c r="W33" s="775">
        <f t="shared" si="14"/>
        <v>100</v>
      </c>
      <c r="X33" s="1816"/>
      <c r="Y33" s="3213"/>
      <c r="Z33" s="1817">
        <f t="shared" si="15"/>
        <v>111</v>
      </c>
      <c r="AA33" s="1814">
        <f t="shared" si="3"/>
        <v>1</v>
      </c>
      <c r="AB33" s="1814">
        <f t="shared" si="4"/>
        <v>1</v>
      </c>
      <c r="AC33" s="1814">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ht="14.4">
      <c r="A35" s="479" t="s">
        <v>2575</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 thickBot="1">
      <c r="A37" s="492" t="s">
        <v>2668</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2586</v>
      </c>
      <c r="B51" s="528" t="s">
        <v>2552</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2727</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A29" workbookViewId="0">
      <selection activeCell="G56" sqref="G56"/>
    </sheetView>
  </sheetViews>
  <sheetFormatPr defaultRowHeight="14.4"/>
  <cols>
    <col min="1" max="1" width="45" style="1638" customWidth="1"/>
    <col min="2" max="2" width="7.109375" style="1638" customWidth="1"/>
    <col min="3" max="3" width="13.33203125" style="1638" customWidth="1"/>
    <col min="4" max="4" width="7.109375" style="1638" customWidth="1"/>
    <col min="5" max="5" width="5.21875" style="1638" customWidth="1"/>
    <col min="6" max="6" width="45" style="1638" customWidth="1"/>
    <col min="7" max="7" width="9" style="1638" customWidth="1"/>
    <col min="8" max="8" width="13.88671875" style="1638" customWidth="1"/>
    <col min="9" max="9" width="12.88671875" style="1638" customWidth="1"/>
    <col min="10" max="11" width="15.88671875" style="1638" customWidth="1"/>
    <col min="12" max="12" width="14.21875" style="1638" customWidth="1"/>
    <col min="13" max="15" width="9" style="1638" hidden="1" customWidth="1"/>
    <col min="16" max="16" width="11" style="1638" hidden="1" customWidth="1"/>
    <col min="17" max="18" width="17.77734375" style="1638" hidden="1" customWidth="1"/>
    <col min="19" max="19" width="14.77734375" style="1638" hidden="1" customWidth="1"/>
    <col min="20" max="21" width="12.88671875" style="1638" hidden="1" customWidth="1"/>
    <col min="22" max="22" width="20.33203125" style="1638" hidden="1" customWidth="1"/>
    <col min="23" max="23" width="9" style="1638" hidden="1" customWidth="1"/>
    <col min="24" max="25" width="10.21875" style="1638" hidden="1" customWidth="1"/>
    <col min="26" max="26" width="3.44140625" style="1638" hidden="1" customWidth="1"/>
    <col min="27" max="27" width="10.21875" style="1638" customWidth="1"/>
    <col min="28" max="28" width="23.88671875" style="1638" hidden="1" customWidth="1"/>
    <col min="29" max="29" width="9" style="1638" hidden="1" customWidth="1"/>
    <col min="30" max="30" width="33.6640625" style="1638" hidden="1" customWidth="1"/>
    <col min="31" max="33" width="12.109375" style="1638" hidden="1" customWidth="1"/>
    <col min="34" max="35" width="18.21875" style="1638" hidden="1" customWidth="1"/>
    <col min="36" max="36" width="16.33203125" style="1638" hidden="1" customWidth="1"/>
    <col min="37" max="37" width="16.33203125" style="1638" customWidth="1"/>
    <col min="38" max="39" width="25" style="1638" hidden="1" customWidth="1"/>
    <col min="40" max="40" width="7.109375" style="1638" customWidth="1"/>
    <col min="41" max="41" width="9" style="1638" customWidth="1"/>
    <col min="42" max="42" width="19.21875" style="1638" customWidth="1"/>
    <col min="43" max="44" width="23" style="1638" customWidth="1"/>
    <col min="45" max="45" width="9" style="1638" customWidth="1"/>
    <col min="46" max="16384" width="8.88671875" style="1638"/>
  </cols>
  <sheetData>
    <row r="1" spans="1:45">
      <c r="A1" s="1638" t="s">
        <v>3415</v>
      </c>
      <c r="B1" s="1638" t="s">
        <v>3414</v>
      </c>
      <c r="C1" s="1638" t="s">
        <v>3413</v>
      </c>
      <c r="D1" s="1638" t="s">
        <v>3412</v>
      </c>
      <c r="E1" s="1638" t="s">
        <v>3411</v>
      </c>
      <c r="F1" s="1638" t="s">
        <v>3410</v>
      </c>
      <c r="G1" s="1638" t="s">
        <v>3409</v>
      </c>
      <c r="H1" s="1638" t="s">
        <v>3408</v>
      </c>
      <c r="I1" s="1638" t="s">
        <v>3407</v>
      </c>
      <c r="J1" s="1638" t="s">
        <v>3406</v>
      </c>
      <c r="K1" s="1638" t="s">
        <v>3405</v>
      </c>
      <c r="L1" s="1638" t="s">
        <v>3404</v>
      </c>
      <c r="M1" s="1638" t="s">
        <v>3403</v>
      </c>
      <c r="N1" s="1638" t="s">
        <v>3402</v>
      </c>
      <c r="O1" s="1638" t="s">
        <v>3401</v>
      </c>
      <c r="P1" s="1638" t="s">
        <v>3400</v>
      </c>
      <c r="Q1" s="1638" t="s">
        <v>3399</v>
      </c>
      <c r="R1" s="1638" t="s">
        <v>3398</v>
      </c>
      <c r="S1" s="1638" t="s">
        <v>3397</v>
      </c>
      <c r="T1" s="1638" t="s">
        <v>3396</v>
      </c>
      <c r="U1" s="1638" t="s">
        <v>3395</v>
      </c>
      <c r="V1" s="1638" t="s">
        <v>3394</v>
      </c>
      <c r="W1" s="1638" t="s">
        <v>3393</v>
      </c>
      <c r="X1" s="1638" t="s">
        <v>3392</v>
      </c>
      <c r="Y1" s="1638" t="s">
        <v>3391</v>
      </c>
      <c r="Z1" s="1638" t="s">
        <v>3390</v>
      </c>
      <c r="AA1" s="1638" t="s">
        <v>3389</v>
      </c>
      <c r="AB1" s="1638" t="s">
        <v>3388</v>
      </c>
      <c r="AC1" s="1638" t="s">
        <v>3387</v>
      </c>
      <c r="AD1" s="1638" t="s">
        <v>3386</v>
      </c>
      <c r="AE1" s="1638" t="s">
        <v>3385</v>
      </c>
      <c r="AF1" s="1638" t="s">
        <v>3384</v>
      </c>
      <c r="AG1" s="1638" t="s">
        <v>3383</v>
      </c>
      <c r="AH1" s="1638" t="s">
        <v>3382</v>
      </c>
      <c r="AI1" s="1638" t="s">
        <v>3381</v>
      </c>
      <c r="AJ1" s="1638" t="s">
        <v>3380</v>
      </c>
      <c r="AK1" s="1638" t="s">
        <v>3379</v>
      </c>
      <c r="AL1" s="1638" t="s">
        <v>3378</v>
      </c>
      <c r="AM1" s="1638" t="s">
        <v>3377</v>
      </c>
      <c r="AN1" s="1638" t="s">
        <v>3376</v>
      </c>
      <c r="AO1" s="1638" t="s">
        <v>3375</v>
      </c>
      <c r="AP1" s="1638" t="s">
        <v>3374</v>
      </c>
      <c r="AQ1" s="1638" t="s">
        <v>3373</v>
      </c>
      <c r="AR1" s="1638" t="s">
        <v>3372</v>
      </c>
      <c r="AS1" s="1638" t="s">
        <v>3371</v>
      </c>
    </row>
    <row r="2" spans="1:45">
      <c r="A2" s="1638" t="s">
        <v>3370</v>
      </c>
      <c r="B2" s="1638" t="s">
        <v>3076</v>
      </c>
      <c r="C2" s="1638" t="s">
        <v>3075</v>
      </c>
      <c r="D2" s="1638" t="s">
        <v>3074</v>
      </c>
      <c r="E2" s="1638" t="s">
        <v>1327</v>
      </c>
      <c r="F2" s="1638" t="s">
        <v>3370</v>
      </c>
      <c r="G2" s="1638" t="s">
        <v>3072</v>
      </c>
      <c r="H2" s="1638" t="s">
        <v>3369</v>
      </c>
      <c r="I2" s="1638" t="s">
        <v>3070</v>
      </c>
      <c r="J2" s="1638">
        <v>42279</v>
      </c>
      <c r="K2" s="1638">
        <v>101469.6</v>
      </c>
      <c r="L2" s="1638" t="s">
        <v>3368</v>
      </c>
      <c r="M2" s="1638" t="s">
        <v>1327</v>
      </c>
      <c r="N2" s="1638" t="s">
        <v>3094</v>
      </c>
      <c r="O2" s="1638" t="s">
        <v>1327</v>
      </c>
      <c r="P2" s="1638" t="s">
        <v>1327</v>
      </c>
      <c r="Q2" s="1638" t="s">
        <v>1327</v>
      </c>
      <c r="R2" s="1638" t="s">
        <v>1327</v>
      </c>
      <c r="S2" s="1638" t="s">
        <v>1327</v>
      </c>
      <c r="T2" s="1638" t="s">
        <v>1327</v>
      </c>
      <c r="U2" s="1638" t="s">
        <v>1327</v>
      </c>
      <c r="V2" s="1638" t="s">
        <v>1327</v>
      </c>
      <c r="W2" s="1638" t="s">
        <v>3297</v>
      </c>
      <c r="X2" s="1638" t="s">
        <v>3358</v>
      </c>
      <c r="Y2" s="1638" t="s">
        <v>3357</v>
      </c>
      <c r="Z2" s="1638" t="s">
        <v>3356</v>
      </c>
      <c r="AA2" s="1638" t="s">
        <v>3356</v>
      </c>
      <c r="AB2" s="1638" t="s">
        <v>3367</v>
      </c>
      <c r="AC2" s="1638" t="s">
        <v>3062</v>
      </c>
      <c r="AD2" s="1638" t="s">
        <v>3207</v>
      </c>
      <c r="AE2" s="1638">
        <v>1250</v>
      </c>
      <c r="AF2" s="1638">
        <v>6210</v>
      </c>
      <c r="AG2" s="1638">
        <v>6210</v>
      </c>
      <c r="AH2" s="1638">
        <v>97.92</v>
      </c>
      <c r="AI2" s="1638">
        <v>97.92</v>
      </c>
      <c r="AJ2" s="1638">
        <v>612</v>
      </c>
      <c r="AK2" s="1638">
        <v>612</v>
      </c>
      <c r="AL2" s="1638" t="s">
        <v>1327</v>
      </c>
      <c r="AM2" s="1638" t="s">
        <v>1327</v>
      </c>
      <c r="AN2" s="1638">
        <v>0</v>
      </c>
      <c r="AO2" s="1638" t="s">
        <v>3060</v>
      </c>
      <c r="AP2" s="1638" t="s">
        <v>1327</v>
      </c>
      <c r="AQ2" s="1638" t="s">
        <v>1327</v>
      </c>
      <c r="AR2" s="1638" t="s">
        <v>1327</v>
      </c>
      <c r="AS2" s="1638" t="s">
        <v>3106</v>
      </c>
    </row>
    <row r="3" spans="1:45" hidden="1">
      <c r="A3" s="1638" t="s">
        <v>3366</v>
      </c>
      <c r="B3" s="1638" t="s">
        <v>3076</v>
      </c>
      <c r="C3" s="1638" t="s">
        <v>3075</v>
      </c>
      <c r="D3" s="1638" t="s">
        <v>3074</v>
      </c>
      <c r="E3" s="1638" t="s">
        <v>1327</v>
      </c>
      <c r="F3" s="1638" t="s">
        <v>3366</v>
      </c>
      <c r="G3" s="1638" t="s">
        <v>3072</v>
      </c>
      <c r="H3" s="1638" t="s">
        <v>3365</v>
      </c>
      <c r="I3" s="1638" t="s">
        <v>3364</v>
      </c>
      <c r="J3" s="1638">
        <v>19313</v>
      </c>
      <c r="K3" s="1638">
        <v>13519.1</v>
      </c>
      <c r="L3" s="1638" t="s">
        <v>3363</v>
      </c>
      <c r="M3" s="1638" t="s">
        <v>1327</v>
      </c>
      <c r="N3" s="1638" t="s">
        <v>1327</v>
      </c>
      <c r="O3" s="1638" t="s">
        <v>1327</v>
      </c>
      <c r="P3" s="1638" t="s">
        <v>1327</v>
      </c>
      <c r="Q3" s="1638" t="s">
        <v>1327</v>
      </c>
      <c r="R3" s="1638" t="s">
        <v>1327</v>
      </c>
      <c r="S3" s="1638" t="s">
        <v>1327</v>
      </c>
      <c r="T3" s="1638" t="s">
        <v>1327</v>
      </c>
      <c r="U3" s="1638" t="s">
        <v>1327</v>
      </c>
      <c r="V3" s="1638" t="s">
        <v>1327</v>
      </c>
      <c r="W3" s="1638" t="s">
        <v>3297</v>
      </c>
      <c r="X3" s="1638" t="s">
        <v>3358</v>
      </c>
      <c r="Y3" s="1638" t="s">
        <v>3357</v>
      </c>
      <c r="Z3" s="1638" t="s">
        <v>3356</v>
      </c>
      <c r="AA3" s="1638" t="s">
        <v>3356</v>
      </c>
      <c r="AB3" s="1638" t="s">
        <v>3362</v>
      </c>
      <c r="AC3" s="1638" t="s">
        <v>3062</v>
      </c>
      <c r="AD3" s="1638" t="s">
        <v>3361</v>
      </c>
      <c r="AE3" s="1638">
        <v>180</v>
      </c>
      <c r="AF3" s="1638">
        <v>890</v>
      </c>
      <c r="AG3" s="1638">
        <v>890</v>
      </c>
      <c r="AH3" s="1638">
        <v>30.72</v>
      </c>
      <c r="AI3" s="1638">
        <v>30.72</v>
      </c>
      <c r="AJ3" s="1638">
        <v>658.32</v>
      </c>
      <c r="AK3" s="1638">
        <v>658.33</v>
      </c>
      <c r="AL3" s="1638" t="s">
        <v>1327</v>
      </c>
      <c r="AM3" s="1638" t="s">
        <v>1327</v>
      </c>
      <c r="AN3" s="1638">
        <v>0</v>
      </c>
      <c r="AO3" s="1638" t="s">
        <v>3060</v>
      </c>
      <c r="AP3" s="1638" t="s">
        <v>1327</v>
      </c>
      <c r="AQ3" s="1638" t="s">
        <v>1327</v>
      </c>
      <c r="AR3" s="1638" t="s">
        <v>1327</v>
      </c>
      <c r="AS3" s="1638" t="s">
        <v>3091</v>
      </c>
    </row>
    <row r="4" spans="1:45">
      <c r="A4" s="1638" t="s">
        <v>3360</v>
      </c>
      <c r="B4" s="1638" t="s">
        <v>3076</v>
      </c>
      <c r="C4" s="1638" t="s">
        <v>3075</v>
      </c>
      <c r="D4" s="1638" t="s">
        <v>3074</v>
      </c>
      <c r="E4" s="1638" t="s">
        <v>1327</v>
      </c>
      <c r="F4" s="1638" t="s">
        <v>3360</v>
      </c>
      <c r="G4" s="1638" t="s">
        <v>3072</v>
      </c>
      <c r="H4" s="1638" t="s">
        <v>3359</v>
      </c>
      <c r="I4" s="1638" t="s">
        <v>3070</v>
      </c>
      <c r="J4" s="1638">
        <v>75462</v>
      </c>
      <c r="K4" s="1638">
        <v>105646.8</v>
      </c>
      <c r="L4" s="1638" t="s">
        <v>3257</v>
      </c>
      <c r="M4" s="1638" t="s">
        <v>1327</v>
      </c>
      <c r="N4" s="1638" t="s">
        <v>3068</v>
      </c>
      <c r="O4" s="1638" t="s">
        <v>1327</v>
      </c>
      <c r="P4" s="1638" t="s">
        <v>1327</v>
      </c>
      <c r="Q4" s="1638" t="s">
        <v>1327</v>
      </c>
      <c r="R4" s="1638" t="s">
        <v>1327</v>
      </c>
      <c r="S4" s="1638" t="s">
        <v>1327</v>
      </c>
      <c r="T4" s="1638" t="s">
        <v>1327</v>
      </c>
      <c r="U4" s="1638" t="s">
        <v>1327</v>
      </c>
      <c r="V4" s="1638" t="s">
        <v>1327</v>
      </c>
      <c r="W4" s="1638" t="s">
        <v>3297</v>
      </c>
      <c r="X4" s="1638" t="s">
        <v>3358</v>
      </c>
      <c r="Y4" s="1638" t="s">
        <v>3357</v>
      </c>
      <c r="Z4" s="1638" t="s">
        <v>3356</v>
      </c>
      <c r="AA4" s="1638" t="s">
        <v>3356</v>
      </c>
      <c r="AB4" s="1638" t="s">
        <v>3355</v>
      </c>
      <c r="AC4" s="1638" t="s">
        <v>3062</v>
      </c>
      <c r="AD4" s="1638" t="s">
        <v>3207</v>
      </c>
      <c r="AE4" s="1638">
        <v>3230</v>
      </c>
      <c r="AF4" s="1638">
        <v>16125</v>
      </c>
      <c r="AG4" s="1638">
        <v>16125</v>
      </c>
      <c r="AH4" s="1638">
        <v>142.46</v>
      </c>
      <c r="AI4" s="1638">
        <v>142.46</v>
      </c>
      <c r="AJ4" s="1638">
        <v>1526.31</v>
      </c>
      <c r="AK4" s="1638">
        <v>1526.3</v>
      </c>
      <c r="AL4" s="1638" t="s">
        <v>1327</v>
      </c>
      <c r="AM4" s="1638" t="s">
        <v>1327</v>
      </c>
      <c r="AN4" s="1638">
        <v>0</v>
      </c>
      <c r="AO4" s="1638" t="s">
        <v>3354</v>
      </c>
      <c r="AP4" s="1638" t="s">
        <v>1327</v>
      </c>
      <c r="AQ4" s="1638" t="s">
        <v>1327</v>
      </c>
      <c r="AR4" s="1638" t="s">
        <v>1327</v>
      </c>
      <c r="AS4" s="1638" t="s">
        <v>3106</v>
      </c>
    </row>
    <row r="5" spans="1:45" hidden="1">
      <c r="A5" s="1638" t="s">
        <v>3353</v>
      </c>
      <c r="B5" s="1638" t="s">
        <v>3076</v>
      </c>
      <c r="C5" s="1638" t="s">
        <v>3075</v>
      </c>
      <c r="D5" s="1638" t="s">
        <v>3074</v>
      </c>
      <c r="E5" s="1638" t="s">
        <v>1327</v>
      </c>
      <c r="F5" s="1638" t="s">
        <v>3353</v>
      </c>
      <c r="G5" s="1638" t="s">
        <v>3072</v>
      </c>
      <c r="H5" s="1638" t="s">
        <v>3352</v>
      </c>
      <c r="I5" s="1638" t="s">
        <v>3070</v>
      </c>
      <c r="J5" s="1638">
        <v>3262</v>
      </c>
      <c r="K5" s="1638">
        <v>3262</v>
      </c>
      <c r="L5" s="1638" t="s">
        <v>3213</v>
      </c>
      <c r="M5" s="1638" t="s">
        <v>1327</v>
      </c>
      <c r="N5" s="1638" t="s">
        <v>3088</v>
      </c>
      <c r="O5" s="1638" t="s">
        <v>1327</v>
      </c>
      <c r="P5" s="1638" t="s">
        <v>1327</v>
      </c>
      <c r="Q5" s="1638" t="s">
        <v>1327</v>
      </c>
      <c r="R5" s="1638" t="s">
        <v>1327</v>
      </c>
      <c r="S5" s="1638" t="s">
        <v>1327</v>
      </c>
      <c r="T5" s="1638" t="s">
        <v>1327</v>
      </c>
      <c r="U5" s="1638" t="s">
        <v>1327</v>
      </c>
      <c r="V5" s="1638" t="s">
        <v>1327</v>
      </c>
      <c r="W5" s="1638" t="s">
        <v>3297</v>
      </c>
      <c r="X5" s="1638" t="s">
        <v>3347</v>
      </c>
      <c r="Y5" s="1638" t="s">
        <v>3346</v>
      </c>
      <c r="Z5" s="1638" t="s">
        <v>3345</v>
      </c>
      <c r="AA5" s="1638" t="s">
        <v>3345</v>
      </c>
      <c r="AB5" s="1638" t="s">
        <v>3351</v>
      </c>
      <c r="AC5" s="1638" t="s">
        <v>3062</v>
      </c>
      <c r="AD5" s="1638" t="s">
        <v>3207</v>
      </c>
      <c r="AE5" s="1638">
        <v>60</v>
      </c>
      <c r="AF5" s="1638">
        <v>285</v>
      </c>
      <c r="AG5" s="1638">
        <v>285</v>
      </c>
      <c r="AH5" s="1638">
        <v>58.25</v>
      </c>
      <c r="AI5" s="1638">
        <v>58.25</v>
      </c>
      <c r="AJ5" s="1638">
        <v>873.69</v>
      </c>
      <c r="AK5" s="1638">
        <v>873.7</v>
      </c>
      <c r="AL5" s="1638" t="s">
        <v>1327</v>
      </c>
      <c r="AM5" s="1638" t="s">
        <v>1327</v>
      </c>
      <c r="AN5" s="1638">
        <v>0</v>
      </c>
      <c r="AO5" s="1638" t="s">
        <v>3060</v>
      </c>
      <c r="AP5" s="1638" t="s">
        <v>1327</v>
      </c>
      <c r="AQ5" s="1638" t="s">
        <v>1327</v>
      </c>
      <c r="AR5" s="1638" t="s">
        <v>1327</v>
      </c>
      <c r="AS5" s="1638" t="s">
        <v>3106</v>
      </c>
    </row>
    <row r="6" spans="1:45">
      <c r="A6" s="1638" t="s">
        <v>3350</v>
      </c>
      <c r="B6" s="1638" t="s">
        <v>3076</v>
      </c>
      <c r="C6" s="1638" t="s">
        <v>3075</v>
      </c>
      <c r="D6" s="1638" t="s">
        <v>3074</v>
      </c>
      <c r="E6" s="1638" t="s">
        <v>1327</v>
      </c>
      <c r="F6" s="1638" t="s">
        <v>3350</v>
      </c>
      <c r="G6" s="1638" t="s">
        <v>3072</v>
      </c>
      <c r="H6" s="1638" t="s">
        <v>3349</v>
      </c>
      <c r="I6" s="1638" t="s">
        <v>3348</v>
      </c>
      <c r="J6" s="1638">
        <v>7318</v>
      </c>
      <c r="K6" s="1638">
        <v>16099.6</v>
      </c>
      <c r="L6" s="1638" t="s">
        <v>3188</v>
      </c>
      <c r="M6" s="1638" t="s">
        <v>1327</v>
      </c>
      <c r="N6" s="1638" t="s">
        <v>3068</v>
      </c>
      <c r="O6" s="1638" t="s">
        <v>1327</v>
      </c>
      <c r="P6" s="1638" t="s">
        <v>1327</v>
      </c>
      <c r="Q6" s="1638" t="s">
        <v>1327</v>
      </c>
      <c r="R6" s="1638" t="s">
        <v>1327</v>
      </c>
      <c r="S6" s="1638" t="s">
        <v>1327</v>
      </c>
      <c r="T6" s="1638" t="s">
        <v>1327</v>
      </c>
      <c r="U6" s="1638" t="s">
        <v>1327</v>
      </c>
      <c r="V6" s="1638" t="s">
        <v>1327</v>
      </c>
      <c r="W6" s="1638" t="s">
        <v>3297</v>
      </c>
      <c r="X6" s="1638" t="s">
        <v>3347</v>
      </c>
      <c r="Y6" s="1638" t="s">
        <v>3346</v>
      </c>
      <c r="Z6" s="1638" t="s">
        <v>3345</v>
      </c>
      <c r="AA6" s="1638" t="s">
        <v>3345</v>
      </c>
      <c r="AB6" s="1638" t="s">
        <v>3344</v>
      </c>
      <c r="AC6" s="1638" t="s">
        <v>3062</v>
      </c>
      <c r="AD6" s="1638" t="s">
        <v>3343</v>
      </c>
      <c r="AE6" s="1638">
        <v>440</v>
      </c>
      <c r="AF6" s="1638">
        <v>2170</v>
      </c>
      <c r="AG6" s="1638">
        <v>4770</v>
      </c>
      <c r="AH6" s="1638">
        <v>197.69</v>
      </c>
      <c r="AI6" s="1638">
        <v>434.54</v>
      </c>
      <c r="AJ6" s="1638">
        <v>1347.85</v>
      </c>
      <c r="AK6" s="1638">
        <v>2962.8</v>
      </c>
      <c r="AL6" s="1638" t="s">
        <v>1327</v>
      </c>
      <c r="AM6" s="1638" t="s">
        <v>1327</v>
      </c>
      <c r="AN6" s="1638">
        <v>119.82</v>
      </c>
      <c r="AO6" s="1638" t="s">
        <v>3060</v>
      </c>
      <c r="AP6" s="1638" t="s">
        <v>1327</v>
      </c>
      <c r="AQ6" s="1638" t="s">
        <v>1327</v>
      </c>
      <c r="AR6" s="1638" t="s">
        <v>1327</v>
      </c>
      <c r="AS6" s="1638" t="s">
        <v>3106</v>
      </c>
    </row>
    <row r="7" spans="1:45" hidden="1">
      <c r="A7" s="1638" t="s">
        <v>3342</v>
      </c>
      <c r="B7" s="1638" t="s">
        <v>3076</v>
      </c>
      <c r="C7" s="1638" t="s">
        <v>3075</v>
      </c>
      <c r="D7" s="1638" t="s">
        <v>3074</v>
      </c>
      <c r="E7" s="1638" t="s">
        <v>1327</v>
      </c>
      <c r="F7" s="1638" t="s">
        <v>3342</v>
      </c>
      <c r="G7" s="1638" t="s">
        <v>3072</v>
      </c>
      <c r="H7" s="1638" t="s">
        <v>3341</v>
      </c>
      <c r="I7" s="1638" t="s">
        <v>3070</v>
      </c>
      <c r="J7" s="1638">
        <v>27182</v>
      </c>
      <c r="K7" s="1638">
        <v>27182</v>
      </c>
      <c r="L7" s="1638" t="s">
        <v>3213</v>
      </c>
      <c r="M7" s="1638" t="s">
        <v>1327</v>
      </c>
      <c r="N7" s="1638" t="s">
        <v>3212</v>
      </c>
      <c r="O7" s="1638" t="s">
        <v>1327</v>
      </c>
      <c r="P7" s="1638" t="s">
        <v>1327</v>
      </c>
      <c r="Q7" s="1638" t="s">
        <v>1327</v>
      </c>
      <c r="R7" s="1638" t="s">
        <v>1327</v>
      </c>
      <c r="S7" s="1638" t="s">
        <v>1327</v>
      </c>
      <c r="T7" s="1638" t="s">
        <v>1327</v>
      </c>
      <c r="U7" s="1638" t="s">
        <v>1327</v>
      </c>
      <c r="V7" s="1638" t="s">
        <v>1327</v>
      </c>
      <c r="W7" s="1638" t="s">
        <v>3297</v>
      </c>
      <c r="X7" s="1638" t="s">
        <v>3311</v>
      </c>
      <c r="Y7" s="1638" t="s">
        <v>3337</v>
      </c>
      <c r="Z7" s="1638" t="s">
        <v>3336</v>
      </c>
      <c r="AA7" s="1638" t="s">
        <v>3336</v>
      </c>
      <c r="AB7" s="1638" t="s">
        <v>3340</v>
      </c>
      <c r="AC7" s="1638" t="s">
        <v>3062</v>
      </c>
      <c r="AD7" s="1638" t="s">
        <v>3207</v>
      </c>
      <c r="AE7" s="1638">
        <v>480</v>
      </c>
      <c r="AF7" s="1638">
        <v>2360</v>
      </c>
      <c r="AG7" s="1638">
        <v>2360</v>
      </c>
      <c r="AH7" s="1638">
        <v>57.88</v>
      </c>
      <c r="AI7" s="1638">
        <v>57.88</v>
      </c>
      <c r="AJ7" s="1638">
        <v>868.22</v>
      </c>
      <c r="AK7" s="1638">
        <v>868.22</v>
      </c>
      <c r="AL7" s="1638" t="s">
        <v>1327</v>
      </c>
      <c r="AM7" s="1638" t="s">
        <v>1327</v>
      </c>
      <c r="AN7" s="1638">
        <v>0</v>
      </c>
      <c r="AO7" s="1638" t="s">
        <v>3060</v>
      </c>
      <c r="AP7" s="1638" t="s">
        <v>1327</v>
      </c>
      <c r="AQ7" s="1638" t="s">
        <v>1327</v>
      </c>
      <c r="AR7" s="1638" t="s">
        <v>1327</v>
      </c>
      <c r="AS7" s="1638" t="s">
        <v>3106</v>
      </c>
    </row>
    <row r="8" spans="1:45">
      <c r="A8" s="1638" t="s">
        <v>3339</v>
      </c>
      <c r="B8" s="1638" t="s">
        <v>3076</v>
      </c>
      <c r="C8" s="1638" t="s">
        <v>3075</v>
      </c>
      <c r="D8" s="1638" t="s">
        <v>3074</v>
      </c>
      <c r="E8" s="1638" t="s">
        <v>1327</v>
      </c>
      <c r="F8" s="1638" t="s">
        <v>3339</v>
      </c>
      <c r="G8" s="1638" t="s">
        <v>3072</v>
      </c>
      <c r="H8" s="1638" t="s">
        <v>3338</v>
      </c>
      <c r="I8" s="1638" t="s">
        <v>3129</v>
      </c>
      <c r="J8" s="1638">
        <v>18059</v>
      </c>
      <c r="K8" s="1638">
        <v>50565.2</v>
      </c>
      <c r="L8" s="1638" t="s">
        <v>3306</v>
      </c>
      <c r="M8" s="1638" t="s">
        <v>1327</v>
      </c>
      <c r="N8" s="1638" t="s">
        <v>3088</v>
      </c>
      <c r="O8" s="1638" t="s">
        <v>1327</v>
      </c>
      <c r="P8" s="1638" t="s">
        <v>1327</v>
      </c>
      <c r="Q8" s="1638" t="s">
        <v>1327</v>
      </c>
      <c r="R8" s="1638" t="s">
        <v>1327</v>
      </c>
      <c r="S8" s="1638" t="s">
        <v>1327</v>
      </c>
      <c r="T8" s="1638" t="s">
        <v>1327</v>
      </c>
      <c r="U8" s="1638" t="s">
        <v>1327</v>
      </c>
      <c r="V8" s="1638" t="s">
        <v>1327</v>
      </c>
      <c r="W8" s="1638" t="s">
        <v>3297</v>
      </c>
      <c r="X8" s="1638" t="s">
        <v>3311</v>
      </c>
      <c r="Y8" s="1638" t="s">
        <v>3337</v>
      </c>
      <c r="Z8" s="1638" t="s">
        <v>3336</v>
      </c>
      <c r="AA8" s="1638" t="s">
        <v>3336</v>
      </c>
      <c r="AB8" s="1638" t="s">
        <v>3335</v>
      </c>
      <c r="AC8" s="1638" t="s">
        <v>3062</v>
      </c>
      <c r="AD8" s="1638" t="s">
        <v>3334</v>
      </c>
      <c r="AE8" s="1638">
        <v>1500</v>
      </c>
      <c r="AF8" s="1638">
        <v>7480</v>
      </c>
      <c r="AG8" s="1638">
        <v>7480</v>
      </c>
      <c r="AH8" s="1638">
        <v>276.13</v>
      </c>
      <c r="AI8" s="1638">
        <v>276.13</v>
      </c>
      <c r="AJ8" s="1638">
        <v>1479.27</v>
      </c>
      <c r="AK8" s="1638">
        <v>1479.27</v>
      </c>
      <c r="AL8" s="1638" t="s">
        <v>1327</v>
      </c>
      <c r="AM8" s="1638" t="s">
        <v>1327</v>
      </c>
      <c r="AN8" s="1638">
        <v>0</v>
      </c>
      <c r="AO8" s="1638" t="s">
        <v>3060</v>
      </c>
      <c r="AP8" s="1638" t="s">
        <v>1327</v>
      </c>
      <c r="AQ8" s="1638" t="s">
        <v>1327</v>
      </c>
      <c r="AR8" s="1638" t="s">
        <v>1327</v>
      </c>
      <c r="AS8" s="1638" t="s">
        <v>3059</v>
      </c>
    </row>
    <row r="9" spans="1:45">
      <c r="A9" s="1638" t="s">
        <v>3333</v>
      </c>
      <c r="B9" s="1638" t="s">
        <v>3076</v>
      </c>
      <c r="C9" s="1638" t="s">
        <v>3075</v>
      </c>
      <c r="D9" s="1638" t="s">
        <v>3074</v>
      </c>
      <c r="E9" s="1638" t="s">
        <v>1327</v>
      </c>
      <c r="F9" s="1638" t="s">
        <v>3333</v>
      </c>
      <c r="G9" s="1638" t="s">
        <v>3072</v>
      </c>
      <c r="H9" s="1638" t="s">
        <v>3332</v>
      </c>
      <c r="I9" s="1638" t="s">
        <v>3070</v>
      </c>
      <c r="J9" s="1638">
        <v>2343</v>
      </c>
      <c r="K9" s="1638">
        <v>2577.3000000000002</v>
      </c>
      <c r="L9" s="1638" t="s">
        <v>3331</v>
      </c>
      <c r="M9" s="1638" t="s">
        <v>1327</v>
      </c>
      <c r="N9" s="1638" t="s">
        <v>3094</v>
      </c>
      <c r="O9" s="1638" t="s">
        <v>1327</v>
      </c>
      <c r="P9" s="1638" t="s">
        <v>1327</v>
      </c>
      <c r="Q9" s="1638" t="s">
        <v>1327</v>
      </c>
      <c r="R9" s="1638" t="s">
        <v>1327</v>
      </c>
      <c r="S9" s="1638" t="s">
        <v>1327</v>
      </c>
      <c r="T9" s="1638" t="s">
        <v>1327</v>
      </c>
      <c r="U9" s="1638" t="s">
        <v>1327</v>
      </c>
      <c r="V9" s="1638" t="s">
        <v>1327</v>
      </c>
      <c r="W9" s="1638" t="s">
        <v>3297</v>
      </c>
      <c r="X9" s="1638" t="s">
        <v>3313</v>
      </c>
      <c r="Y9" s="1638" t="s">
        <v>3312</v>
      </c>
      <c r="Z9" s="1638" t="s">
        <v>3311</v>
      </c>
      <c r="AA9" s="1638" t="s">
        <v>3311</v>
      </c>
      <c r="AB9" s="1638" t="s">
        <v>3330</v>
      </c>
      <c r="AC9" s="1638" t="s">
        <v>3062</v>
      </c>
      <c r="AD9" s="1638" t="s">
        <v>3329</v>
      </c>
      <c r="AE9" s="1638">
        <v>170</v>
      </c>
      <c r="AF9" s="1638">
        <v>830</v>
      </c>
      <c r="AG9" s="1638">
        <v>830</v>
      </c>
      <c r="AH9" s="1638">
        <v>236.16</v>
      </c>
      <c r="AI9" s="1638">
        <v>236.16</v>
      </c>
      <c r="AJ9" s="1638">
        <v>3220.42</v>
      </c>
      <c r="AK9" s="1638">
        <v>3220.42</v>
      </c>
      <c r="AL9" s="1638" t="s">
        <v>1327</v>
      </c>
      <c r="AM9" s="1638" t="s">
        <v>1327</v>
      </c>
      <c r="AN9" s="1638">
        <v>0</v>
      </c>
      <c r="AO9" s="1638" t="s">
        <v>3060</v>
      </c>
      <c r="AP9" s="1638" t="s">
        <v>1327</v>
      </c>
      <c r="AQ9" s="1638" t="s">
        <v>1327</v>
      </c>
      <c r="AR9" s="1638" t="s">
        <v>1327</v>
      </c>
      <c r="AS9" s="1638" t="s">
        <v>3106</v>
      </c>
    </row>
    <row r="10" spans="1:45">
      <c r="A10" s="1638" t="s">
        <v>3328</v>
      </c>
      <c r="B10" s="1638" t="s">
        <v>3076</v>
      </c>
      <c r="C10" s="1638" t="s">
        <v>3075</v>
      </c>
      <c r="D10" s="1638" t="s">
        <v>3074</v>
      </c>
      <c r="E10" s="1638" t="s">
        <v>1327</v>
      </c>
      <c r="F10" s="1638" t="s">
        <v>3328</v>
      </c>
      <c r="G10" s="1638" t="s">
        <v>3072</v>
      </c>
      <c r="H10" s="1638" t="s">
        <v>3327</v>
      </c>
      <c r="I10" s="1638" t="s">
        <v>3070</v>
      </c>
      <c r="J10" s="1638">
        <v>26024</v>
      </c>
      <c r="K10" s="1638">
        <v>19518</v>
      </c>
      <c r="L10" s="1638" t="s">
        <v>3326</v>
      </c>
      <c r="M10" s="1638" t="s">
        <v>1327</v>
      </c>
      <c r="N10" s="1638" t="s">
        <v>3094</v>
      </c>
      <c r="O10" s="1638" t="s">
        <v>1327</v>
      </c>
      <c r="P10" s="1638" t="s">
        <v>1327</v>
      </c>
      <c r="Q10" s="1638" t="s">
        <v>1327</v>
      </c>
      <c r="R10" s="1638" t="s">
        <v>1327</v>
      </c>
      <c r="S10" s="1638" t="s">
        <v>1327</v>
      </c>
      <c r="T10" s="1638" t="s">
        <v>1327</v>
      </c>
      <c r="U10" s="1638" t="s">
        <v>1327</v>
      </c>
      <c r="V10" s="1638" t="s">
        <v>1327</v>
      </c>
      <c r="W10" s="1638" t="s">
        <v>3297</v>
      </c>
      <c r="X10" s="1638" t="s">
        <v>3313</v>
      </c>
      <c r="Y10" s="1638" t="s">
        <v>3312</v>
      </c>
      <c r="Z10" s="1638" t="s">
        <v>3311</v>
      </c>
      <c r="AA10" s="1638" t="s">
        <v>3311</v>
      </c>
      <c r="AB10" s="1638" t="s">
        <v>3325</v>
      </c>
      <c r="AC10" s="1638" t="s">
        <v>3062</v>
      </c>
      <c r="AD10" s="1638" t="s">
        <v>3309</v>
      </c>
      <c r="AE10" s="1638">
        <v>930</v>
      </c>
      <c r="AF10" s="1638">
        <v>4640</v>
      </c>
      <c r="AG10" s="1638">
        <v>4640</v>
      </c>
      <c r="AH10" s="1638">
        <v>118.86</v>
      </c>
      <c r="AI10" s="1638">
        <v>118.86</v>
      </c>
      <c r="AJ10" s="1638">
        <v>2377.29</v>
      </c>
      <c r="AK10" s="1638">
        <v>2377.2800000000002</v>
      </c>
      <c r="AL10" s="1638" t="s">
        <v>1327</v>
      </c>
      <c r="AM10" s="1638" t="s">
        <v>1327</v>
      </c>
      <c r="AN10" s="1638">
        <v>0</v>
      </c>
      <c r="AO10" s="1638" t="s">
        <v>3060</v>
      </c>
      <c r="AP10" s="1638" t="s">
        <v>1327</v>
      </c>
      <c r="AQ10" s="1638" t="s">
        <v>1327</v>
      </c>
      <c r="AR10" s="1638" t="s">
        <v>1327</v>
      </c>
      <c r="AS10" s="1638" t="s">
        <v>3106</v>
      </c>
    </row>
    <row r="11" spans="1:45" s="2949" customFormat="1">
      <c r="A11" s="2949" t="s">
        <v>3324</v>
      </c>
      <c r="B11" s="2949" t="s">
        <v>3076</v>
      </c>
      <c r="C11" s="2949" t="s">
        <v>3075</v>
      </c>
      <c r="D11" s="2949" t="s">
        <v>3074</v>
      </c>
      <c r="E11" s="2949" t="s">
        <v>1327</v>
      </c>
      <c r="F11" s="2949" t="s">
        <v>3324</v>
      </c>
      <c r="G11" s="2949" t="s">
        <v>3072</v>
      </c>
      <c r="H11" s="2949" t="s">
        <v>3323</v>
      </c>
      <c r="I11" s="2949" t="s">
        <v>3129</v>
      </c>
      <c r="J11" s="2949">
        <v>3334</v>
      </c>
      <c r="K11" s="2949">
        <v>6668</v>
      </c>
      <c r="L11" s="2949" t="s">
        <v>3143</v>
      </c>
      <c r="M11" s="2949" t="s">
        <v>1327</v>
      </c>
      <c r="N11" s="2949" t="s">
        <v>3088</v>
      </c>
      <c r="O11" s="2949" t="s">
        <v>1327</v>
      </c>
      <c r="P11" s="2949" t="s">
        <v>1327</v>
      </c>
      <c r="Q11" s="2949" t="s">
        <v>1327</v>
      </c>
      <c r="R11" s="2949" t="s">
        <v>1327</v>
      </c>
      <c r="S11" s="2949" t="s">
        <v>1327</v>
      </c>
      <c r="T11" s="2949" t="s">
        <v>1327</v>
      </c>
      <c r="U11" s="2949" t="s">
        <v>1327</v>
      </c>
      <c r="V11" s="2949" t="s">
        <v>1327</v>
      </c>
      <c r="W11" s="2949" t="s">
        <v>3297</v>
      </c>
      <c r="X11" s="2949" t="s">
        <v>3313</v>
      </c>
      <c r="Y11" s="2949" t="s">
        <v>3312</v>
      </c>
      <c r="Z11" s="2949" t="s">
        <v>3311</v>
      </c>
      <c r="AA11" s="2949" t="s">
        <v>3311</v>
      </c>
      <c r="AB11" s="2949" t="s">
        <v>3322</v>
      </c>
      <c r="AC11" s="2949" t="s">
        <v>3062</v>
      </c>
      <c r="AD11" s="2949" t="s">
        <v>3321</v>
      </c>
      <c r="AE11" s="2949">
        <v>140</v>
      </c>
      <c r="AF11" s="2949">
        <v>660</v>
      </c>
      <c r="AG11" s="2949">
        <v>660</v>
      </c>
      <c r="AH11" s="2949">
        <v>131.97</v>
      </c>
      <c r="AI11" s="2949">
        <v>131.97</v>
      </c>
      <c r="AJ11" s="2949">
        <v>989.8</v>
      </c>
      <c r="AK11" s="2949">
        <v>989.79</v>
      </c>
      <c r="AL11" s="2949" t="s">
        <v>1327</v>
      </c>
      <c r="AM11" s="2949" t="s">
        <v>1327</v>
      </c>
      <c r="AN11" s="2949">
        <v>0</v>
      </c>
      <c r="AO11" s="2949" t="s">
        <v>3060</v>
      </c>
      <c r="AP11" s="2949" t="s">
        <v>1327</v>
      </c>
      <c r="AQ11" s="2949" t="s">
        <v>1327</v>
      </c>
      <c r="AR11" s="2949" t="s">
        <v>1327</v>
      </c>
      <c r="AS11" s="2949" t="s">
        <v>3059</v>
      </c>
    </row>
    <row r="12" spans="1:45" hidden="1">
      <c r="A12" s="1638" t="s">
        <v>3320</v>
      </c>
      <c r="B12" s="1638" t="s">
        <v>3076</v>
      </c>
      <c r="C12" s="1638" t="s">
        <v>3075</v>
      </c>
      <c r="D12" s="1638" t="s">
        <v>3074</v>
      </c>
      <c r="E12" s="1638" t="s">
        <v>1327</v>
      </c>
      <c r="F12" s="1638" t="s">
        <v>3320</v>
      </c>
      <c r="G12" s="1638" t="s">
        <v>3072</v>
      </c>
      <c r="H12" s="1638" t="s">
        <v>3319</v>
      </c>
      <c r="I12" s="1638" t="s">
        <v>3070</v>
      </c>
      <c r="J12" s="1638">
        <v>3319</v>
      </c>
      <c r="K12" s="1638">
        <v>2655.2</v>
      </c>
      <c r="L12" s="1638" t="s">
        <v>3318</v>
      </c>
      <c r="M12" s="1638" t="s">
        <v>1327</v>
      </c>
      <c r="N12" s="1638" t="s">
        <v>3212</v>
      </c>
      <c r="O12" s="1638" t="s">
        <v>1327</v>
      </c>
      <c r="P12" s="1638" t="s">
        <v>1327</v>
      </c>
      <c r="Q12" s="1638" t="s">
        <v>1327</v>
      </c>
      <c r="R12" s="1638" t="s">
        <v>1327</v>
      </c>
      <c r="S12" s="1638" t="s">
        <v>1327</v>
      </c>
      <c r="T12" s="1638" t="s">
        <v>1327</v>
      </c>
      <c r="U12" s="1638" t="s">
        <v>1327</v>
      </c>
      <c r="V12" s="1638" t="s">
        <v>1327</v>
      </c>
      <c r="W12" s="1638" t="s">
        <v>3297</v>
      </c>
      <c r="X12" s="1638" t="s">
        <v>3313</v>
      </c>
      <c r="Y12" s="1638" t="s">
        <v>3312</v>
      </c>
      <c r="Z12" s="1638" t="s">
        <v>3311</v>
      </c>
      <c r="AA12" s="1638" t="s">
        <v>3311</v>
      </c>
      <c r="AB12" s="1638" t="s">
        <v>3317</v>
      </c>
      <c r="AC12" s="1638" t="s">
        <v>3062</v>
      </c>
      <c r="AD12" s="1638" t="s">
        <v>3309</v>
      </c>
      <c r="AE12" s="1638">
        <v>120</v>
      </c>
      <c r="AF12" s="1638">
        <v>555</v>
      </c>
      <c r="AG12" s="1638">
        <v>555</v>
      </c>
      <c r="AH12" s="1638">
        <v>111.48</v>
      </c>
      <c r="AI12" s="1638">
        <v>111.48</v>
      </c>
      <c r="AJ12" s="1638">
        <v>2090.23</v>
      </c>
      <c r="AK12" s="1638">
        <v>2090.23</v>
      </c>
      <c r="AL12" s="1638" t="s">
        <v>1327</v>
      </c>
      <c r="AM12" s="1638" t="s">
        <v>1327</v>
      </c>
      <c r="AN12" s="1638">
        <v>0</v>
      </c>
      <c r="AO12" s="1638" t="s">
        <v>3060</v>
      </c>
      <c r="AP12" s="1638" t="s">
        <v>1327</v>
      </c>
      <c r="AQ12" s="1638" t="s">
        <v>1327</v>
      </c>
      <c r="AR12" s="1638" t="s">
        <v>1327</v>
      </c>
      <c r="AS12" s="1638" t="s">
        <v>3106</v>
      </c>
    </row>
    <row r="13" spans="1:45" hidden="1">
      <c r="A13" s="1638" t="s">
        <v>3316</v>
      </c>
      <c r="B13" s="1638" t="s">
        <v>3076</v>
      </c>
      <c r="C13" s="1638" t="s">
        <v>3075</v>
      </c>
      <c r="D13" s="1638" t="s">
        <v>3074</v>
      </c>
      <c r="E13" s="1638" t="s">
        <v>1327</v>
      </c>
      <c r="F13" s="1638" t="s">
        <v>3316</v>
      </c>
      <c r="G13" s="1638" t="s">
        <v>3072</v>
      </c>
      <c r="H13" s="1638" t="s">
        <v>3315</v>
      </c>
      <c r="I13" s="1638" t="s">
        <v>3070</v>
      </c>
      <c r="J13" s="1638">
        <v>2726</v>
      </c>
      <c r="K13" s="1638">
        <v>2726</v>
      </c>
      <c r="L13" s="1638" t="s">
        <v>3314</v>
      </c>
      <c r="M13" s="1638" t="s">
        <v>1327</v>
      </c>
      <c r="N13" s="1638" t="s">
        <v>3212</v>
      </c>
      <c r="O13" s="1638" t="s">
        <v>1327</v>
      </c>
      <c r="P13" s="1638" t="s">
        <v>1327</v>
      </c>
      <c r="Q13" s="1638" t="s">
        <v>1327</v>
      </c>
      <c r="R13" s="1638" t="s">
        <v>1327</v>
      </c>
      <c r="S13" s="1638" t="s">
        <v>1327</v>
      </c>
      <c r="T13" s="1638" t="s">
        <v>1327</v>
      </c>
      <c r="U13" s="1638" t="s">
        <v>1327</v>
      </c>
      <c r="V13" s="1638" t="s">
        <v>1327</v>
      </c>
      <c r="W13" s="1638" t="s">
        <v>3297</v>
      </c>
      <c r="X13" s="1638" t="s">
        <v>3313</v>
      </c>
      <c r="Y13" s="1638" t="s">
        <v>3312</v>
      </c>
      <c r="Z13" s="1638" t="s">
        <v>3311</v>
      </c>
      <c r="AA13" s="1638" t="s">
        <v>3311</v>
      </c>
      <c r="AB13" s="1638" t="s">
        <v>3310</v>
      </c>
      <c r="AC13" s="1638" t="s">
        <v>3062</v>
      </c>
      <c r="AD13" s="1638" t="s">
        <v>3309</v>
      </c>
      <c r="AE13" s="1638">
        <v>100</v>
      </c>
      <c r="AF13" s="1638">
        <v>490</v>
      </c>
      <c r="AG13" s="1638">
        <v>490</v>
      </c>
      <c r="AH13" s="1638">
        <v>119.83</v>
      </c>
      <c r="AI13" s="1638">
        <v>119.83</v>
      </c>
      <c r="AJ13" s="1638">
        <v>1797.5</v>
      </c>
      <c r="AK13" s="1638">
        <v>1797.5</v>
      </c>
      <c r="AL13" s="1638" t="s">
        <v>1327</v>
      </c>
      <c r="AM13" s="1638" t="s">
        <v>1327</v>
      </c>
      <c r="AN13" s="1638">
        <v>0</v>
      </c>
      <c r="AO13" s="1638" t="s">
        <v>3060</v>
      </c>
      <c r="AP13" s="1638" t="s">
        <v>1327</v>
      </c>
      <c r="AQ13" s="1638" t="s">
        <v>1327</v>
      </c>
      <c r="AR13" s="1638" t="s">
        <v>1327</v>
      </c>
      <c r="AS13" s="1638" t="s">
        <v>3106</v>
      </c>
    </row>
    <row r="14" spans="1:45">
      <c r="A14" s="1638" t="s">
        <v>3308</v>
      </c>
      <c r="B14" s="1638" t="s">
        <v>3076</v>
      </c>
      <c r="C14" s="1638" t="s">
        <v>3075</v>
      </c>
      <c r="D14" s="1638" t="s">
        <v>3074</v>
      </c>
      <c r="E14" s="1638" t="s">
        <v>1327</v>
      </c>
      <c r="F14" s="1638" t="s">
        <v>3308</v>
      </c>
      <c r="G14" s="1638" t="s">
        <v>3072</v>
      </c>
      <c r="H14" s="1638" t="s">
        <v>3307</v>
      </c>
      <c r="I14" s="1638" t="s">
        <v>3070</v>
      </c>
      <c r="J14" s="1638">
        <v>21120</v>
      </c>
      <c r="K14" s="1638">
        <v>59136</v>
      </c>
      <c r="L14" s="1638" t="s">
        <v>3306</v>
      </c>
      <c r="M14" s="1638" t="s">
        <v>1327</v>
      </c>
      <c r="N14" s="1638" t="s">
        <v>3142</v>
      </c>
      <c r="O14" s="1638" t="s">
        <v>1327</v>
      </c>
      <c r="P14" s="1638" t="s">
        <v>1327</v>
      </c>
      <c r="Q14" s="1638" t="s">
        <v>1327</v>
      </c>
      <c r="R14" s="1638" t="s">
        <v>1327</v>
      </c>
      <c r="S14" s="1638" t="s">
        <v>1327</v>
      </c>
      <c r="T14" s="1638" t="s">
        <v>1327</v>
      </c>
      <c r="U14" s="1638" t="s">
        <v>1327</v>
      </c>
      <c r="V14" s="1638" t="s">
        <v>1327</v>
      </c>
      <c r="W14" s="1638" t="s">
        <v>3297</v>
      </c>
      <c r="X14" s="1638" t="s">
        <v>3305</v>
      </c>
      <c r="Y14" s="1638" t="s">
        <v>3304</v>
      </c>
      <c r="Z14" s="1638" t="s">
        <v>3303</v>
      </c>
      <c r="AA14" s="1638" t="s">
        <v>3303</v>
      </c>
      <c r="AB14" s="1638" t="s">
        <v>3302</v>
      </c>
      <c r="AC14" s="1638" t="s">
        <v>3062</v>
      </c>
      <c r="AD14" s="1638" t="s">
        <v>3301</v>
      </c>
      <c r="AE14" s="1638">
        <v>1810</v>
      </c>
      <c r="AF14" s="1638">
        <v>9050</v>
      </c>
      <c r="AG14" s="1638">
        <v>9050</v>
      </c>
      <c r="AH14" s="1638">
        <v>285.67</v>
      </c>
      <c r="AI14" s="1638">
        <v>285.67</v>
      </c>
      <c r="AJ14" s="1638">
        <v>1530.37</v>
      </c>
      <c r="AK14" s="1638">
        <v>1530.36</v>
      </c>
      <c r="AL14" s="1638" t="s">
        <v>1327</v>
      </c>
      <c r="AM14" s="1638" t="s">
        <v>1327</v>
      </c>
      <c r="AN14" s="1638">
        <v>0</v>
      </c>
      <c r="AO14" s="1638" t="s">
        <v>3060</v>
      </c>
      <c r="AP14" s="1638" t="s">
        <v>1327</v>
      </c>
      <c r="AQ14" s="1638" t="s">
        <v>1327</v>
      </c>
      <c r="AR14" s="1638" t="s">
        <v>1327</v>
      </c>
      <c r="AS14" s="1638" t="s">
        <v>3106</v>
      </c>
    </row>
    <row r="15" spans="1:45">
      <c r="A15" s="1638" t="s">
        <v>3300</v>
      </c>
      <c r="B15" s="1638" t="s">
        <v>3076</v>
      </c>
      <c r="C15" s="1638" t="s">
        <v>3075</v>
      </c>
      <c r="D15" s="1638" t="s">
        <v>3074</v>
      </c>
      <c r="E15" s="1638" t="s">
        <v>1327</v>
      </c>
      <c r="F15" s="1638" t="s">
        <v>3300</v>
      </c>
      <c r="G15" s="1638" t="s">
        <v>3072</v>
      </c>
      <c r="H15" s="1638" t="s">
        <v>3299</v>
      </c>
      <c r="I15" s="1638" t="s">
        <v>3070</v>
      </c>
      <c r="J15" s="1638">
        <v>3204</v>
      </c>
      <c r="K15" s="1638">
        <v>4325.3999999999996</v>
      </c>
      <c r="L15" s="1638" t="s">
        <v>3298</v>
      </c>
      <c r="M15" s="1638" t="s">
        <v>1327</v>
      </c>
      <c r="N15" s="1638" t="s">
        <v>3094</v>
      </c>
      <c r="O15" s="1638" t="s">
        <v>1327</v>
      </c>
      <c r="P15" s="1638" t="s">
        <v>1327</v>
      </c>
      <c r="Q15" s="1638" t="s">
        <v>1327</v>
      </c>
      <c r="R15" s="1638" t="s">
        <v>1327</v>
      </c>
      <c r="S15" s="1638" t="s">
        <v>1327</v>
      </c>
      <c r="T15" s="1638" t="s">
        <v>1327</v>
      </c>
      <c r="U15" s="1638" t="s">
        <v>1327</v>
      </c>
      <c r="V15" s="1638" t="s">
        <v>1327</v>
      </c>
      <c r="W15" s="1638" t="s">
        <v>3297</v>
      </c>
      <c r="X15" s="1638" t="s">
        <v>3296</v>
      </c>
      <c r="Y15" s="1638" t="s">
        <v>3295</v>
      </c>
      <c r="Z15" s="1638" t="s">
        <v>3294</v>
      </c>
      <c r="AA15" s="1638" t="s">
        <v>3294</v>
      </c>
      <c r="AB15" s="1638" t="s">
        <v>3293</v>
      </c>
      <c r="AC15" s="1638" t="s">
        <v>3062</v>
      </c>
      <c r="AD15" s="1638" t="s">
        <v>3292</v>
      </c>
      <c r="AE15" s="1638">
        <v>70</v>
      </c>
      <c r="AF15" s="1638">
        <v>350</v>
      </c>
      <c r="AG15" s="1638">
        <v>350</v>
      </c>
      <c r="AH15" s="1638">
        <v>72.83</v>
      </c>
      <c r="AI15" s="1638">
        <v>72.83</v>
      </c>
      <c r="AJ15" s="1638">
        <v>809.17</v>
      </c>
      <c r="AK15" s="1638">
        <v>809.16</v>
      </c>
      <c r="AL15" s="1638" t="s">
        <v>1327</v>
      </c>
      <c r="AM15" s="1638" t="s">
        <v>1327</v>
      </c>
      <c r="AN15" s="1638">
        <v>0</v>
      </c>
      <c r="AO15" s="1638" t="s">
        <v>3060</v>
      </c>
      <c r="AP15" s="1638" t="s">
        <v>1327</v>
      </c>
      <c r="AQ15" s="1638" t="s">
        <v>1327</v>
      </c>
      <c r="AR15" s="1638" t="s">
        <v>1327</v>
      </c>
      <c r="AS15" s="1638" t="s">
        <v>3106</v>
      </c>
    </row>
    <row r="16" spans="1:45" s="2949" customFormat="1">
      <c r="A16" s="2949" t="s">
        <v>3291</v>
      </c>
      <c r="B16" s="2949" t="s">
        <v>3076</v>
      </c>
      <c r="C16" s="2949" t="s">
        <v>3075</v>
      </c>
      <c r="D16" s="2949" t="s">
        <v>3074</v>
      </c>
      <c r="E16" s="2949" t="s">
        <v>1327</v>
      </c>
      <c r="F16" s="2949" t="s">
        <v>3291</v>
      </c>
      <c r="G16" s="2949" t="s">
        <v>3072</v>
      </c>
      <c r="H16" s="2949" t="s">
        <v>3290</v>
      </c>
      <c r="I16" s="2949" t="s">
        <v>3070</v>
      </c>
      <c r="J16" s="2949">
        <v>4818</v>
      </c>
      <c r="K16" s="2949">
        <v>14454</v>
      </c>
      <c r="L16" s="2949" t="s">
        <v>3289</v>
      </c>
      <c r="M16" s="2949" t="s">
        <v>1327</v>
      </c>
      <c r="N16" s="2949" t="s">
        <v>3088</v>
      </c>
      <c r="O16" s="2949" t="s">
        <v>1327</v>
      </c>
      <c r="P16" s="2949" t="s">
        <v>1327</v>
      </c>
      <c r="Q16" s="2949" t="s">
        <v>1327</v>
      </c>
      <c r="R16" s="2949" t="s">
        <v>1327</v>
      </c>
      <c r="S16" s="2949" t="s">
        <v>1327</v>
      </c>
      <c r="T16" s="2949" t="s">
        <v>1327</v>
      </c>
      <c r="U16" s="2949" t="s">
        <v>1327</v>
      </c>
      <c r="V16" s="2949" t="s">
        <v>1327</v>
      </c>
      <c r="W16" s="2949" t="s">
        <v>3067</v>
      </c>
      <c r="X16" s="2949" t="s">
        <v>3280</v>
      </c>
      <c r="Y16" s="2949" t="s">
        <v>3279</v>
      </c>
      <c r="Z16" s="2949" t="s">
        <v>3278</v>
      </c>
      <c r="AA16" s="2949" t="s">
        <v>3278</v>
      </c>
      <c r="AB16" s="2949" t="s">
        <v>3288</v>
      </c>
      <c r="AC16" s="2949" t="s">
        <v>3062</v>
      </c>
      <c r="AD16" s="2949" t="s">
        <v>3287</v>
      </c>
      <c r="AE16" s="2949">
        <v>300</v>
      </c>
      <c r="AF16" s="2949">
        <v>1460</v>
      </c>
      <c r="AG16" s="2949">
        <v>1520</v>
      </c>
      <c r="AH16" s="2949">
        <v>202.02</v>
      </c>
      <c r="AI16" s="2949">
        <v>210.32</v>
      </c>
      <c r="AJ16" s="2949">
        <v>1010.1</v>
      </c>
      <c r="AK16" s="2949">
        <v>1051.5999999999999</v>
      </c>
      <c r="AL16" s="2949" t="s">
        <v>1327</v>
      </c>
      <c r="AM16" s="2949" t="s">
        <v>1327</v>
      </c>
      <c r="AN16" s="2949">
        <v>4.1100000000000003</v>
      </c>
      <c r="AO16" s="2949" t="s">
        <v>3060</v>
      </c>
      <c r="AP16" s="2949" t="s">
        <v>1327</v>
      </c>
      <c r="AQ16" s="2949" t="s">
        <v>1327</v>
      </c>
      <c r="AR16" s="2949" t="s">
        <v>1327</v>
      </c>
      <c r="AS16" s="2949" t="s">
        <v>3106</v>
      </c>
    </row>
    <row r="17" spans="1:45">
      <c r="A17" s="1638" t="s">
        <v>3286</v>
      </c>
      <c r="B17" s="1638" t="s">
        <v>3076</v>
      </c>
      <c r="C17" s="1638" t="s">
        <v>3075</v>
      </c>
      <c r="D17" s="1638" t="s">
        <v>3074</v>
      </c>
      <c r="E17" s="1638" t="s">
        <v>1327</v>
      </c>
      <c r="F17" s="1638" t="s">
        <v>3286</v>
      </c>
      <c r="G17" s="1638" t="s">
        <v>3072</v>
      </c>
      <c r="H17" s="1638" t="s">
        <v>3285</v>
      </c>
      <c r="I17" s="1638" t="s">
        <v>3070</v>
      </c>
      <c r="J17" s="1638">
        <v>14678</v>
      </c>
      <c r="K17" s="1638">
        <v>20549.2</v>
      </c>
      <c r="L17" s="1638" t="s">
        <v>3257</v>
      </c>
      <c r="M17" s="1638" t="s">
        <v>1327</v>
      </c>
      <c r="N17" s="1638" t="s">
        <v>3068</v>
      </c>
      <c r="O17" s="1638" t="s">
        <v>1327</v>
      </c>
      <c r="P17" s="1638" t="s">
        <v>1327</v>
      </c>
      <c r="Q17" s="1638" t="s">
        <v>1327</v>
      </c>
      <c r="R17" s="1638" t="s">
        <v>1327</v>
      </c>
      <c r="S17" s="1638" t="s">
        <v>1327</v>
      </c>
      <c r="T17" s="1638" t="s">
        <v>1327</v>
      </c>
      <c r="U17" s="1638" t="s">
        <v>1327</v>
      </c>
      <c r="V17" s="1638" t="s">
        <v>1327</v>
      </c>
      <c r="W17" s="1638" t="s">
        <v>3067</v>
      </c>
      <c r="X17" s="1638" t="s">
        <v>3280</v>
      </c>
      <c r="Y17" s="1638" t="s">
        <v>3279</v>
      </c>
      <c r="Z17" s="1638" t="s">
        <v>3278</v>
      </c>
      <c r="AA17" s="1638" t="s">
        <v>3278</v>
      </c>
      <c r="AB17" s="1638" t="s">
        <v>3284</v>
      </c>
      <c r="AC17" s="1638" t="s">
        <v>3062</v>
      </c>
      <c r="AD17" s="1638" t="s">
        <v>3283</v>
      </c>
      <c r="AE17" s="1638">
        <v>810</v>
      </c>
      <c r="AF17" s="1638">
        <v>4050</v>
      </c>
      <c r="AG17" s="1638">
        <v>8290</v>
      </c>
      <c r="AH17" s="1638">
        <v>183.95</v>
      </c>
      <c r="AI17" s="1638">
        <v>376.53</v>
      </c>
      <c r="AJ17" s="1638">
        <v>1970.87</v>
      </c>
      <c r="AK17" s="1638">
        <v>4034.21</v>
      </c>
      <c r="AL17" s="1638" t="s">
        <v>1327</v>
      </c>
      <c r="AM17" s="1638" t="s">
        <v>1327</v>
      </c>
      <c r="AN17" s="1638">
        <v>104.69</v>
      </c>
      <c r="AO17" s="1638" t="s">
        <v>3060</v>
      </c>
      <c r="AP17" s="1638" t="s">
        <v>1327</v>
      </c>
      <c r="AQ17" s="1638" t="s">
        <v>1327</v>
      </c>
      <c r="AR17" s="1638" t="s">
        <v>1327</v>
      </c>
      <c r="AS17" s="1638" t="s">
        <v>3106</v>
      </c>
    </row>
    <row r="18" spans="1:45">
      <c r="A18" s="1638" t="s">
        <v>3282</v>
      </c>
      <c r="B18" s="1638" t="s">
        <v>3076</v>
      </c>
      <c r="C18" s="1638" t="s">
        <v>3075</v>
      </c>
      <c r="D18" s="1638" t="s">
        <v>3074</v>
      </c>
      <c r="E18" s="1638" t="s">
        <v>1327</v>
      </c>
      <c r="F18" s="1638" t="s">
        <v>3282</v>
      </c>
      <c r="G18" s="1638" t="s">
        <v>3072</v>
      </c>
      <c r="H18" s="1638" t="s">
        <v>3281</v>
      </c>
      <c r="I18" s="1638" t="s">
        <v>3070</v>
      </c>
      <c r="J18" s="1638">
        <v>1437</v>
      </c>
      <c r="K18" s="1638">
        <v>1868.1</v>
      </c>
      <c r="L18" s="1638" t="s">
        <v>3103</v>
      </c>
      <c r="M18" s="1638" t="s">
        <v>1327</v>
      </c>
      <c r="N18" s="1638" t="s">
        <v>3068</v>
      </c>
      <c r="O18" s="1638" t="s">
        <v>1327</v>
      </c>
      <c r="P18" s="1638" t="s">
        <v>1327</v>
      </c>
      <c r="Q18" s="1638" t="s">
        <v>1327</v>
      </c>
      <c r="R18" s="1638" t="s">
        <v>1327</v>
      </c>
      <c r="S18" s="1638" t="s">
        <v>1327</v>
      </c>
      <c r="T18" s="1638" t="s">
        <v>1327</v>
      </c>
      <c r="U18" s="1638" t="s">
        <v>1327</v>
      </c>
      <c r="V18" s="1638" t="s">
        <v>1327</v>
      </c>
      <c r="W18" s="1638" t="s">
        <v>3067</v>
      </c>
      <c r="X18" s="1638" t="s">
        <v>3280</v>
      </c>
      <c r="Y18" s="1638" t="s">
        <v>3279</v>
      </c>
      <c r="Z18" s="1638" t="s">
        <v>3278</v>
      </c>
      <c r="AA18" s="1638" t="s">
        <v>3278</v>
      </c>
      <c r="AB18" s="1638" t="s">
        <v>3277</v>
      </c>
      <c r="AC18" s="1638" t="s">
        <v>3062</v>
      </c>
      <c r="AD18" s="1638" t="s">
        <v>3276</v>
      </c>
      <c r="AE18" s="1638">
        <v>70</v>
      </c>
      <c r="AF18" s="1638">
        <v>350</v>
      </c>
      <c r="AG18" s="1638">
        <v>720</v>
      </c>
      <c r="AH18" s="1638">
        <v>162.38</v>
      </c>
      <c r="AI18" s="1638">
        <v>334.03</v>
      </c>
      <c r="AJ18" s="1638">
        <v>1873.56</v>
      </c>
      <c r="AK18" s="1638">
        <v>3854.17</v>
      </c>
      <c r="AL18" s="1638" t="s">
        <v>1327</v>
      </c>
      <c r="AM18" s="1638" t="s">
        <v>1327</v>
      </c>
      <c r="AN18" s="1638">
        <v>105.71</v>
      </c>
      <c r="AO18" s="1638" t="s">
        <v>3060</v>
      </c>
      <c r="AP18" s="1638" t="s">
        <v>1327</v>
      </c>
      <c r="AQ18" s="1638" t="s">
        <v>1327</v>
      </c>
      <c r="AR18" s="1638" t="s">
        <v>1327</v>
      </c>
      <c r="AS18" s="1638" t="s">
        <v>3106</v>
      </c>
    </row>
    <row r="19" spans="1:45">
      <c r="A19" s="1638" t="s">
        <v>3275</v>
      </c>
      <c r="B19" s="1638" t="s">
        <v>3076</v>
      </c>
      <c r="C19" s="1638" t="s">
        <v>3075</v>
      </c>
      <c r="D19" s="1638" t="s">
        <v>3074</v>
      </c>
      <c r="E19" s="1638" t="s">
        <v>1327</v>
      </c>
      <c r="F19" s="1638" t="s">
        <v>3275</v>
      </c>
      <c r="G19" s="1638" t="s">
        <v>3072</v>
      </c>
      <c r="H19" s="1638" t="s">
        <v>3274</v>
      </c>
      <c r="I19" s="1638" t="s">
        <v>3070</v>
      </c>
      <c r="J19" s="1638">
        <v>38541</v>
      </c>
      <c r="K19" s="1638">
        <v>96352.5</v>
      </c>
      <c r="L19" s="1638" t="s">
        <v>3115</v>
      </c>
      <c r="M19" s="1638" t="s">
        <v>1327</v>
      </c>
      <c r="N19" s="1638" t="s">
        <v>3142</v>
      </c>
      <c r="O19" s="1638" t="s">
        <v>1327</v>
      </c>
      <c r="P19" s="1638" t="s">
        <v>1327</v>
      </c>
      <c r="Q19" s="1638" t="s">
        <v>1327</v>
      </c>
      <c r="R19" s="1638" t="s">
        <v>1327</v>
      </c>
      <c r="S19" s="1638" t="s">
        <v>1327</v>
      </c>
      <c r="T19" s="1638" t="s">
        <v>1327</v>
      </c>
      <c r="U19" s="1638" t="s">
        <v>1327</v>
      </c>
      <c r="V19" s="1638" t="s">
        <v>1327</v>
      </c>
      <c r="W19" s="1638" t="s">
        <v>3067</v>
      </c>
      <c r="X19" s="1638" t="s">
        <v>3273</v>
      </c>
      <c r="Y19" s="1638" t="s">
        <v>3272</v>
      </c>
      <c r="Z19" s="1638" t="s">
        <v>3271</v>
      </c>
      <c r="AA19" s="1638" t="s">
        <v>3271</v>
      </c>
      <c r="AB19" s="1638" t="s">
        <v>3270</v>
      </c>
      <c r="AC19" s="1638" t="s">
        <v>3062</v>
      </c>
      <c r="AD19" s="1638" t="s">
        <v>3269</v>
      </c>
      <c r="AE19" s="1638">
        <v>5600</v>
      </c>
      <c r="AF19" s="1638">
        <v>28000</v>
      </c>
      <c r="AG19" s="1638">
        <v>28100</v>
      </c>
      <c r="AH19" s="1638">
        <v>484.33</v>
      </c>
      <c r="AI19" s="1638">
        <v>486.06</v>
      </c>
      <c r="AJ19" s="1638">
        <v>2905.99</v>
      </c>
      <c r="AK19" s="1638">
        <v>2916.36</v>
      </c>
      <c r="AL19" s="1638" t="s">
        <v>1327</v>
      </c>
      <c r="AM19" s="1638" t="s">
        <v>1327</v>
      </c>
      <c r="AN19" s="1638">
        <v>0.36</v>
      </c>
      <c r="AO19" s="1638" t="s">
        <v>3060</v>
      </c>
      <c r="AP19" s="1638" t="s">
        <v>1327</v>
      </c>
      <c r="AQ19" s="1638" t="s">
        <v>1327</v>
      </c>
      <c r="AR19" s="1638" t="s">
        <v>1327</v>
      </c>
      <c r="AS19" s="1638" t="s">
        <v>3059</v>
      </c>
    </row>
    <row r="20" spans="1:45">
      <c r="A20" s="1638" t="s">
        <v>3268</v>
      </c>
      <c r="B20" s="1638" t="s">
        <v>3076</v>
      </c>
      <c r="C20" s="1638" t="s">
        <v>3075</v>
      </c>
      <c r="D20" s="1638" t="s">
        <v>3074</v>
      </c>
      <c r="E20" s="1638" t="s">
        <v>1327</v>
      </c>
      <c r="F20" s="1638" t="s">
        <v>3268</v>
      </c>
      <c r="G20" s="1638" t="s">
        <v>3072</v>
      </c>
      <c r="H20" s="1638" t="s">
        <v>3267</v>
      </c>
      <c r="I20" s="1638" t="s">
        <v>3070</v>
      </c>
      <c r="J20" s="1638">
        <v>146897</v>
      </c>
      <c r="K20" s="1638">
        <v>205655.8</v>
      </c>
      <c r="L20" s="1638" t="s">
        <v>3257</v>
      </c>
      <c r="M20" s="1638" t="s">
        <v>1327</v>
      </c>
      <c r="N20" s="1638" t="s">
        <v>3160</v>
      </c>
      <c r="O20" s="1638" t="s">
        <v>1327</v>
      </c>
      <c r="P20" s="1638" t="s">
        <v>1327</v>
      </c>
      <c r="Q20" s="1638" t="s">
        <v>1327</v>
      </c>
      <c r="R20" s="1638" t="s">
        <v>1327</v>
      </c>
      <c r="S20" s="1638" t="s">
        <v>1327</v>
      </c>
      <c r="T20" s="1638" t="s">
        <v>1327</v>
      </c>
      <c r="U20" s="1638" t="s">
        <v>1327</v>
      </c>
      <c r="V20" s="1638" t="s">
        <v>1327</v>
      </c>
      <c r="W20" s="1638" t="s">
        <v>3067</v>
      </c>
      <c r="X20" s="1638" t="s">
        <v>3263</v>
      </c>
      <c r="Y20" s="1638" t="s">
        <v>3262</v>
      </c>
      <c r="Z20" s="1638" t="s">
        <v>3261</v>
      </c>
      <c r="AA20" s="1638" t="s">
        <v>3261</v>
      </c>
      <c r="AB20" s="1638" t="s">
        <v>3266</v>
      </c>
      <c r="AC20" s="1638" t="s">
        <v>3062</v>
      </c>
      <c r="AD20" s="1638" t="s">
        <v>3207</v>
      </c>
      <c r="AE20" s="1638">
        <v>6400</v>
      </c>
      <c r="AF20" s="1638">
        <v>31800</v>
      </c>
      <c r="AG20" s="1638">
        <v>31800</v>
      </c>
      <c r="AH20" s="1638">
        <v>144.32</v>
      </c>
      <c r="AI20" s="1638">
        <v>144.32</v>
      </c>
      <c r="AJ20" s="1638">
        <v>1546.27</v>
      </c>
      <c r="AK20" s="1638">
        <v>1546.26</v>
      </c>
      <c r="AL20" s="1638" t="s">
        <v>1327</v>
      </c>
      <c r="AM20" s="1638" t="s">
        <v>1327</v>
      </c>
      <c r="AN20" s="1638">
        <v>0</v>
      </c>
      <c r="AO20" s="1638" t="s">
        <v>3060</v>
      </c>
      <c r="AP20" s="1638" t="s">
        <v>1327</v>
      </c>
      <c r="AQ20" s="1638" t="s">
        <v>1327</v>
      </c>
      <c r="AR20" s="1638" t="s">
        <v>1327</v>
      </c>
      <c r="AS20" s="1638" t="s">
        <v>3106</v>
      </c>
    </row>
    <row r="21" spans="1:45">
      <c r="A21" s="1638" t="s">
        <v>3265</v>
      </c>
      <c r="B21" s="1638" t="s">
        <v>3076</v>
      </c>
      <c r="C21" s="1638" t="s">
        <v>3075</v>
      </c>
      <c r="D21" s="1638" t="s">
        <v>3074</v>
      </c>
      <c r="E21" s="1638" t="s">
        <v>1327</v>
      </c>
      <c r="F21" s="1638" t="s">
        <v>3265</v>
      </c>
      <c r="G21" s="1638" t="s">
        <v>3072</v>
      </c>
      <c r="H21" s="1638" t="s">
        <v>3264</v>
      </c>
      <c r="I21" s="1638" t="s">
        <v>3070</v>
      </c>
      <c r="J21" s="1638">
        <v>175397</v>
      </c>
      <c r="K21" s="1638">
        <v>245555.8</v>
      </c>
      <c r="L21" s="1638" t="s">
        <v>3257</v>
      </c>
      <c r="M21" s="1638" t="s">
        <v>1327</v>
      </c>
      <c r="N21" s="1638" t="s">
        <v>3160</v>
      </c>
      <c r="O21" s="1638" t="s">
        <v>1327</v>
      </c>
      <c r="P21" s="1638" t="s">
        <v>1327</v>
      </c>
      <c r="Q21" s="1638" t="s">
        <v>1327</v>
      </c>
      <c r="R21" s="1638" t="s">
        <v>1327</v>
      </c>
      <c r="S21" s="1638" t="s">
        <v>1327</v>
      </c>
      <c r="T21" s="1638" t="s">
        <v>1327</v>
      </c>
      <c r="U21" s="1638" t="s">
        <v>1327</v>
      </c>
      <c r="V21" s="1638" t="s">
        <v>1327</v>
      </c>
      <c r="W21" s="1638" t="s">
        <v>3067</v>
      </c>
      <c r="X21" s="1638" t="s">
        <v>3263</v>
      </c>
      <c r="Y21" s="1638" t="s">
        <v>3262</v>
      </c>
      <c r="Z21" s="1638" t="s">
        <v>3261</v>
      </c>
      <c r="AA21" s="1638" t="s">
        <v>3261</v>
      </c>
      <c r="AB21" s="1638" t="s">
        <v>3260</v>
      </c>
      <c r="AC21" s="1638" t="s">
        <v>3062</v>
      </c>
      <c r="AD21" s="1638" t="s">
        <v>3207</v>
      </c>
      <c r="AE21" s="1638">
        <v>7500</v>
      </c>
      <c r="AF21" s="1638">
        <v>37200</v>
      </c>
      <c r="AG21" s="1638">
        <v>37200</v>
      </c>
      <c r="AH21" s="1638">
        <v>141.38999999999999</v>
      </c>
      <c r="AI21" s="1638">
        <v>141.38999999999999</v>
      </c>
      <c r="AJ21" s="1638">
        <v>1514.93</v>
      </c>
      <c r="AK21" s="1638">
        <v>1514.93</v>
      </c>
      <c r="AL21" s="1638" t="s">
        <v>1327</v>
      </c>
      <c r="AM21" s="1638" t="s">
        <v>1327</v>
      </c>
      <c r="AN21" s="1638">
        <v>0</v>
      </c>
      <c r="AO21" s="1638" t="s">
        <v>3060</v>
      </c>
      <c r="AP21" s="1638" t="s">
        <v>1327</v>
      </c>
      <c r="AQ21" s="1638" t="s">
        <v>1327</v>
      </c>
      <c r="AR21" s="1638" t="s">
        <v>1327</v>
      </c>
      <c r="AS21" s="1638" t="s">
        <v>3106</v>
      </c>
    </row>
    <row r="22" spans="1:45">
      <c r="A22" s="1638" t="s">
        <v>3259</v>
      </c>
      <c r="B22" s="1638" t="s">
        <v>3076</v>
      </c>
      <c r="C22" s="1638" t="s">
        <v>3075</v>
      </c>
      <c r="D22" s="1638" t="s">
        <v>3074</v>
      </c>
      <c r="E22" s="1638" t="s">
        <v>1327</v>
      </c>
      <c r="F22" s="1638" t="s">
        <v>3259</v>
      </c>
      <c r="G22" s="1638" t="s">
        <v>3072</v>
      </c>
      <c r="H22" s="1638" t="s">
        <v>3258</v>
      </c>
      <c r="I22" s="1638" t="s">
        <v>3070</v>
      </c>
      <c r="J22" s="1638">
        <v>3432</v>
      </c>
      <c r="K22" s="1638">
        <v>4804.8</v>
      </c>
      <c r="L22" s="1638" t="s">
        <v>3257</v>
      </c>
      <c r="M22" s="1638" t="s">
        <v>1327</v>
      </c>
      <c r="N22" s="1638" t="s">
        <v>3173</v>
      </c>
      <c r="O22" s="1638" t="s">
        <v>1327</v>
      </c>
      <c r="P22" s="1638" t="s">
        <v>1327</v>
      </c>
      <c r="Q22" s="1638" t="s">
        <v>1327</v>
      </c>
      <c r="R22" s="1638" t="s">
        <v>1327</v>
      </c>
      <c r="S22" s="1638" t="s">
        <v>1327</v>
      </c>
      <c r="T22" s="1638" t="s">
        <v>1327</v>
      </c>
      <c r="U22" s="1638" t="s">
        <v>1327</v>
      </c>
      <c r="V22" s="1638" t="s">
        <v>1327</v>
      </c>
      <c r="W22" s="1638" t="s">
        <v>3067</v>
      </c>
      <c r="X22" s="1638" t="s">
        <v>3244</v>
      </c>
      <c r="Y22" s="1638" t="s">
        <v>3243</v>
      </c>
      <c r="Z22" s="1638" t="s">
        <v>3242</v>
      </c>
      <c r="AA22" s="1638" t="s">
        <v>3242</v>
      </c>
      <c r="AB22" s="1638" t="s">
        <v>3256</v>
      </c>
      <c r="AC22" s="1638" t="s">
        <v>3062</v>
      </c>
      <c r="AD22" s="1638" t="s">
        <v>3255</v>
      </c>
      <c r="AE22" s="1638">
        <v>100</v>
      </c>
      <c r="AF22" s="1638">
        <v>480</v>
      </c>
      <c r="AG22" s="1638">
        <v>480</v>
      </c>
      <c r="AH22" s="1638">
        <v>93.24</v>
      </c>
      <c r="AI22" s="1638">
        <v>93.24</v>
      </c>
      <c r="AJ22" s="1638">
        <v>999</v>
      </c>
      <c r="AK22" s="1638">
        <v>999</v>
      </c>
      <c r="AL22" s="1638" t="s">
        <v>1327</v>
      </c>
      <c r="AM22" s="1638" t="s">
        <v>1327</v>
      </c>
      <c r="AN22" s="1638">
        <v>0</v>
      </c>
      <c r="AO22" s="1638" t="s">
        <v>3060</v>
      </c>
      <c r="AP22" s="1638" t="s">
        <v>1327</v>
      </c>
      <c r="AQ22" s="1638" t="s">
        <v>1327</v>
      </c>
      <c r="AR22" s="1638" t="s">
        <v>1327</v>
      </c>
      <c r="AS22" s="1638" t="s">
        <v>3106</v>
      </c>
    </row>
    <row r="23" spans="1:45">
      <c r="A23" s="1638" t="s">
        <v>3254</v>
      </c>
      <c r="B23" s="1638" t="s">
        <v>3076</v>
      </c>
      <c r="C23" s="1638" t="s">
        <v>3075</v>
      </c>
      <c r="D23" s="1638" t="s">
        <v>3074</v>
      </c>
      <c r="E23" s="1638" t="s">
        <v>1327</v>
      </c>
      <c r="F23" s="1638" t="s">
        <v>3254</v>
      </c>
      <c r="G23" s="1638" t="s">
        <v>3072</v>
      </c>
      <c r="H23" s="1638" t="s">
        <v>3253</v>
      </c>
      <c r="I23" s="1638" t="s">
        <v>3070</v>
      </c>
      <c r="J23" s="1638">
        <v>5182</v>
      </c>
      <c r="K23" s="1638">
        <v>9327.6</v>
      </c>
      <c r="L23" s="1638" t="s">
        <v>3174</v>
      </c>
      <c r="M23" s="1638" t="s">
        <v>1327</v>
      </c>
      <c r="N23" s="1638" t="s">
        <v>3173</v>
      </c>
      <c r="O23" s="1638" t="s">
        <v>1327</v>
      </c>
      <c r="P23" s="1638" t="s">
        <v>1327</v>
      </c>
      <c r="Q23" s="1638" t="s">
        <v>1327</v>
      </c>
      <c r="R23" s="1638" t="s">
        <v>1327</v>
      </c>
      <c r="S23" s="1638" t="s">
        <v>1327</v>
      </c>
      <c r="T23" s="1638" t="s">
        <v>1327</v>
      </c>
      <c r="U23" s="1638" t="s">
        <v>1327</v>
      </c>
      <c r="V23" s="1638" t="s">
        <v>1327</v>
      </c>
      <c r="W23" s="1638" t="s">
        <v>3067</v>
      </c>
      <c r="X23" s="1638" t="s">
        <v>3244</v>
      </c>
      <c r="Y23" s="1638" t="s">
        <v>3243</v>
      </c>
      <c r="Z23" s="1638" t="s">
        <v>3242</v>
      </c>
      <c r="AA23" s="1638" t="s">
        <v>3242</v>
      </c>
      <c r="AB23" s="1638" t="s">
        <v>3252</v>
      </c>
      <c r="AC23" s="1638" t="s">
        <v>3062</v>
      </c>
      <c r="AD23" s="1638" t="s">
        <v>3251</v>
      </c>
      <c r="AE23" s="1638">
        <v>200</v>
      </c>
      <c r="AF23" s="1638">
        <v>1000</v>
      </c>
      <c r="AG23" s="1638">
        <v>2065</v>
      </c>
      <c r="AH23" s="1638">
        <v>128.65</v>
      </c>
      <c r="AI23" s="1638">
        <v>265.66000000000003</v>
      </c>
      <c r="AJ23" s="1638">
        <v>1072.08</v>
      </c>
      <c r="AK23" s="1638">
        <v>2213.86</v>
      </c>
      <c r="AL23" s="1638" t="s">
        <v>1327</v>
      </c>
      <c r="AM23" s="1638" t="s">
        <v>1327</v>
      </c>
      <c r="AN23" s="1638">
        <v>106.5</v>
      </c>
      <c r="AO23" s="1638" t="s">
        <v>3060</v>
      </c>
      <c r="AP23" s="1638" t="s">
        <v>1327</v>
      </c>
      <c r="AQ23" s="1638" t="s">
        <v>1327</v>
      </c>
      <c r="AR23" s="1638" t="s">
        <v>1327</v>
      </c>
      <c r="AS23" s="1638" t="s">
        <v>3106</v>
      </c>
    </row>
    <row r="24" spans="1:45" hidden="1">
      <c r="A24" s="1638" t="s">
        <v>3250</v>
      </c>
      <c r="B24" s="1638" t="s">
        <v>3076</v>
      </c>
      <c r="C24" s="1638" t="s">
        <v>3075</v>
      </c>
      <c r="D24" s="1638" t="s">
        <v>3074</v>
      </c>
      <c r="E24" s="1638" t="s">
        <v>1327</v>
      </c>
      <c r="F24" s="1638" t="s">
        <v>3250</v>
      </c>
      <c r="G24" s="1638" t="s">
        <v>3072</v>
      </c>
      <c r="H24" s="1638" t="s">
        <v>3249</v>
      </c>
      <c r="I24" s="1638" t="s">
        <v>3070</v>
      </c>
      <c r="J24" s="1638">
        <v>76339</v>
      </c>
      <c r="K24" s="1638">
        <v>76339</v>
      </c>
      <c r="L24" s="1638" t="s">
        <v>3213</v>
      </c>
      <c r="M24" s="1638" t="s">
        <v>1327</v>
      </c>
      <c r="N24" s="1638" t="s">
        <v>3248</v>
      </c>
      <c r="O24" s="1638" t="s">
        <v>1327</v>
      </c>
      <c r="P24" s="1638" t="s">
        <v>1327</v>
      </c>
      <c r="Q24" s="1638" t="s">
        <v>1327</v>
      </c>
      <c r="R24" s="1638" t="s">
        <v>1327</v>
      </c>
      <c r="S24" s="1638" t="s">
        <v>1327</v>
      </c>
      <c r="T24" s="1638" t="s">
        <v>1327</v>
      </c>
      <c r="U24" s="1638" t="s">
        <v>1327</v>
      </c>
      <c r="V24" s="1638" t="s">
        <v>1327</v>
      </c>
      <c r="W24" s="1638" t="s">
        <v>3067</v>
      </c>
      <c r="X24" s="1638" t="s">
        <v>3244</v>
      </c>
      <c r="Y24" s="1638" t="s">
        <v>3243</v>
      </c>
      <c r="Z24" s="1638" t="s">
        <v>3242</v>
      </c>
      <c r="AA24" s="1638" t="s">
        <v>3242</v>
      </c>
      <c r="AB24" s="1638" t="s">
        <v>3247</v>
      </c>
      <c r="AC24" s="1638" t="s">
        <v>3062</v>
      </c>
      <c r="AD24" s="1638" t="s">
        <v>3207</v>
      </c>
      <c r="AE24" s="1638">
        <v>1350</v>
      </c>
      <c r="AF24" s="1638">
        <v>6630</v>
      </c>
      <c r="AG24" s="1638">
        <v>6630</v>
      </c>
      <c r="AH24" s="1638">
        <v>57.9</v>
      </c>
      <c r="AI24" s="1638">
        <v>57.9</v>
      </c>
      <c r="AJ24" s="1638">
        <v>868.49</v>
      </c>
      <c r="AK24" s="1638">
        <v>868.49</v>
      </c>
      <c r="AL24" s="1638" t="s">
        <v>1327</v>
      </c>
      <c r="AM24" s="1638" t="s">
        <v>1327</v>
      </c>
      <c r="AN24" s="1638">
        <v>0</v>
      </c>
      <c r="AO24" s="1638" t="s">
        <v>3060</v>
      </c>
      <c r="AP24" s="1638" t="s">
        <v>1327</v>
      </c>
      <c r="AQ24" s="1638" t="s">
        <v>1327</v>
      </c>
      <c r="AR24" s="1638" t="s">
        <v>1327</v>
      </c>
      <c r="AS24" s="1638" t="s">
        <v>3106</v>
      </c>
    </row>
    <row r="25" spans="1:45">
      <c r="A25" s="1638" t="s">
        <v>3246</v>
      </c>
      <c r="B25" s="1638" t="s">
        <v>3076</v>
      </c>
      <c r="C25" s="1638" t="s">
        <v>3075</v>
      </c>
      <c r="D25" s="1638" t="s">
        <v>3074</v>
      </c>
      <c r="E25" s="1638" t="s">
        <v>1327</v>
      </c>
      <c r="F25" s="1638" t="s">
        <v>3246</v>
      </c>
      <c r="G25" s="1638" t="s">
        <v>3072</v>
      </c>
      <c r="H25" s="1638" t="s">
        <v>3245</v>
      </c>
      <c r="I25" s="1638" t="s">
        <v>3070</v>
      </c>
      <c r="J25" s="1638">
        <v>15750</v>
      </c>
      <c r="K25" s="1638">
        <v>39375</v>
      </c>
      <c r="L25" s="1638" t="s">
        <v>3115</v>
      </c>
      <c r="M25" s="1638" t="s">
        <v>1327</v>
      </c>
      <c r="N25" s="1638" t="s">
        <v>3160</v>
      </c>
      <c r="O25" s="1638" t="s">
        <v>1327</v>
      </c>
      <c r="P25" s="1638" t="s">
        <v>1327</v>
      </c>
      <c r="Q25" s="1638" t="s">
        <v>1327</v>
      </c>
      <c r="R25" s="1638" t="s">
        <v>1327</v>
      </c>
      <c r="S25" s="1638" t="s">
        <v>1327</v>
      </c>
      <c r="T25" s="1638" t="s">
        <v>1327</v>
      </c>
      <c r="U25" s="1638" t="s">
        <v>1327</v>
      </c>
      <c r="V25" s="1638" t="s">
        <v>1327</v>
      </c>
      <c r="W25" s="1638" t="s">
        <v>3067</v>
      </c>
      <c r="X25" s="1638" t="s">
        <v>3244</v>
      </c>
      <c r="Y25" s="1638" t="s">
        <v>3243</v>
      </c>
      <c r="Z25" s="1638" t="s">
        <v>3242</v>
      </c>
      <c r="AA25" s="1638" t="s">
        <v>3242</v>
      </c>
      <c r="AB25" s="1638" t="s">
        <v>3241</v>
      </c>
      <c r="AC25" s="1638" t="s">
        <v>3062</v>
      </c>
      <c r="AD25" s="1638" t="s">
        <v>3240</v>
      </c>
      <c r="AE25" s="1638">
        <v>1100</v>
      </c>
      <c r="AF25" s="1638">
        <v>5380</v>
      </c>
      <c r="AG25" s="1638">
        <v>5410</v>
      </c>
      <c r="AH25" s="1638">
        <v>227.72</v>
      </c>
      <c r="AI25" s="1638">
        <v>228.99</v>
      </c>
      <c r="AJ25" s="1638">
        <v>1366.34</v>
      </c>
      <c r="AK25" s="1638">
        <v>1373.97</v>
      </c>
      <c r="AL25" s="1638" t="s">
        <v>1327</v>
      </c>
      <c r="AM25" s="1638" t="s">
        <v>1327</v>
      </c>
      <c r="AN25" s="1638">
        <v>0.56000000000000005</v>
      </c>
      <c r="AO25" s="1638" t="s">
        <v>3060</v>
      </c>
      <c r="AP25" s="1638" t="s">
        <v>1327</v>
      </c>
      <c r="AQ25" s="1638" t="s">
        <v>1327</v>
      </c>
      <c r="AR25" s="1638" t="s">
        <v>1327</v>
      </c>
      <c r="AS25" s="1638" t="s">
        <v>3106</v>
      </c>
    </row>
    <row r="26" spans="1:45">
      <c r="A26" s="1638" t="s">
        <v>3239</v>
      </c>
      <c r="B26" s="1638" t="s">
        <v>3076</v>
      </c>
      <c r="C26" s="1638" t="s">
        <v>3075</v>
      </c>
      <c r="D26" s="1638" t="s">
        <v>3074</v>
      </c>
      <c r="E26" s="1638" t="s">
        <v>1327</v>
      </c>
      <c r="F26" s="1638" t="s">
        <v>3239</v>
      </c>
      <c r="G26" s="1638" t="s">
        <v>3072</v>
      </c>
      <c r="H26" s="1638" t="s">
        <v>3238</v>
      </c>
      <c r="I26" s="1638" t="s">
        <v>3070</v>
      </c>
      <c r="J26" s="1638">
        <v>7603</v>
      </c>
      <c r="K26" s="1638">
        <v>15206</v>
      </c>
      <c r="L26" s="1638" t="s">
        <v>3143</v>
      </c>
      <c r="M26" s="1638" t="s">
        <v>1327</v>
      </c>
      <c r="N26" s="1638" t="s">
        <v>3114</v>
      </c>
      <c r="O26" s="1638" t="s">
        <v>1327</v>
      </c>
      <c r="P26" s="1638" t="s">
        <v>1327</v>
      </c>
      <c r="Q26" s="1638" t="s">
        <v>1327</v>
      </c>
      <c r="R26" s="1638" t="s">
        <v>1327</v>
      </c>
      <c r="S26" s="1638" t="s">
        <v>1327</v>
      </c>
      <c r="T26" s="1638" t="s">
        <v>1327</v>
      </c>
      <c r="U26" s="1638" t="s">
        <v>1327</v>
      </c>
      <c r="V26" s="1638" t="s">
        <v>1327</v>
      </c>
      <c r="W26" s="1638" t="s">
        <v>3067</v>
      </c>
      <c r="X26" s="1638" t="s">
        <v>3237</v>
      </c>
      <c r="Y26" s="1638" t="s">
        <v>3236</v>
      </c>
      <c r="Z26" s="1638" t="s">
        <v>3235</v>
      </c>
      <c r="AA26" s="1638" t="s">
        <v>3235</v>
      </c>
      <c r="AB26" s="1638" t="s">
        <v>3234</v>
      </c>
      <c r="AC26" s="1638" t="s">
        <v>3062</v>
      </c>
      <c r="AD26" s="1638" t="s">
        <v>3233</v>
      </c>
      <c r="AE26" s="1638">
        <v>260</v>
      </c>
      <c r="AF26" s="1638">
        <v>1260</v>
      </c>
      <c r="AG26" s="1638">
        <v>1260</v>
      </c>
      <c r="AH26" s="1638">
        <v>110.48</v>
      </c>
      <c r="AI26" s="1638">
        <v>110.48</v>
      </c>
      <c r="AJ26" s="1638">
        <v>828.62</v>
      </c>
      <c r="AK26" s="1638">
        <v>828.62</v>
      </c>
      <c r="AL26" s="1638" t="s">
        <v>1327</v>
      </c>
      <c r="AM26" s="1638" t="s">
        <v>1327</v>
      </c>
      <c r="AN26" s="1638">
        <v>0</v>
      </c>
      <c r="AO26" s="1638" t="s">
        <v>3060</v>
      </c>
      <c r="AP26" s="1638" t="s">
        <v>1327</v>
      </c>
      <c r="AQ26" s="1638" t="s">
        <v>1327</v>
      </c>
      <c r="AR26" s="1638" t="s">
        <v>1327</v>
      </c>
      <c r="AS26" s="1638" t="s">
        <v>3059</v>
      </c>
    </row>
    <row r="27" spans="1:45">
      <c r="A27" s="1638" t="s">
        <v>3232</v>
      </c>
      <c r="B27" s="1638" t="s">
        <v>3076</v>
      </c>
      <c r="C27" s="1638" t="s">
        <v>3075</v>
      </c>
      <c r="D27" s="1638" t="s">
        <v>3074</v>
      </c>
      <c r="E27" s="1638" t="s">
        <v>1327</v>
      </c>
      <c r="F27" s="1638" t="s">
        <v>3232</v>
      </c>
      <c r="G27" s="1638" t="s">
        <v>3072</v>
      </c>
      <c r="H27" s="1638" t="s">
        <v>3231</v>
      </c>
      <c r="I27" s="1638" t="s">
        <v>3070</v>
      </c>
      <c r="J27" s="1638">
        <v>6606</v>
      </c>
      <c r="K27" s="1638">
        <v>13212</v>
      </c>
      <c r="L27" s="1638" t="s">
        <v>3143</v>
      </c>
      <c r="M27" s="1638" t="s">
        <v>1327</v>
      </c>
      <c r="N27" s="1638" t="s">
        <v>3230</v>
      </c>
      <c r="O27" s="1638" t="s">
        <v>1327</v>
      </c>
      <c r="P27" s="1638" t="s">
        <v>1327</v>
      </c>
      <c r="Q27" s="1638" t="s">
        <v>1327</v>
      </c>
      <c r="R27" s="1638" t="s">
        <v>1327</v>
      </c>
      <c r="S27" s="1638" t="s">
        <v>1327</v>
      </c>
      <c r="T27" s="1638" t="s">
        <v>1327</v>
      </c>
      <c r="U27" s="1638" t="s">
        <v>1327</v>
      </c>
      <c r="V27" s="1638" t="s">
        <v>1327</v>
      </c>
      <c r="W27" s="1638" t="s">
        <v>3067</v>
      </c>
      <c r="X27" s="1638" t="s">
        <v>3209</v>
      </c>
      <c r="Y27" s="1638" t="s">
        <v>3229</v>
      </c>
      <c r="Z27" s="1638" t="s">
        <v>3228</v>
      </c>
      <c r="AA27" s="1638" t="s">
        <v>3228</v>
      </c>
      <c r="AB27" s="1638" t="s">
        <v>3227</v>
      </c>
      <c r="AC27" s="1638" t="s">
        <v>3062</v>
      </c>
      <c r="AD27" s="1638" t="s">
        <v>3226</v>
      </c>
      <c r="AE27" s="1638">
        <v>190</v>
      </c>
      <c r="AF27" s="1638">
        <v>925</v>
      </c>
      <c r="AG27" s="1638">
        <v>925</v>
      </c>
      <c r="AH27" s="1638">
        <v>93.35</v>
      </c>
      <c r="AI27" s="1638">
        <v>93.35</v>
      </c>
      <c r="AJ27" s="1638">
        <v>700.12</v>
      </c>
      <c r="AK27" s="1638">
        <v>700.12</v>
      </c>
      <c r="AL27" s="1638" t="s">
        <v>1327</v>
      </c>
      <c r="AM27" s="1638" t="s">
        <v>1327</v>
      </c>
      <c r="AN27" s="1638">
        <v>0</v>
      </c>
      <c r="AO27" s="1638" t="s">
        <v>3060</v>
      </c>
      <c r="AP27" s="1638" t="s">
        <v>1327</v>
      </c>
      <c r="AQ27" s="1638" t="s">
        <v>1327</v>
      </c>
      <c r="AR27" s="1638" t="s">
        <v>1327</v>
      </c>
      <c r="AS27" s="1638" t="s">
        <v>3091</v>
      </c>
    </row>
    <row r="28" spans="1:45">
      <c r="A28" s="1638" t="s">
        <v>3225</v>
      </c>
      <c r="B28" s="1638" t="s">
        <v>3076</v>
      </c>
      <c r="C28" s="1638" t="s">
        <v>3075</v>
      </c>
      <c r="D28" s="1638" t="s">
        <v>3074</v>
      </c>
      <c r="E28" s="1638" t="s">
        <v>1327</v>
      </c>
      <c r="F28" s="1638" t="s">
        <v>3225</v>
      </c>
      <c r="G28" s="1638" t="s">
        <v>3072</v>
      </c>
      <c r="H28" s="1638" t="s">
        <v>3224</v>
      </c>
      <c r="I28" s="1638" t="s">
        <v>3070</v>
      </c>
      <c r="J28" s="1638">
        <v>11012</v>
      </c>
      <c r="K28" s="1638">
        <v>22024</v>
      </c>
      <c r="L28" s="1638" t="s">
        <v>3143</v>
      </c>
      <c r="M28" s="1638" t="s">
        <v>1327</v>
      </c>
      <c r="N28" s="1638" t="s">
        <v>3212</v>
      </c>
      <c r="O28" s="1638" t="s">
        <v>1327</v>
      </c>
      <c r="P28" s="1638" t="s">
        <v>1327</v>
      </c>
      <c r="Q28" s="1638" t="s">
        <v>1327</v>
      </c>
      <c r="R28" s="1638" t="s">
        <v>1327</v>
      </c>
      <c r="S28" s="1638" t="s">
        <v>1327</v>
      </c>
      <c r="T28" s="1638" t="s">
        <v>1327</v>
      </c>
      <c r="U28" s="1638" t="s">
        <v>1327</v>
      </c>
      <c r="V28" s="1638" t="s">
        <v>1327</v>
      </c>
      <c r="W28" s="1638" t="s">
        <v>3067</v>
      </c>
      <c r="X28" s="1638" t="s">
        <v>3223</v>
      </c>
      <c r="Y28" s="1638" t="s">
        <v>3222</v>
      </c>
      <c r="Z28" s="1638" t="s">
        <v>3221</v>
      </c>
      <c r="AA28" s="1638" t="s">
        <v>3221</v>
      </c>
      <c r="AB28" s="1638" t="s">
        <v>3220</v>
      </c>
      <c r="AC28" s="1638" t="s">
        <v>3062</v>
      </c>
      <c r="AD28" s="1638" t="s">
        <v>3219</v>
      </c>
      <c r="AE28" s="1638">
        <v>230</v>
      </c>
      <c r="AF28" s="1638">
        <v>1150</v>
      </c>
      <c r="AG28" s="1638">
        <v>1150</v>
      </c>
      <c r="AH28" s="1638">
        <v>69.62</v>
      </c>
      <c r="AI28" s="1638">
        <v>69.62</v>
      </c>
      <c r="AJ28" s="1638">
        <v>522.15</v>
      </c>
      <c r="AK28" s="1638">
        <v>522.15</v>
      </c>
      <c r="AL28" s="1638" t="s">
        <v>1327</v>
      </c>
      <c r="AM28" s="1638" t="s">
        <v>1327</v>
      </c>
      <c r="AN28" s="1638">
        <v>0</v>
      </c>
      <c r="AO28" s="1638" t="s">
        <v>3060</v>
      </c>
      <c r="AP28" s="1638" t="s">
        <v>1327</v>
      </c>
      <c r="AQ28" s="1638" t="s">
        <v>1327</v>
      </c>
      <c r="AR28" s="1638" t="s">
        <v>1327</v>
      </c>
      <c r="AS28" s="1638" t="s">
        <v>3106</v>
      </c>
    </row>
    <row r="29" spans="1:45" s="2949" customFormat="1">
      <c r="A29" s="2949" t="s">
        <v>3218</v>
      </c>
      <c r="B29" s="2949" t="s">
        <v>3076</v>
      </c>
      <c r="C29" s="2949" t="s">
        <v>3075</v>
      </c>
      <c r="D29" s="2949" t="s">
        <v>3074</v>
      </c>
      <c r="E29" s="2949" t="s">
        <v>1327</v>
      </c>
      <c r="F29" s="2949" t="s">
        <v>3218</v>
      </c>
      <c r="G29" s="2949" t="s">
        <v>3072</v>
      </c>
      <c r="H29" s="2949" t="s">
        <v>3217</v>
      </c>
      <c r="I29" s="2949" t="s">
        <v>3070</v>
      </c>
      <c r="J29" s="2949">
        <v>24993</v>
      </c>
      <c r="K29" s="2949">
        <v>37489.5</v>
      </c>
      <c r="L29" s="2949" t="s">
        <v>3137</v>
      </c>
      <c r="M29" s="2949" t="s">
        <v>1327</v>
      </c>
      <c r="N29" s="2949" t="s">
        <v>3114</v>
      </c>
      <c r="O29" s="2949" t="s">
        <v>1327</v>
      </c>
      <c r="P29" s="2949" t="s">
        <v>1327</v>
      </c>
      <c r="Q29" s="2949" t="s">
        <v>1327</v>
      </c>
      <c r="R29" s="2949" t="s">
        <v>1327</v>
      </c>
      <c r="S29" s="2949" t="s">
        <v>1327</v>
      </c>
      <c r="T29" s="2949" t="s">
        <v>1327</v>
      </c>
      <c r="U29" s="2949" t="s">
        <v>1327</v>
      </c>
      <c r="V29" s="2949" t="s">
        <v>1327</v>
      </c>
      <c r="W29" s="2949" t="s">
        <v>3067</v>
      </c>
      <c r="X29" s="2949" t="s">
        <v>3211</v>
      </c>
      <c r="Y29" s="2949" t="s">
        <v>3210</v>
      </c>
      <c r="Z29" s="2949" t="s">
        <v>3209</v>
      </c>
      <c r="AA29" s="2949" t="s">
        <v>3209</v>
      </c>
      <c r="AB29" s="2949" t="s">
        <v>3208</v>
      </c>
      <c r="AC29" s="2949" t="s">
        <v>3062</v>
      </c>
      <c r="AD29" s="2949" t="s">
        <v>3216</v>
      </c>
      <c r="AE29" s="2949">
        <v>830</v>
      </c>
      <c r="AF29" s="2949">
        <v>4110</v>
      </c>
      <c r="AG29" s="2949">
        <v>4110</v>
      </c>
      <c r="AH29" s="2949">
        <v>109.63</v>
      </c>
      <c r="AI29" s="2949">
        <v>109.63</v>
      </c>
      <c r="AJ29" s="2949">
        <v>1096.3</v>
      </c>
      <c r="AK29" s="2949">
        <v>1096.3</v>
      </c>
      <c r="AL29" s="2949" t="s">
        <v>1327</v>
      </c>
      <c r="AM29" s="2949" t="s">
        <v>1327</v>
      </c>
      <c r="AN29" s="2949">
        <v>0</v>
      </c>
      <c r="AO29" s="2949" t="s">
        <v>3060</v>
      </c>
      <c r="AP29" s="2949" t="s">
        <v>1327</v>
      </c>
      <c r="AQ29" s="2949" t="s">
        <v>1327</v>
      </c>
      <c r="AR29" s="2949" t="s">
        <v>1327</v>
      </c>
      <c r="AS29" s="2949" t="s">
        <v>3059</v>
      </c>
    </row>
    <row r="30" spans="1:45">
      <c r="A30" s="1638" t="s">
        <v>3215</v>
      </c>
      <c r="B30" s="1638" t="s">
        <v>3076</v>
      </c>
      <c r="C30" s="1638" t="s">
        <v>3075</v>
      </c>
      <c r="D30" s="1638" t="s">
        <v>3074</v>
      </c>
      <c r="E30" s="1638" t="s">
        <v>1327</v>
      </c>
      <c r="F30" s="1638" t="s">
        <v>3215</v>
      </c>
      <c r="G30" s="1638" t="s">
        <v>3072</v>
      </c>
      <c r="H30" s="1638" t="s">
        <v>3214</v>
      </c>
      <c r="I30" s="1638" t="s">
        <v>3070</v>
      </c>
      <c r="J30" s="1638">
        <v>19062</v>
      </c>
      <c r="K30" s="1638">
        <v>19062</v>
      </c>
      <c r="L30" s="1638" t="s">
        <v>3213</v>
      </c>
      <c r="M30" s="1638" t="s">
        <v>1327</v>
      </c>
      <c r="N30" s="1638" t="s">
        <v>3212</v>
      </c>
      <c r="O30" s="1638" t="s">
        <v>1327</v>
      </c>
      <c r="P30" s="1638" t="s">
        <v>1327</v>
      </c>
      <c r="Q30" s="1638" t="s">
        <v>1327</v>
      </c>
      <c r="R30" s="1638" t="s">
        <v>1327</v>
      </c>
      <c r="S30" s="1638" t="s">
        <v>1327</v>
      </c>
      <c r="T30" s="1638" t="s">
        <v>1327</v>
      </c>
      <c r="U30" s="1638" t="s">
        <v>1327</v>
      </c>
      <c r="V30" s="1638" t="s">
        <v>1327</v>
      </c>
      <c r="W30" s="1638" t="s">
        <v>3067</v>
      </c>
      <c r="X30" s="1638" t="s">
        <v>3211</v>
      </c>
      <c r="Y30" s="1638" t="s">
        <v>3210</v>
      </c>
      <c r="Z30" s="1638" t="s">
        <v>3209</v>
      </c>
      <c r="AA30" s="1638" t="s">
        <v>3209</v>
      </c>
      <c r="AB30" s="1638" t="s">
        <v>3208</v>
      </c>
      <c r="AC30" s="1638" t="s">
        <v>3062</v>
      </c>
      <c r="AD30" s="1638" t="s">
        <v>3207</v>
      </c>
      <c r="AE30" s="1638">
        <v>340</v>
      </c>
      <c r="AF30" s="1638">
        <v>1660</v>
      </c>
      <c r="AG30" s="1638">
        <v>1660</v>
      </c>
      <c r="AH30" s="1638">
        <v>58.06</v>
      </c>
      <c r="AI30" s="1638">
        <v>58.06</v>
      </c>
      <c r="AJ30" s="1638">
        <v>870.84</v>
      </c>
      <c r="AK30" s="1638">
        <v>870.84</v>
      </c>
      <c r="AL30" s="1638" t="s">
        <v>1327</v>
      </c>
      <c r="AM30" s="1638" t="s">
        <v>1327</v>
      </c>
      <c r="AN30" s="1638">
        <v>0</v>
      </c>
      <c r="AO30" s="1638" t="s">
        <v>3060</v>
      </c>
      <c r="AP30" s="1638" t="s">
        <v>1327</v>
      </c>
      <c r="AQ30" s="1638" t="s">
        <v>1327</v>
      </c>
      <c r="AR30" s="1638" t="s">
        <v>1327</v>
      </c>
      <c r="AS30" s="1638" t="s">
        <v>3106</v>
      </c>
    </row>
    <row r="31" spans="1:45">
      <c r="A31" s="1638" t="s">
        <v>3206</v>
      </c>
      <c r="B31" s="1638" t="s">
        <v>3076</v>
      </c>
      <c r="C31" s="1638" t="s">
        <v>3075</v>
      </c>
      <c r="D31" s="1638" t="s">
        <v>3074</v>
      </c>
      <c r="E31" s="1638" t="s">
        <v>1327</v>
      </c>
      <c r="F31" s="1638" t="s">
        <v>3206</v>
      </c>
      <c r="G31" s="1638" t="s">
        <v>3072</v>
      </c>
      <c r="H31" s="1638" t="s">
        <v>3205</v>
      </c>
      <c r="I31" s="1638" t="s">
        <v>3070</v>
      </c>
      <c r="J31" s="1638">
        <v>3565</v>
      </c>
      <c r="K31" s="1638">
        <v>16042.5</v>
      </c>
      <c r="L31" s="1638" t="s">
        <v>3204</v>
      </c>
      <c r="M31" s="1638" t="s">
        <v>1327</v>
      </c>
      <c r="N31" s="1638" t="s">
        <v>3173</v>
      </c>
      <c r="O31" s="1638" t="s">
        <v>1327</v>
      </c>
      <c r="P31" s="1638" t="s">
        <v>1327</v>
      </c>
      <c r="Q31" s="1638" t="s">
        <v>1327</v>
      </c>
      <c r="R31" s="1638" t="s">
        <v>1327</v>
      </c>
      <c r="S31" s="1638" t="s">
        <v>1327</v>
      </c>
      <c r="T31" s="1638" t="s">
        <v>1327</v>
      </c>
      <c r="U31" s="1638" t="s">
        <v>1327</v>
      </c>
      <c r="V31" s="1638" t="s">
        <v>1327</v>
      </c>
      <c r="W31" s="1638" t="s">
        <v>3067</v>
      </c>
      <c r="X31" s="1638" t="s">
        <v>3171</v>
      </c>
      <c r="Y31" s="1638" t="s">
        <v>3170</v>
      </c>
      <c r="Z31" s="1638" t="s">
        <v>3192</v>
      </c>
      <c r="AA31" s="1638" t="s">
        <v>3192</v>
      </c>
      <c r="AB31" s="1638" t="s">
        <v>3203</v>
      </c>
      <c r="AC31" s="1638" t="s">
        <v>3062</v>
      </c>
      <c r="AD31" s="1638" t="s">
        <v>3202</v>
      </c>
      <c r="AE31" s="1638">
        <v>290</v>
      </c>
      <c r="AF31" s="1638">
        <v>1410</v>
      </c>
      <c r="AG31" s="1638">
        <v>1420</v>
      </c>
      <c r="AH31" s="1638">
        <v>263.67</v>
      </c>
      <c r="AI31" s="1638">
        <v>265.54000000000002</v>
      </c>
      <c r="AJ31" s="1638">
        <v>878.91</v>
      </c>
      <c r="AK31" s="1638">
        <v>885.14</v>
      </c>
      <c r="AL31" s="1638" t="s">
        <v>1327</v>
      </c>
      <c r="AM31" s="1638" t="s">
        <v>1327</v>
      </c>
      <c r="AN31" s="1638">
        <v>0.71</v>
      </c>
      <c r="AO31" s="1638" t="s">
        <v>3060</v>
      </c>
      <c r="AP31" s="1638" t="s">
        <v>1327</v>
      </c>
      <c r="AQ31" s="1638" t="s">
        <v>1327</v>
      </c>
      <c r="AR31" s="1638" t="s">
        <v>1327</v>
      </c>
      <c r="AS31" s="1638" t="s">
        <v>3059</v>
      </c>
    </row>
    <row r="32" spans="1:45">
      <c r="A32" s="1638" t="s">
        <v>3201</v>
      </c>
      <c r="B32" s="1638" t="s">
        <v>3076</v>
      </c>
      <c r="C32" s="1638" t="s">
        <v>3075</v>
      </c>
      <c r="D32" s="1638" t="s">
        <v>3074</v>
      </c>
      <c r="E32" s="1638" t="s">
        <v>1327</v>
      </c>
      <c r="F32" s="1638" t="s">
        <v>3201</v>
      </c>
      <c r="G32" s="1638" t="s">
        <v>3072</v>
      </c>
      <c r="H32" s="1638" t="s">
        <v>3200</v>
      </c>
      <c r="I32" s="1638" t="s">
        <v>3070</v>
      </c>
      <c r="J32" s="1638">
        <v>16104</v>
      </c>
      <c r="K32" s="1638">
        <v>40260</v>
      </c>
      <c r="L32" s="1638" t="s">
        <v>3115</v>
      </c>
      <c r="M32" s="1638" t="s">
        <v>1327</v>
      </c>
      <c r="N32" s="1638" t="s">
        <v>3199</v>
      </c>
      <c r="O32" s="1638" t="s">
        <v>1327</v>
      </c>
      <c r="P32" s="1638" t="s">
        <v>1327</v>
      </c>
      <c r="Q32" s="1638" t="s">
        <v>1327</v>
      </c>
      <c r="R32" s="1638" t="s">
        <v>1327</v>
      </c>
      <c r="S32" s="1638" t="s">
        <v>1327</v>
      </c>
      <c r="T32" s="1638" t="s">
        <v>1327</v>
      </c>
      <c r="U32" s="1638" t="s">
        <v>1327</v>
      </c>
      <c r="V32" s="1638" t="s">
        <v>1327</v>
      </c>
      <c r="W32" s="1638" t="s">
        <v>3067</v>
      </c>
      <c r="X32" s="1638" t="s">
        <v>3171</v>
      </c>
      <c r="Y32" s="1638" t="s">
        <v>3170</v>
      </c>
      <c r="Z32" s="1638" t="s">
        <v>3192</v>
      </c>
      <c r="AA32" s="1638" t="s">
        <v>3192</v>
      </c>
      <c r="AB32" s="1638" t="s">
        <v>3198</v>
      </c>
      <c r="AC32" s="1638" t="s">
        <v>3062</v>
      </c>
      <c r="AD32" s="1638" t="s">
        <v>3197</v>
      </c>
      <c r="AE32" s="1638">
        <v>800</v>
      </c>
      <c r="AF32" s="1638">
        <v>3850</v>
      </c>
      <c r="AG32" s="1638">
        <v>4000</v>
      </c>
      <c r="AH32" s="1638">
        <v>159.38</v>
      </c>
      <c r="AI32" s="1638">
        <v>165.59</v>
      </c>
      <c r="AJ32" s="1638">
        <v>956.28</v>
      </c>
      <c r="AK32" s="1638">
        <v>993.53</v>
      </c>
      <c r="AL32" s="1638" t="s">
        <v>1327</v>
      </c>
      <c r="AM32" s="1638" t="s">
        <v>1327</v>
      </c>
      <c r="AN32" s="1638">
        <v>3.9</v>
      </c>
      <c r="AO32" s="1638" t="s">
        <v>3060</v>
      </c>
      <c r="AP32" s="1638" t="s">
        <v>1327</v>
      </c>
      <c r="AQ32" s="1638" t="s">
        <v>1327</v>
      </c>
      <c r="AR32" s="1638" t="s">
        <v>1327</v>
      </c>
      <c r="AS32" s="1638" t="s">
        <v>3106</v>
      </c>
    </row>
    <row r="33" spans="1:45">
      <c r="A33" s="1638" t="s">
        <v>3196</v>
      </c>
      <c r="B33" s="1638" t="s">
        <v>3076</v>
      </c>
      <c r="C33" s="1638" t="s">
        <v>3075</v>
      </c>
      <c r="D33" s="1638" t="s">
        <v>3074</v>
      </c>
      <c r="E33" s="1638" t="s">
        <v>1327</v>
      </c>
      <c r="F33" s="1638" t="s">
        <v>3196</v>
      </c>
      <c r="G33" s="1638" t="s">
        <v>3072</v>
      </c>
      <c r="H33" s="1638" t="s">
        <v>3195</v>
      </c>
      <c r="I33" s="1638" t="s">
        <v>3080</v>
      </c>
      <c r="J33" s="1638">
        <v>4647</v>
      </c>
      <c r="K33" s="1638">
        <v>4647</v>
      </c>
      <c r="L33" s="1638" t="s">
        <v>3194</v>
      </c>
      <c r="M33" s="1638" t="s">
        <v>1327</v>
      </c>
      <c r="N33" s="1638" t="s">
        <v>3193</v>
      </c>
      <c r="O33" s="1638" t="s">
        <v>1327</v>
      </c>
      <c r="P33" s="1638" t="s">
        <v>1327</v>
      </c>
      <c r="Q33" s="1638" t="s">
        <v>1327</v>
      </c>
      <c r="R33" s="1638" t="s">
        <v>1327</v>
      </c>
      <c r="S33" s="1638" t="s">
        <v>1327</v>
      </c>
      <c r="T33" s="1638" t="s">
        <v>1327</v>
      </c>
      <c r="U33" s="1638" t="s">
        <v>1327</v>
      </c>
      <c r="V33" s="1638" t="s">
        <v>1327</v>
      </c>
      <c r="W33" s="1638" t="s">
        <v>3067</v>
      </c>
      <c r="X33" s="1638" t="s">
        <v>3171</v>
      </c>
      <c r="Y33" s="1638" t="s">
        <v>3170</v>
      </c>
      <c r="Z33" s="1638" t="s">
        <v>3192</v>
      </c>
      <c r="AA33" s="1638" t="s">
        <v>3192</v>
      </c>
      <c r="AB33" s="1638" t="s">
        <v>3191</v>
      </c>
      <c r="AC33" s="1638" t="s">
        <v>3062</v>
      </c>
      <c r="AD33" s="1638" t="s">
        <v>3077</v>
      </c>
      <c r="AE33" s="1638">
        <v>440</v>
      </c>
      <c r="AF33" s="1638">
        <v>2160</v>
      </c>
      <c r="AG33" s="1638">
        <v>2180</v>
      </c>
      <c r="AH33" s="1638">
        <v>309.88</v>
      </c>
      <c r="AI33" s="1638">
        <v>312.75</v>
      </c>
      <c r="AJ33" s="1638">
        <v>4648.1499999999996</v>
      </c>
      <c r="AK33" s="1638">
        <v>4691.1899999999996</v>
      </c>
      <c r="AL33" s="1638" t="s">
        <v>1327</v>
      </c>
      <c r="AM33" s="1638" t="s">
        <v>1327</v>
      </c>
      <c r="AN33" s="1638">
        <v>0.93</v>
      </c>
      <c r="AO33" s="1638" t="s">
        <v>3060</v>
      </c>
      <c r="AP33" s="1638" t="s">
        <v>1327</v>
      </c>
      <c r="AQ33" s="1638" t="s">
        <v>1327</v>
      </c>
      <c r="AR33" s="1638" t="s">
        <v>1327</v>
      </c>
      <c r="AS33" s="1638" t="s">
        <v>3059</v>
      </c>
    </row>
    <row r="34" spans="1:45">
      <c r="A34" s="1638" t="s">
        <v>3190</v>
      </c>
      <c r="B34" s="1638" t="s">
        <v>3076</v>
      </c>
      <c r="C34" s="1638" t="s">
        <v>3075</v>
      </c>
      <c r="D34" s="1638" t="s">
        <v>3074</v>
      </c>
      <c r="E34" s="1638" t="s">
        <v>1327</v>
      </c>
      <c r="F34" s="1638" t="s">
        <v>3190</v>
      </c>
      <c r="G34" s="1638" t="s">
        <v>3072</v>
      </c>
      <c r="H34" s="1638" t="s">
        <v>3189</v>
      </c>
      <c r="I34" s="1638" t="s">
        <v>3070</v>
      </c>
      <c r="J34" s="1638">
        <v>37907</v>
      </c>
      <c r="K34" s="1638">
        <v>83395.399999999994</v>
      </c>
      <c r="L34" s="1638" t="s">
        <v>3188</v>
      </c>
      <c r="M34" s="1638" t="s">
        <v>1327</v>
      </c>
      <c r="N34" s="1638" t="s">
        <v>3160</v>
      </c>
      <c r="O34" s="1638" t="s">
        <v>1327</v>
      </c>
      <c r="P34" s="1638" t="s">
        <v>1327</v>
      </c>
      <c r="Q34" s="1638" t="s">
        <v>1327</v>
      </c>
      <c r="R34" s="1638" t="s">
        <v>1327</v>
      </c>
      <c r="S34" s="1638" t="s">
        <v>1327</v>
      </c>
      <c r="T34" s="1638" t="s">
        <v>1327</v>
      </c>
      <c r="U34" s="1638" t="s">
        <v>1327</v>
      </c>
      <c r="V34" s="1638" t="s">
        <v>1327</v>
      </c>
      <c r="W34" s="1638" t="s">
        <v>3067</v>
      </c>
      <c r="X34" s="1638" t="s">
        <v>3172</v>
      </c>
      <c r="Y34" s="1638" t="s">
        <v>3171</v>
      </c>
      <c r="Z34" s="1638" t="s">
        <v>3170</v>
      </c>
      <c r="AA34" s="1638" t="s">
        <v>3170</v>
      </c>
      <c r="AB34" s="1638" t="s">
        <v>3187</v>
      </c>
      <c r="AC34" s="1638" t="s">
        <v>3062</v>
      </c>
      <c r="AD34" s="1638" t="s">
        <v>3168</v>
      </c>
      <c r="AE34" s="1638">
        <v>2700</v>
      </c>
      <c r="AF34" s="1638">
        <v>13300</v>
      </c>
      <c r="AG34" s="1638">
        <v>13500</v>
      </c>
      <c r="AH34" s="1638">
        <v>233.91</v>
      </c>
      <c r="AI34" s="1638">
        <v>237.42</v>
      </c>
      <c r="AJ34" s="1638">
        <v>1594.81</v>
      </c>
      <c r="AK34" s="1638">
        <v>1618.78</v>
      </c>
      <c r="AL34" s="1638" t="s">
        <v>1327</v>
      </c>
      <c r="AM34" s="1638" t="s">
        <v>1327</v>
      </c>
      <c r="AN34" s="1638">
        <v>1.5</v>
      </c>
      <c r="AO34" s="1638" t="s">
        <v>3060</v>
      </c>
      <c r="AP34" s="1638" t="s">
        <v>1327</v>
      </c>
      <c r="AQ34" s="1638" t="s">
        <v>1327</v>
      </c>
      <c r="AR34" s="1638" t="s">
        <v>1327</v>
      </c>
      <c r="AS34" s="1638" t="s">
        <v>3091</v>
      </c>
    </row>
    <row r="35" spans="1:45" s="2954" customFormat="1">
      <c r="A35" s="2954" t="s">
        <v>3186</v>
      </c>
      <c r="B35" s="2954" t="s">
        <v>3076</v>
      </c>
      <c r="C35" s="2954" t="s">
        <v>3075</v>
      </c>
      <c r="D35" s="2954" t="s">
        <v>3074</v>
      </c>
      <c r="E35" s="2954" t="s">
        <v>1327</v>
      </c>
      <c r="F35" s="2954" t="s">
        <v>3186</v>
      </c>
      <c r="G35" s="2954" t="s">
        <v>3072</v>
      </c>
      <c r="H35" s="2954" t="s">
        <v>3185</v>
      </c>
      <c r="I35" s="2954" t="s">
        <v>3070</v>
      </c>
      <c r="J35" s="2954">
        <v>4091</v>
      </c>
      <c r="K35" s="2954">
        <v>8182</v>
      </c>
      <c r="L35" s="2954" t="s">
        <v>3143</v>
      </c>
      <c r="M35" s="2954" t="s">
        <v>1327</v>
      </c>
      <c r="N35" s="2954" t="s">
        <v>3151</v>
      </c>
      <c r="O35" s="2954" t="s">
        <v>1327</v>
      </c>
      <c r="P35" s="2954" t="s">
        <v>1327</v>
      </c>
      <c r="Q35" s="2954" t="s">
        <v>1327</v>
      </c>
      <c r="R35" s="2954" t="s">
        <v>1327</v>
      </c>
      <c r="S35" s="2954" t="s">
        <v>1327</v>
      </c>
      <c r="T35" s="2954" t="s">
        <v>1327</v>
      </c>
      <c r="U35" s="2954" t="s">
        <v>1327</v>
      </c>
      <c r="V35" s="2954" t="s">
        <v>1327</v>
      </c>
      <c r="W35" s="2954" t="s">
        <v>3067</v>
      </c>
      <c r="X35" s="2954" t="s">
        <v>3172</v>
      </c>
      <c r="Y35" s="2954" t="s">
        <v>3171</v>
      </c>
      <c r="Z35" s="2954" t="s">
        <v>3170</v>
      </c>
      <c r="AA35" s="2954" t="s">
        <v>3170</v>
      </c>
      <c r="AB35" s="2954" t="s">
        <v>3184</v>
      </c>
      <c r="AC35" s="2954" t="s">
        <v>3062</v>
      </c>
      <c r="AD35" s="2954" t="s">
        <v>3183</v>
      </c>
      <c r="AE35" s="2954">
        <v>150</v>
      </c>
      <c r="AF35" s="2954">
        <v>750</v>
      </c>
      <c r="AG35" s="2954">
        <v>1610</v>
      </c>
      <c r="AH35" s="2954">
        <v>122.22</v>
      </c>
      <c r="AI35" s="2954">
        <v>262.36</v>
      </c>
      <c r="AJ35" s="2954">
        <v>916.64</v>
      </c>
      <c r="AK35" s="2954">
        <v>1967.73</v>
      </c>
      <c r="AL35" s="2954" t="s">
        <v>1327</v>
      </c>
      <c r="AM35" s="2954" t="s">
        <v>1327</v>
      </c>
      <c r="AN35" s="2954">
        <v>114.67</v>
      </c>
      <c r="AO35" s="2954" t="s">
        <v>3060</v>
      </c>
      <c r="AP35" s="2954" t="s">
        <v>1327</v>
      </c>
      <c r="AQ35" s="2954" t="s">
        <v>1327</v>
      </c>
      <c r="AR35" s="2954" t="s">
        <v>1327</v>
      </c>
      <c r="AS35" s="2954" t="s">
        <v>3059</v>
      </c>
    </row>
    <row r="36" spans="1:45">
      <c r="A36" s="1638" t="s">
        <v>3182</v>
      </c>
      <c r="B36" s="1638" t="s">
        <v>3076</v>
      </c>
      <c r="C36" s="1638" t="s">
        <v>3075</v>
      </c>
      <c r="D36" s="1638" t="s">
        <v>3074</v>
      </c>
      <c r="E36" s="1638" t="s">
        <v>1327</v>
      </c>
      <c r="F36" s="1638" t="s">
        <v>3182</v>
      </c>
      <c r="G36" s="1638" t="s">
        <v>3072</v>
      </c>
      <c r="H36" s="1638" t="s">
        <v>3181</v>
      </c>
      <c r="I36" s="1638" t="s">
        <v>3070</v>
      </c>
      <c r="J36" s="1638">
        <v>7280</v>
      </c>
      <c r="K36" s="1638">
        <v>8736</v>
      </c>
      <c r="L36" s="1638" t="s">
        <v>3180</v>
      </c>
      <c r="M36" s="1638" t="s">
        <v>1327</v>
      </c>
      <c r="N36" s="1638" t="s">
        <v>3179</v>
      </c>
      <c r="O36" s="1638" t="s">
        <v>1327</v>
      </c>
      <c r="P36" s="1638" t="s">
        <v>1327</v>
      </c>
      <c r="Q36" s="1638" t="s">
        <v>1327</v>
      </c>
      <c r="R36" s="1638" t="s">
        <v>1327</v>
      </c>
      <c r="S36" s="1638" t="s">
        <v>1327</v>
      </c>
      <c r="T36" s="1638" t="s">
        <v>1327</v>
      </c>
      <c r="U36" s="1638" t="s">
        <v>1327</v>
      </c>
      <c r="V36" s="1638" t="s">
        <v>1327</v>
      </c>
      <c r="W36" s="1638" t="s">
        <v>3067</v>
      </c>
      <c r="X36" s="1638" t="s">
        <v>3172</v>
      </c>
      <c r="Y36" s="1638" t="s">
        <v>3171</v>
      </c>
      <c r="Z36" s="1638" t="s">
        <v>3170</v>
      </c>
      <c r="AA36" s="1638" t="s">
        <v>3170</v>
      </c>
      <c r="AB36" s="1638" t="s">
        <v>3178</v>
      </c>
      <c r="AC36" s="1638" t="s">
        <v>3062</v>
      </c>
      <c r="AD36" s="1638" t="s">
        <v>3177</v>
      </c>
      <c r="AE36" s="1638">
        <v>180</v>
      </c>
      <c r="AF36" s="1638">
        <v>855</v>
      </c>
      <c r="AG36" s="1638">
        <v>2840</v>
      </c>
      <c r="AH36" s="1638">
        <v>78.3</v>
      </c>
      <c r="AI36" s="1638">
        <v>260.07</v>
      </c>
      <c r="AJ36" s="1638">
        <v>978.7</v>
      </c>
      <c r="AK36" s="1638">
        <v>3250.92</v>
      </c>
      <c r="AL36" s="1638" t="s">
        <v>1327</v>
      </c>
      <c r="AM36" s="1638" t="s">
        <v>1327</v>
      </c>
      <c r="AN36" s="1638">
        <v>232.16</v>
      </c>
      <c r="AO36" s="1638" t="s">
        <v>3060</v>
      </c>
      <c r="AP36" s="1638" t="s">
        <v>1327</v>
      </c>
      <c r="AQ36" s="1638" t="s">
        <v>1327</v>
      </c>
      <c r="AR36" s="1638" t="s">
        <v>1327</v>
      </c>
      <c r="AS36" s="1638" t="s">
        <v>3059</v>
      </c>
    </row>
    <row r="37" spans="1:45">
      <c r="A37" s="1638" t="s">
        <v>3176</v>
      </c>
      <c r="B37" s="1638" t="s">
        <v>3076</v>
      </c>
      <c r="C37" s="1638" t="s">
        <v>3075</v>
      </c>
      <c r="D37" s="1638" t="s">
        <v>3074</v>
      </c>
      <c r="E37" s="1638" t="s">
        <v>1327</v>
      </c>
      <c r="F37" s="1638" t="s">
        <v>3176</v>
      </c>
      <c r="G37" s="1638" t="s">
        <v>3072</v>
      </c>
      <c r="H37" s="1638" t="s">
        <v>3175</v>
      </c>
      <c r="I37" s="1638" t="s">
        <v>3070</v>
      </c>
      <c r="J37" s="1638">
        <v>21552</v>
      </c>
      <c r="K37" s="1638">
        <v>38793.599999999999</v>
      </c>
      <c r="L37" s="1638" t="s">
        <v>3174</v>
      </c>
      <c r="M37" s="1638" t="s">
        <v>1327</v>
      </c>
      <c r="N37" s="1638" t="s">
        <v>3173</v>
      </c>
      <c r="O37" s="1638" t="s">
        <v>1327</v>
      </c>
      <c r="P37" s="1638" t="s">
        <v>1327</v>
      </c>
      <c r="Q37" s="1638" t="s">
        <v>1327</v>
      </c>
      <c r="R37" s="1638" t="s">
        <v>1327</v>
      </c>
      <c r="S37" s="1638" t="s">
        <v>1327</v>
      </c>
      <c r="T37" s="1638" t="s">
        <v>1327</v>
      </c>
      <c r="U37" s="1638" t="s">
        <v>1327</v>
      </c>
      <c r="V37" s="1638" t="s">
        <v>1327</v>
      </c>
      <c r="W37" s="1638" t="s">
        <v>3067</v>
      </c>
      <c r="X37" s="1638" t="s">
        <v>3172</v>
      </c>
      <c r="Y37" s="1638" t="s">
        <v>3171</v>
      </c>
      <c r="Z37" s="1638" t="s">
        <v>3170</v>
      </c>
      <c r="AA37" s="1638" t="s">
        <v>3170</v>
      </c>
      <c r="AB37" s="1638" t="s">
        <v>3169</v>
      </c>
      <c r="AC37" s="1638" t="s">
        <v>3062</v>
      </c>
      <c r="AD37" s="1638" t="s">
        <v>3168</v>
      </c>
      <c r="AE37" s="1638">
        <v>1450</v>
      </c>
      <c r="AF37" s="1638">
        <v>7100</v>
      </c>
      <c r="AG37" s="1638">
        <v>7200</v>
      </c>
      <c r="AH37" s="1638">
        <v>219.62</v>
      </c>
      <c r="AI37" s="1638">
        <v>222.72</v>
      </c>
      <c r="AJ37" s="1638">
        <v>1830.19</v>
      </c>
      <c r="AK37" s="1638">
        <v>1855.98</v>
      </c>
      <c r="AL37" s="1638" t="s">
        <v>1327</v>
      </c>
      <c r="AM37" s="1638" t="s">
        <v>1327</v>
      </c>
      <c r="AN37" s="1638">
        <v>1.41</v>
      </c>
      <c r="AO37" s="1638" t="s">
        <v>3060</v>
      </c>
      <c r="AP37" s="1638" t="s">
        <v>1327</v>
      </c>
      <c r="AQ37" s="1638" t="s">
        <v>1327</v>
      </c>
      <c r="AR37" s="1638" t="s">
        <v>1327</v>
      </c>
      <c r="AS37" s="1638" t="s">
        <v>3091</v>
      </c>
    </row>
    <row r="38" spans="1:45">
      <c r="A38" s="1638" t="s">
        <v>3167</v>
      </c>
      <c r="B38" s="1638" t="s">
        <v>3076</v>
      </c>
      <c r="C38" s="1638" t="s">
        <v>3075</v>
      </c>
      <c r="D38" s="1638" t="s">
        <v>3074</v>
      </c>
      <c r="E38" s="1638" t="s">
        <v>1327</v>
      </c>
      <c r="F38" s="1638" t="s">
        <v>3167</v>
      </c>
      <c r="G38" s="1638" t="s">
        <v>3072</v>
      </c>
      <c r="H38" s="1638" t="s">
        <v>3166</v>
      </c>
      <c r="I38" s="1638" t="s">
        <v>3070</v>
      </c>
      <c r="J38" s="1638">
        <v>10722</v>
      </c>
      <c r="K38" s="1638">
        <v>16083</v>
      </c>
      <c r="L38" s="1638" t="s">
        <v>3137</v>
      </c>
      <c r="M38" s="1638" t="s">
        <v>1327</v>
      </c>
      <c r="N38" s="1638" t="s">
        <v>3160</v>
      </c>
      <c r="O38" s="1638" t="s">
        <v>1327</v>
      </c>
      <c r="P38" s="1638" t="s">
        <v>1327</v>
      </c>
      <c r="Q38" s="1638" t="s">
        <v>1327</v>
      </c>
      <c r="R38" s="1638" t="s">
        <v>1327</v>
      </c>
      <c r="S38" s="1638" t="s">
        <v>1327</v>
      </c>
      <c r="T38" s="1638" t="s">
        <v>1327</v>
      </c>
      <c r="U38" s="1638" t="s">
        <v>1327</v>
      </c>
      <c r="V38" s="1638" t="s">
        <v>1327</v>
      </c>
      <c r="W38" s="1638" t="s">
        <v>3067</v>
      </c>
      <c r="X38" s="1638" t="s">
        <v>3159</v>
      </c>
      <c r="Y38" s="1638" t="s">
        <v>3158</v>
      </c>
      <c r="Z38" s="1638" t="s">
        <v>3157</v>
      </c>
      <c r="AA38" s="1638" t="s">
        <v>3157</v>
      </c>
      <c r="AB38" s="1638" t="s">
        <v>3165</v>
      </c>
      <c r="AC38" s="1638" t="s">
        <v>3062</v>
      </c>
      <c r="AD38" s="1638" t="s">
        <v>3164</v>
      </c>
      <c r="AE38" s="1638">
        <v>550</v>
      </c>
      <c r="AF38" s="1638">
        <v>2710</v>
      </c>
      <c r="AG38" s="1638">
        <v>2770</v>
      </c>
      <c r="AH38" s="1638">
        <v>168.5</v>
      </c>
      <c r="AI38" s="1638">
        <v>172.23</v>
      </c>
      <c r="AJ38" s="1638">
        <v>1685</v>
      </c>
      <c r="AK38" s="1638">
        <v>1722.31</v>
      </c>
      <c r="AL38" s="1638" t="s">
        <v>1327</v>
      </c>
      <c r="AM38" s="1638" t="s">
        <v>1327</v>
      </c>
      <c r="AN38" s="1638">
        <v>2.21</v>
      </c>
      <c r="AO38" s="1638" t="s">
        <v>3060</v>
      </c>
      <c r="AP38" s="1638" t="s">
        <v>1327</v>
      </c>
      <c r="AQ38" s="1638" t="s">
        <v>1327</v>
      </c>
      <c r="AR38" s="1638" t="s">
        <v>1327</v>
      </c>
      <c r="AS38" s="1638" t="s">
        <v>3059</v>
      </c>
    </row>
    <row r="39" spans="1:45">
      <c r="A39" s="1638" t="s">
        <v>3163</v>
      </c>
      <c r="B39" s="1638" t="s">
        <v>3076</v>
      </c>
      <c r="C39" s="1638" t="s">
        <v>3075</v>
      </c>
      <c r="D39" s="1638" t="s">
        <v>3074</v>
      </c>
      <c r="E39" s="1638" t="s">
        <v>1327</v>
      </c>
      <c r="F39" s="1638" t="s">
        <v>3163</v>
      </c>
      <c r="G39" s="1638" t="s">
        <v>3072</v>
      </c>
      <c r="H39" s="1638" t="s">
        <v>3162</v>
      </c>
      <c r="I39" s="1638" t="s">
        <v>3070</v>
      </c>
      <c r="J39" s="1638">
        <v>5018</v>
      </c>
      <c r="K39" s="1638">
        <v>4014.4</v>
      </c>
      <c r="L39" s="1638" t="s">
        <v>3161</v>
      </c>
      <c r="M39" s="1638" t="s">
        <v>1327</v>
      </c>
      <c r="N39" s="1638" t="s">
        <v>3160</v>
      </c>
      <c r="O39" s="1638" t="s">
        <v>1327</v>
      </c>
      <c r="P39" s="1638" t="s">
        <v>1327</v>
      </c>
      <c r="Q39" s="1638" t="s">
        <v>1327</v>
      </c>
      <c r="R39" s="1638" t="s">
        <v>1327</v>
      </c>
      <c r="S39" s="1638" t="s">
        <v>1327</v>
      </c>
      <c r="T39" s="1638" t="s">
        <v>1327</v>
      </c>
      <c r="U39" s="1638" t="s">
        <v>1327</v>
      </c>
      <c r="V39" s="1638" t="s">
        <v>1327</v>
      </c>
      <c r="W39" s="1638" t="s">
        <v>3067</v>
      </c>
      <c r="X39" s="1638" t="s">
        <v>3159</v>
      </c>
      <c r="Y39" s="1638" t="s">
        <v>3158</v>
      </c>
      <c r="Z39" s="1638" t="s">
        <v>3157</v>
      </c>
      <c r="AA39" s="1638" t="s">
        <v>3157</v>
      </c>
      <c r="AB39" s="1638" t="s">
        <v>3156</v>
      </c>
      <c r="AC39" s="1638" t="s">
        <v>3062</v>
      </c>
      <c r="AD39" s="1638" t="s">
        <v>3155</v>
      </c>
      <c r="AE39" s="1638">
        <v>240</v>
      </c>
      <c r="AF39" s="1638">
        <v>1200</v>
      </c>
      <c r="AG39" s="1638">
        <v>1210</v>
      </c>
      <c r="AH39" s="1638">
        <v>159.43</v>
      </c>
      <c r="AI39" s="1638">
        <v>160.75</v>
      </c>
      <c r="AJ39" s="1638">
        <v>2989.23</v>
      </c>
      <c r="AK39" s="1638">
        <v>3014.15</v>
      </c>
      <c r="AL39" s="1638" t="s">
        <v>1327</v>
      </c>
      <c r="AM39" s="1638" t="s">
        <v>1327</v>
      </c>
      <c r="AN39" s="1638">
        <v>0.83</v>
      </c>
      <c r="AO39" s="1638" t="s">
        <v>3060</v>
      </c>
      <c r="AP39" s="1638" t="s">
        <v>1327</v>
      </c>
      <c r="AQ39" s="1638" t="s">
        <v>1327</v>
      </c>
      <c r="AR39" s="1638" t="s">
        <v>1327</v>
      </c>
      <c r="AS39" s="1638" t="s">
        <v>3059</v>
      </c>
    </row>
    <row r="40" spans="1:45" s="2954" customFormat="1">
      <c r="A40" s="2954" t="s">
        <v>3154</v>
      </c>
      <c r="B40" s="2954" t="s">
        <v>3076</v>
      </c>
      <c r="C40" s="2954" t="s">
        <v>3075</v>
      </c>
      <c r="D40" s="2954" t="s">
        <v>3074</v>
      </c>
      <c r="E40" s="2954" t="s">
        <v>1327</v>
      </c>
      <c r="F40" s="2954" t="s">
        <v>3154</v>
      </c>
      <c r="G40" s="2954" t="s">
        <v>3072</v>
      </c>
      <c r="H40" s="2954" t="s">
        <v>3153</v>
      </c>
      <c r="I40" s="2954" t="s">
        <v>3070</v>
      </c>
      <c r="J40" s="2954">
        <v>26941</v>
      </c>
      <c r="K40" s="2954">
        <v>43105.599999999999</v>
      </c>
      <c r="L40" s="2954" t="s">
        <v>3152</v>
      </c>
      <c r="M40" s="2954" t="s">
        <v>1327</v>
      </c>
      <c r="N40" s="2954" t="s">
        <v>3151</v>
      </c>
      <c r="O40" s="2954" t="s">
        <v>1327</v>
      </c>
      <c r="P40" s="2954" t="s">
        <v>1327</v>
      </c>
      <c r="Q40" s="2954" t="s">
        <v>1327</v>
      </c>
      <c r="R40" s="2954" t="s">
        <v>1327</v>
      </c>
      <c r="S40" s="2954" t="s">
        <v>1327</v>
      </c>
      <c r="T40" s="2954" t="s">
        <v>1327</v>
      </c>
      <c r="U40" s="2954" t="s">
        <v>1327</v>
      </c>
      <c r="V40" s="2954" t="s">
        <v>1327</v>
      </c>
      <c r="W40" s="2954" t="s">
        <v>3067</v>
      </c>
      <c r="X40" s="2954" t="s">
        <v>3150</v>
      </c>
      <c r="Y40" s="2954" t="s">
        <v>3149</v>
      </c>
      <c r="Z40" s="2954" t="s">
        <v>3148</v>
      </c>
      <c r="AA40" s="2954" t="s">
        <v>3148</v>
      </c>
      <c r="AB40" s="2954" t="s">
        <v>3147</v>
      </c>
      <c r="AC40" s="2954" t="s">
        <v>3062</v>
      </c>
      <c r="AD40" s="2954" t="s">
        <v>3146</v>
      </c>
      <c r="AE40" s="2954">
        <v>1230</v>
      </c>
      <c r="AF40" s="2954">
        <v>6150</v>
      </c>
      <c r="AG40" s="2954">
        <v>6250</v>
      </c>
      <c r="AH40" s="2954">
        <v>152.18</v>
      </c>
      <c r="AI40" s="2954">
        <v>154.66</v>
      </c>
      <c r="AJ40" s="2954">
        <v>1426.72</v>
      </c>
      <c r="AK40" s="2954">
        <v>1449.93</v>
      </c>
      <c r="AL40" s="2954" t="s">
        <v>1327</v>
      </c>
      <c r="AM40" s="2954" t="s">
        <v>1327</v>
      </c>
      <c r="AN40" s="2954">
        <v>1.63</v>
      </c>
      <c r="AO40" s="2954" t="s">
        <v>3060</v>
      </c>
      <c r="AP40" s="2954" t="s">
        <v>1327</v>
      </c>
      <c r="AQ40" s="2954" t="s">
        <v>1327</v>
      </c>
      <c r="AR40" s="2954" t="s">
        <v>1327</v>
      </c>
      <c r="AS40" s="2954" t="s">
        <v>3106</v>
      </c>
    </row>
    <row r="41" spans="1:45">
      <c r="A41" s="1638" t="s">
        <v>3145</v>
      </c>
      <c r="B41" s="1638" t="s">
        <v>3076</v>
      </c>
      <c r="C41" s="1638" t="s">
        <v>3075</v>
      </c>
      <c r="D41" s="1638" t="s">
        <v>3074</v>
      </c>
      <c r="E41" s="1638" t="s">
        <v>1327</v>
      </c>
      <c r="F41" s="1638" t="s">
        <v>3145</v>
      </c>
      <c r="G41" s="1638" t="s">
        <v>3072</v>
      </c>
      <c r="H41" s="1638" t="s">
        <v>3144</v>
      </c>
      <c r="I41" s="1638" t="s">
        <v>3070</v>
      </c>
      <c r="J41" s="1638">
        <v>18717</v>
      </c>
      <c r="K41" s="1638">
        <v>37434</v>
      </c>
      <c r="L41" s="1638" t="s">
        <v>3143</v>
      </c>
      <c r="M41" s="1638" t="s">
        <v>1327</v>
      </c>
      <c r="N41" s="1638" t="s">
        <v>3142</v>
      </c>
      <c r="O41" s="1638" t="s">
        <v>1327</v>
      </c>
      <c r="P41" s="1638" t="s">
        <v>1327</v>
      </c>
      <c r="Q41" s="1638" t="s">
        <v>1327</v>
      </c>
      <c r="R41" s="1638" t="s">
        <v>1327</v>
      </c>
      <c r="S41" s="1638" t="s">
        <v>1327</v>
      </c>
      <c r="T41" s="1638" t="s">
        <v>1327</v>
      </c>
      <c r="U41" s="1638" t="s">
        <v>1327</v>
      </c>
      <c r="V41" s="1638" t="s">
        <v>1327</v>
      </c>
      <c r="W41" s="1638" t="s">
        <v>3067</v>
      </c>
      <c r="X41" s="1638" t="s">
        <v>3136</v>
      </c>
      <c r="Y41" s="1638" t="s">
        <v>3135</v>
      </c>
      <c r="Z41" s="1638" t="s">
        <v>3134</v>
      </c>
      <c r="AA41" s="1638" t="s">
        <v>3134</v>
      </c>
      <c r="AB41" s="1638" t="s">
        <v>3141</v>
      </c>
      <c r="AC41" s="1638" t="s">
        <v>3062</v>
      </c>
      <c r="AD41" s="1638" t="s">
        <v>3140</v>
      </c>
      <c r="AE41" s="1638">
        <v>1700</v>
      </c>
      <c r="AF41" s="1638">
        <v>8400</v>
      </c>
      <c r="AG41" s="1638">
        <v>8550</v>
      </c>
      <c r="AH41" s="1638">
        <v>299.19</v>
      </c>
      <c r="AI41" s="1638">
        <v>304.54000000000002</v>
      </c>
      <c r="AJ41" s="1638">
        <v>2243.94</v>
      </c>
      <c r="AK41" s="1638">
        <v>2284.0100000000002</v>
      </c>
      <c r="AL41" s="1638" t="s">
        <v>1327</v>
      </c>
      <c r="AM41" s="1638" t="s">
        <v>1327</v>
      </c>
      <c r="AN41" s="1638">
        <v>1.79</v>
      </c>
      <c r="AO41" s="1638" t="s">
        <v>3060</v>
      </c>
      <c r="AP41" s="1638" t="s">
        <v>1327</v>
      </c>
      <c r="AQ41" s="1638" t="s">
        <v>1327</v>
      </c>
      <c r="AR41" s="1638" t="s">
        <v>1327</v>
      </c>
      <c r="AS41" s="1638" t="s">
        <v>3091</v>
      </c>
    </row>
    <row r="42" spans="1:45">
      <c r="A42" s="1638" t="s">
        <v>3139</v>
      </c>
      <c r="B42" s="1638" t="s">
        <v>3076</v>
      </c>
      <c r="C42" s="1638" t="s">
        <v>3075</v>
      </c>
      <c r="D42" s="1638" t="s">
        <v>3074</v>
      </c>
      <c r="E42" s="1638" t="s">
        <v>1327</v>
      </c>
      <c r="F42" s="1638" t="s">
        <v>3139</v>
      </c>
      <c r="G42" s="1638" t="s">
        <v>3072</v>
      </c>
      <c r="H42" s="1638" t="s">
        <v>3138</v>
      </c>
      <c r="I42" s="1638" t="s">
        <v>3070</v>
      </c>
      <c r="J42" s="1638">
        <v>2374</v>
      </c>
      <c r="K42" s="1638">
        <v>3561</v>
      </c>
      <c r="L42" s="1638" t="s">
        <v>3137</v>
      </c>
      <c r="M42" s="1638" t="s">
        <v>1327</v>
      </c>
      <c r="N42" s="1638" t="s">
        <v>3114</v>
      </c>
      <c r="O42" s="1638" t="s">
        <v>1327</v>
      </c>
      <c r="P42" s="1638" t="s">
        <v>1327</v>
      </c>
      <c r="Q42" s="1638" t="s">
        <v>1327</v>
      </c>
      <c r="R42" s="1638" t="s">
        <v>1327</v>
      </c>
      <c r="S42" s="1638" t="s">
        <v>1327</v>
      </c>
      <c r="T42" s="1638" t="s">
        <v>1327</v>
      </c>
      <c r="U42" s="1638" t="s">
        <v>1327</v>
      </c>
      <c r="V42" s="1638" t="s">
        <v>1327</v>
      </c>
      <c r="W42" s="1638" t="s">
        <v>3067</v>
      </c>
      <c r="X42" s="1638" t="s">
        <v>3136</v>
      </c>
      <c r="Y42" s="1638" t="s">
        <v>3135</v>
      </c>
      <c r="Z42" s="1638" t="s">
        <v>3134</v>
      </c>
      <c r="AA42" s="1638" t="s">
        <v>3134</v>
      </c>
      <c r="AB42" s="1638" t="s">
        <v>3133</v>
      </c>
      <c r="AC42" s="1638" t="s">
        <v>3062</v>
      </c>
      <c r="AD42" s="1638" t="s">
        <v>3132</v>
      </c>
      <c r="AE42" s="1638">
        <v>140</v>
      </c>
      <c r="AF42" s="1638">
        <v>670</v>
      </c>
      <c r="AG42" s="1638">
        <v>750</v>
      </c>
      <c r="AH42" s="1638">
        <v>188.15</v>
      </c>
      <c r="AI42" s="1638">
        <v>210.61</v>
      </c>
      <c r="AJ42" s="1638">
        <v>1881.49</v>
      </c>
      <c r="AK42" s="1638">
        <v>2106.15</v>
      </c>
      <c r="AL42" s="1638" t="s">
        <v>1327</v>
      </c>
      <c r="AM42" s="1638" t="s">
        <v>1327</v>
      </c>
      <c r="AN42" s="1638">
        <v>11.94</v>
      </c>
      <c r="AO42" s="1638" t="s">
        <v>3060</v>
      </c>
      <c r="AP42" s="1638" t="s">
        <v>1327</v>
      </c>
      <c r="AQ42" s="1638" t="s">
        <v>1327</v>
      </c>
      <c r="AR42" s="1638" t="s">
        <v>1327</v>
      </c>
      <c r="AS42" s="1638" t="s">
        <v>3059</v>
      </c>
    </row>
    <row r="43" spans="1:45">
      <c r="A43" s="1638" t="s">
        <v>3131</v>
      </c>
      <c r="B43" s="1638" t="s">
        <v>3076</v>
      </c>
      <c r="C43" s="1638" t="s">
        <v>3075</v>
      </c>
      <c r="D43" s="1638" t="s">
        <v>3074</v>
      </c>
      <c r="E43" s="1638" t="s">
        <v>1327</v>
      </c>
      <c r="F43" s="1638" t="s">
        <v>3131</v>
      </c>
      <c r="G43" s="1638" t="s">
        <v>3072</v>
      </c>
      <c r="H43" s="1638" t="s">
        <v>3130</v>
      </c>
      <c r="I43" s="1638" t="s">
        <v>3129</v>
      </c>
      <c r="J43" s="1638">
        <v>10060</v>
      </c>
      <c r="K43" s="1638">
        <v>21126</v>
      </c>
      <c r="L43" s="1638" t="s">
        <v>3128</v>
      </c>
      <c r="M43" s="1638" t="s">
        <v>1327</v>
      </c>
      <c r="N43" s="1638" t="s">
        <v>3127</v>
      </c>
      <c r="O43" s="1638" t="s">
        <v>1327</v>
      </c>
      <c r="P43" s="1638" t="s">
        <v>1327</v>
      </c>
      <c r="Q43" s="1638" t="s">
        <v>1327</v>
      </c>
      <c r="R43" s="1638" t="s">
        <v>1327</v>
      </c>
      <c r="S43" s="1638" t="s">
        <v>1327</v>
      </c>
      <c r="T43" s="1638" t="s">
        <v>1327</v>
      </c>
      <c r="U43" s="1638" t="s">
        <v>1327</v>
      </c>
      <c r="V43" s="1638" t="s">
        <v>1327</v>
      </c>
      <c r="W43" s="1638" t="s">
        <v>3067</v>
      </c>
      <c r="X43" s="1638" t="s">
        <v>3126</v>
      </c>
      <c r="Y43" s="1638" t="s">
        <v>3108</v>
      </c>
      <c r="Z43" s="1638" t="s">
        <v>3125</v>
      </c>
      <c r="AA43" s="1638" t="s">
        <v>3125</v>
      </c>
      <c r="AB43" s="1638" t="s">
        <v>3124</v>
      </c>
      <c r="AC43" s="1638" t="s">
        <v>3062</v>
      </c>
      <c r="AD43" s="1638" t="s">
        <v>3123</v>
      </c>
      <c r="AE43" s="1638">
        <v>420</v>
      </c>
      <c r="AF43" s="1638">
        <v>2090</v>
      </c>
      <c r="AG43" s="1638">
        <v>2120</v>
      </c>
      <c r="AH43" s="1638">
        <v>138.5</v>
      </c>
      <c r="AI43" s="1638">
        <v>140.49</v>
      </c>
      <c r="AJ43" s="1638">
        <v>989.3</v>
      </c>
      <c r="AK43" s="1638">
        <v>1003.5</v>
      </c>
      <c r="AL43" s="1638" t="s">
        <v>1327</v>
      </c>
      <c r="AM43" s="1638" t="s">
        <v>1327</v>
      </c>
      <c r="AN43" s="1638">
        <v>1.44</v>
      </c>
      <c r="AO43" s="1638" t="s">
        <v>3060</v>
      </c>
      <c r="AP43" s="1638" t="s">
        <v>1327</v>
      </c>
      <c r="AQ43" s="1638" t="s">
        <v>1327</v>
      </c>
      <c r="AR43" s="1638" t="s">
        <v>1327</v>
      </c>
      <c r="AS43" s="1638" t="s">
        <v>3059</v>
      </c>
    </row>
    <row r="44" spans="1:45">
      <c r="A44" s="1638" t="s">
        <v>3122</v>
      </c>
      <c r="B44" s="1638" t="s">
        <v>3076</v>
      </c>
      <c r="C44" s="1638" t="s">
        <v>3075</v>
      </c>
      <c r="D44" s="1638" t="s">
        <v>3074</v>
      </c>
      <c r="E44" s="1638" t="s">
        <v>1327</v>
      </c>
      <c r="F44" s="1638" t="s">
        <v>3122</v>
      </c>
      <c r="G44" s="1638" t="s">
        <v>3072</v>
      </c>
      <c r="H44" s="1638" t="s">
        <v>3121</v>
      </c>
      <c r="I44" s="1638" t="s">
        <v>3070</v>
      </c>
      <c r="J44" s="1638">
        <v>1874</v>
      </c>
      <c r="K44" s="1638">
        <v>18.739999999999998</v>
      </c>
      <c r="L44" s="1638" t="s">
        <v>3120</v>
      </c>
      <c r="M44" s="1638" t="s">
        <v>1327</v>
      </c>
      <c r="N44" s="1638" t="s">
        <v>1327</v>
      </c>
      <c r="O44" s="1638" t="s">
        <v>1327</v>
      </c>
      <c r="P44" s="1638" t="s">
        <v>1327</v>
      </c>
      <c r="Q44" s="1638" t="s">
        <v>1327</v>
      </c>
      <c r="R44" s="1638" t="s">
        <v>1327</v>
      </c>
      <c r="S44" s="1638" t="s">
        <v>1327</v>
      </c>
      <c r="T44" s="1638" t="s">
        <v>1327</v>
      </c>
      <c r="U44" s="1638" t="s">
        <v>1327</v>
      </c>
      <c r="V44" s="1638" t="s">
        <v>1327</v>
      </c>
      <c r="W44" s="1638" t="s">
        <v>3067</v>
      </c>
      <c r="X44" s="1638" t="s">
        <v>3100</v>
      </c>
      <c r="Y44" s="1638" t="s">
        <v>3109</v>
      </c>
      <c r="Z44" s="1638" t="s">
        <v>3108</v>
      </c>
      <c r="AA44" s="1638" t="s">
        <v>3108</v>
      </c>
      <c r="AB44" s="1638" t="s">
        <v>3119</v>
      </c>
      <c r="AC44" s="1638" t="s">
        <v>3062</v>
      </c>
      <c r="AD44" s="1638" t="s">
        <v>3118</v>
      </c>
      <c r="AE44" s="1638">
        <v>40</v>
      </c>
      <c r="AF44" s="1638">
        <v>200</v>
      </c>
      <c r="AG44" s="1638">
        <v>210</v>
      </c>
      <c r="AH44" s="1638">
        <v>71.150000000000006</v>
      </c>
      <c r="AI44" s="1638">
        <v>74.709999999999994</v>
      </c>
      <c r="AJ44" s="1638">
        <v>106723.58</v>
      </c>
      <c r="AK44" s="1638">
        <v>112059.77</v>
      </c>
      <c r="AL44" s="1638" t="s">
        <v>1327</v>
      </c>
      <c r="AM44" s="1638" t="s">
        <v>1327</v>
      </c>
      <c r="AN44" s="1638">
        <v>5</v>
      </c>
      <c r="AO44" s="1638" t="s">
        <v>3060</v>
      </c>
      <c r="AP44" s="1638" t="s">
        <v>1327</v>
      </c>
      <c r="AQ44" s="1638" t="s">
        <v>1327</v>
      </c>
      <c r="AR44" s="1638" t="s">
        <v>1327</v>
      </c>
      <c r="AS44" s="1638" t="s">
        <v>3091</v>
      </c>
    </row>
    <row r="45" spans="1:45">
      <c r="A45" s="1638" t="s">
        <v>3117</v>
      </c>
      <c r="B45" s="1638" t="s">
        <v>3076</v>
      </c>
      <c r="C45" s="1638" t="s">
        <v>3075</v>
      </c>
      <c r="D45" s="1638" t="s">
        <v>3074</v>
      </c>
      <c r="E45" s="1638" t="s">
        <v>1327</v>
      </c>
      <c r="F45" s="1638" t="s">
        <v>3117</v>
      </c>
      <c r="G45" s="1638" t="s">
        <v>3072</v>
      </c>
      <c r="H45" s="1638" t="s">
        <v>3116</v>
      </c>
      <c r="I45" s="1638" t="s">
        <v>3070</v>
      </c>
      <c r="J45" s="1638">
        <v>3797</v>
      </c>
      <c r="K45" s="1638">
        <v>9492.5</v>
      </c>
      <c r="L45" s="1638" t="s">
        <v>3115</v>
      </c>
      <c r="M45" s="1638" t="s">
        <v>1327</v>
      </c>
      <c r="N45" s="1638" t="s">
        <v>3114</v>
      </c>
      <c r="O45" s="1638" t="s">
        <v>1327</v>
      </c>
      <c r="P45" s="1638" t="s">
        <v>1327</v>
      </c>
      <c r="Q45" s="1638" t="s">
        <v>1327</v>
      </c>
      <c r="R45" s="1638" t="s">
        <v>1327</v>
      </c>
      <c r="S45" s="1638" t="s">
        <v>1327</v>
      </c>
      <c r="T45" s="1638" t="s">
        <v>1327</v>
      </c>
      <c r="U45" s="1638" t="s">
        <v>1327</v>
      </c>
      <c r="V45" s="1638" t="s">
        <v>1327</v>
      </c>
      <c r="W45" s="1638" t="s">
        <v>3067</v>
      </c>
      <c r="X45" s="1638" t="s">
        <v>3100</v>
      </c>
      <c r="Y45" s="1638" t="s">
        <v>3109</v>
      </c>
      <c r="Z45" s="1638" t="s">
        <v>3108</v>
      </c>
      <c r="AA45" s="1638" t="s">
        <v>3108</v>
      </c>
      <c r="AB45" s="1638" t="s">
        <v>3113</v>
      </c>
      <c r="AC45" s="1638" t="s">
        <v>3062</v>
      </c>
      <c r="AD45" s="1638" t="s">
        <v>3112</v>
      </c>
      <c r="AE45" s="1638">
        <v>130</v>
      </c>
      <c r="AF45" s="1638">
        <v>620</v>
      </c>
      <c r="AG45" s="1638">
        <v>630</v>
      </c>
      <c r="AH45" s="1638">
        <v>108.86</v>
      </c>
      <c r="AI45" s="1638">
        <v>110.61</v>
      </c>
      <c r="AJ45" s="1638">
        <v>653.14</v>
      </c>
      <c r="AK45" s="1638">
        <v>663.67</v>
      </c>
      <c r="AL45" s="1638" t="s">
        <v>1327</v>
      </c>
      <c r="AM45" s="1638" t="s">
        <v>1327</v>
      </c>
      <c r="AN45" s="1638">
        <v>1.61</v>
      </c>
      <c r="AO45" s="1638" t="s">
        <v>3060</v>
      </c>
      <c r="AP45" s="1638" t="s">
        <v>1327</v>
      </c>
      <c r="AQ45" s="1638" t="s">
        <v>1327</v>
      </c>
      <c r="AR45" s="1638" t="s">
        <v>1327</v>
      </c>
      <c r="AS45" s="1638" t="s">
        <v>3091</v>
      </c>
    </row>
    <row r="46" spans="1:45">
      <c r="A46" s="1638" t="s">
        <v>3111</v>
      </c>
      <c r="B46" s="1638" t="s">
        <v>3076</v>
      </c>
      <c r="C46" s="1638" t="s">
        <v>3075</v>
      </c>
      <c r="D46" s="1638" t="s">
        <v>3074</v>
      </c>
      <c r="E46" s="1638" t="s">
        <v>1327</v>
      </c>
      <c r="F46" s="1638" t="s">
        <v>3111</v>
      </c>
      <c r="G46" s="1638" t="s">
        <v>3072</v>
      </c>
      <c r="H46" s="1638" t="s">
        <v>3110</v>
      </c>
      <c r="I46" s="1638" t="s">
        <v>3080</v>
      </c>
      <c r="J46" s="1638">
        <v>2592</v>
      </c>
      <c r="K46" s="1638">
        <v>2073.6</v>
      </c>
      <c r="L46" s="1638" t="s">
        <v>3079</v>
      </c>
      <c r="M46" s="1638" t="s">
        <v>1327</v>
      </c>
      <c r="N46" s="1638" t="s">
        <v>3068</v>
      </c>
      <c r="O46" s="1638" t="s">
        <v>1327</v>
      </c>
      <c r="P46" s="1638" t="s">
        <v>1327</v>
      </c>
      <c r="Q46" s="1638" t="s">
        <v>1327</v>
      </c>
      <c r="R46" s="1638" t="s">
        <v>1327</v>
      </c>
      <c r="S46" s="1638" t="s">
        <v>1327</v>
      </c>
      <c r="T46" s="1638" t="s">
        <v>1327</v>
      </c>
      <c r="U46" s="1638" t="s">
        <v>1327</v>
      </c>
      <c r="V46" s="1638" t="s">
        <v>1327</v>
      </c>
      <c r="W46" s="1638" t="s">
        <v>3067</v>
      </c>
      <c r="X46" s="1638" t="s">
        <v>3100</v>
      </c>
      <c r="Y46" s="1638" t="s">
        <v>3109</v>
      </c>
      <c r="Z46" s="1638" t="s">
        <v>3108</v>
      </c>
      <c r="AA46" s="1638" t="s">
        <v>3108</v>
      </c>
      <c r="AB46" s="1638" t="s">
        <v>3107</v>
      </c>
      <c r="AC46" s="1638" t="s">
        <v>3062</v>
      </c>
      <c r="AD46" s="1638" t="s">
        <v>3077</v>
      </c>
      <c r="AE46" s="1638">
        <v>350</v>
      </c>
      <c r="AF46" s="1638">
        <v>1750</v>
      </c>
      <c r="AG46" s="1638">
        <v>1760</v>
      </c>
      <c r="AH46" s="1638">
        <v>450.1</v>
      </c>
      <c r="AI46" s="1638">
        <v>452.67</v>
      </c>
      <c r="AJ46" s="1638">
        <v>8439.42</v>
      </c>
      <c r="AK46" s="1638">
        <v>8487.64</v>
      </c>
      <c r="AL46" s="1638" t="s">
        <v>1327</v>
      </c>
      <c r="AM46" s="1638" t="s">
        <v>1327</v>
      </c>
      <c r="AN46" s="1638">
        <v>0.56999999999999995</v>
      </c>
      <c r="AO46" s="1638" t="s">
        <v>3060</v>
      </c>
      <c r="AP46" s="1638" t="s">
        <v>1327</v>
      </c>
      <c r="AQ46" s="1638" t="s">
        <v>1327</v>
      </c>
      <c r="AR46" s="1638" t="s">
        <v>1327</v>
      </c>
      <c r="AS46" s="1638" t="s">
        <v>3106</v>
      </c>
    </row>
    <row r="47" spans="1:45">
      <c r="A47" s="1638" t="s">
        <v>3105</v>
      </c>
      <c r="B47" s="1638" t="s">
        <v>3076</v>
      </c>
      <c r="C47" s="1638" t="s">
        <v>3075</v>
      </c>
      <c r="D47" s="1638" t="s">
        <v>3074</v>
      </c>
      <c r="E47" s="1638" t="s">
        <v>1327</v>
      </c>
      <c r="F47" s="1638" t="s">
        <v>3105</v>
      </c>
      <c r="G47" s="1638" t="s">
        <v>3072</v>
      </c>
      <c r="H47" s="1638" t="s">
        <v>3104</v>
      </c>
      <c r="I47" s="1638" t="s">
        <v>3070</v>
      </c>
      <c r="J47" s="1638">
        <v>25288</v>
      </c>
      <c r="K47" s="1638">
        <v>32874.400000000001</v>
      </c>
      <c r="L47" s="1638" t="s">
        <v>3103</v>
      </c>
      <c r="M47" s="1638" t="s">
        <v>1327</v>
      </c>
      <c r="N47" s="1638" t="s">
        <v>3094</v>
      </c>
      <c r="O47" s="1638" t="s">
        <v>1327</v>
      </c>
      <c r="P47" s="1638" t="s">
        <v>1327</v>
      </c>
      <c r="Q47" s="1638" t="s">
        <v>1327</v>
      </c>
      <c r="R47" s="1638" t="s">
        <v>1327</v>
      </c>
      <c r="S47" s="1638" t="s">
        <v>1327</v>
      </c>
      <c r="T47" s="1638" t="s">
        <v>1327</v>
      </c>
      <c r="U47" s="1638" t="s">
        <v>1327</v>
      </c>
      <c r="V47" s="1638" t="s">
        <v>1327</v>
      </c>
      <c r="W47" s="1638" t="s">
        <v>3067</v>
      </c>
      <c r="X47" s="1638" t="s">
        <v>3102</v>
      </c>
      <c r="Y47" s="1638" t="s">
        <v>3101</v>
      </c>
      <c r="Z47" s="1638" t="s">
        <v>3100</v>
      </c>
      <c r="AA47" s="1638" t="s">
        <v>3100</v>
      </c>
      <c r="AB47" s="1638" t="s">
        <v>3099</v>
      </c>
      <c r="AC47" s="1638" t="s">
        <v>3062</v>
      </c>
      <c r="AD47" s="1638" t="s">
        <v>3098</v>
      </c>
      <c r="AE47" s="1638">
        <v>1600</v>
      </c>
      <c r="AF47" s="1638">
        <v>7550</v>
      </c>
      <c r="AG47" s="1638">
        <v>17200</v>
      </c>
      <c r="AH47" s="1638">
        <v>199.04</v>
      </c>
      <c r="AI47" s="1638">
        <v>453.44</v>
      </c>
      <c r="AJ47" s="1638">
        <v>2296.61</v>
      </c>
      <c r="AK47" s="1638">
        <v>5232.0200000000004</v>
      </c>
      <c r="AL47" s="1638" t="s">
        <v>1327</v>
      </c>
      <c r="AM47" s="1638" t="s">
        <v>1327</v>
      </c>
      <c r="AN47" s="1638">
        <v>127.81</v>
      </c>
      <c r="AO47" s="1638" t="s">
        <v>3060</v>
      </c>
      <c r="AP47" s="1638" t="s">
        <v>1327</v>
      </c>
      <c r="AQ47" s="1638" t="s">
        <v>1327</v>
      </c>
      <c r="AR47" s="1638" t="s">
        <v>1327</v>
      </c>
      <c r="AS47" s="1638" t="s">
        <v>3059</v>
      </c>
    </row>
    <row r="48" spans="1:45">
      <c r="A48" s="1638" t="s">
        <v>3097</v>
      </c>
      <c r="B48" s="1638" t="s">
        <v>3076</v>
      </c>
      <c r="C48" s="1638" t="s">
        <v>3075</v>
      </c>
      <c r="D48" s="1638" t="s">
        <v>3074</v>
      </c>
      <c r="E48" s="1638" t="s">
        <v>1327</v>
      </c>
      <c r="F48" s="1638" t="s">
        <v>3097</v>
      </c>
      <c r="G48" s="1638" t="s">
        <v>3072</v>
      </c>
      <c r="H48" s="1638" t="s">
        <v>3096</v>
      </c>
      <c r="I48" s="1638" t="s">
        <v>3080</v>
      </c>
      <c r="J48" s="1638">
        <v>25276</v>
      </c>
      <c r="K48" s="1638">
        <v>30331.200000000001</v>
      </c>
      <c r="L48" s="1638" t="s">
        <v>3095</v>
      </c>
      <c r="M48" s="1638" t="s">
        <v>1327</v>
      </c>
      <c r="N48" s="1638" t="s">
        <v>3094</v>
      </c>
      <c r="O48" s="1638" t="s">
        <v>1327</v>
      </c>
      <c r="P48" s="1638" t="s">
        <v>1327</v>
      </c>
      <c r="Q48" s="1638" t="s">
        <v>1327</v>
      </c>
      <c r="R48" s="1638" t="s">
        <v>1327</v>
      </c>
      <c r="S48" s="1638" t="s">
        <v>1327</v>
      </c>
      <c r="T48" s="1638" t="s">
        <v>1327</v>
      </c>
      <c r="U48" s="1638" t="s">
        <v>1327</v>
      </c>
      <c r="V48" s="1638" t="s">
        <v>1327</v>
      </c>
      <c r="W48" s="1638" t="s">
        <v>3067</v>
      </c>
      <c r="X48" s="1638" t="s">
        <v>3087</v>
      </c>
      <c r="Y48" s="1638" t="s">
        <v>3086</v>
      </c>
      <c r="Z48" s="1638" t="s">
        <v>3085</v>
      </c>
      <c r="AA48" s="1638" t="s">
        <v>3085</v>
      </c>
      <c r="AB48" s="1638" t="s">
        <v>3093</v>
      </c>
      <c r="AC48" s="1638" t="s">
        <v>3062</v>
      </c>
      <c r="AD48" s="1638" t="s">
        <v>3092</v>
      </c>
      <c r="AE48" s="1638">
        <v>740</v>
      </c>
      <c r="AF48" s="1638">
        <v>3690</v>
      </c>
      <c r="AG48" s="1638">
        <v>3740</v>
      </c>
      <c r="AH48" s="1638">
        <v>97.33</v>
      </c>
      <c r="AI48" s="1638">
        <v>98.64</v>
      </c>
      <c r="AJ48" s="1638">
        <v>1216.56</v>
      </c>
      <c r="AK48" s="1638">
        <v>1233.04</v>
      </c>
      <c r="AL48" s="1638" t="s">
        <v>1327</v>
      </c>
      <c r="AM48" s="1638" t="s">
        <v>1327</v>
      </c>
      <c r="AN48" s="1638">
        <v>1.36</v>
      </c>
      <c r="AO48" s="1638" t="s">
        <v>3060</v>
      </c>
      <c r="AP48" s="1638" t="s">
        <v>1327</v>
      </c>
      <c r="AQ48" s="1638" t="s">
        <v>1327</v>
      </c>
      <c r="AR48" s="1638" t="s">
        <v>1327</v>
      </c>
      <c r="AS48" s="1638" t="s">
        <v>3091</v>
      </c>
    </row>
    <row r="49" spans="1:45">
      <c r="A49" s="1638" t="s">
        <v>3090</v>
      </c>
      <c r="B49" s="1638" t="s">
        <v>3076</v>
      </c>
      <c r="C49" s="1638" t="s">
        <v>3075</v>
      </c>
      <c r="D49" s="1638" t="s">
        <v>3074</v>
      </c>
      <c r="E49" s="1638" t="s">
        <v>1327</v>
      </c>
      <c r="F49" s="1638" t="s">
        <v>3090</v>
      </c>
      <c r="G49" s="1638" t="s">
        <v>3072</v>
      </c>
      <c r="H49" s="1638" t="s">
        <v>3089</v>
      </c>
      <c r="I49" s="1638" t="s">
        <v>3070</v>
      </c>
      <c r="J49" s="1638">
        <v>5173</v>
      </c>
      <c r="K49" s="1638">
        <v>4138.3999999999996</v>
      </c>
      <c r="L49" s="1638" t="s">
        <v>3079</v>
      </c>
      <c r="M49" s="1638" t="s">
        <v>1327</v>
      </c>
      <c r="N49" s="1638" t="s">
        <v>3088</v>
      </c>
      <c r="O49" s="1638" t="s">
        <v>1327</v>
      </c>
      <c r="P49" s="1638" t="s">
        <v>1327</v>
      </c>
      <c r="Q49" s="1638" t="s">
        <v>1327</v>
      </c>
      <c r="R49" s="1638" t="s">
        <v>1327</v>
      </c>
      <c r="S49" s="1638" t="s">
        <v>1327</v>
      </c>
      <c r="T49" s="1638" t="s">
        <v>1327</v>
      </c>
      <c r="U49" s="1638" t="s">
        <v>1327</v>
      </c>
      <c r="V49" s="1638" t="s">
        <v>1327</v>
      </c>
      <c r="W49" s="1638" t="s">
        <v>3067</v>
      </c>
      <c r="X49" s="1638" t="s">
        <v>3087</v>
      </c>
      <c r="Y49" s="1638" t="s">
        <v>3086</v>
      </c>
      <c r="Z49" s="1638" t="s">
        <v>3085</v>
      </c>
      <c r="AA49" s="1638" t="s">
        <v>3085</v>
      </c>
      <c r="AB49" s="1638" t="s">
        <v>3084</v>
      </c>
      <c r="AC49" s="1638" t="s">
        <v>3062</v>
      </c>
      <c r="AD49" s="1638" t="s">
        <v>3083</v>
      </c>
      <c r="AE49" s="1638">
        <v>110</v>
      </c>
      <c r="AF49" s="1638">
        <v>550</v>
      </c>
      <c r="AG49" s="1638">
        <v>560</v>
      </c>
      <c r="AH49" s="1638">
        <v>70.88</v>
      </c>
      <c r="AI49" s="1638">
        <v>72.17</v>
      </c>
      <c r="AJ49" s="1638">
        <v>1329.01</v>
      </c>
      <c r="AK49" s="1638">
        <v>1353.18</v>
      </c>
      <c r="AL49" s="1638" t="s">
        <v>1327</v>
      </c>
      <c r="AM49" s="1638" t="s">
        <v>1327</v>
      </c>
      <c r="AN49" s="1638">
        <v>1.82</v>
      </c>
      <c r="AO49" s="1638" t="s">
        <v>3060</v>
      </c>
      <c r="AP49" s="1638" t="s">
        <v>1327</v>
      </c>
      <c r="AQ49" s="1638" t="s">
        <v>1327</v>
      </c>
      <c r="AR49" s="1638" t="s">
        <v>1327</v>
      </c>
      <c r="AS49" s="1638" t="s">
        <v>3059</v>
      </c>
    </row>
    <row r="50" spans="1:45">
      <c r="A50" s="1638" t="s">
        <v>3082</v>
      </c>
      <c r="B50" s="1638" t="s">
        <v>3076</v>
      </c>
      <c r="C50" s="1638" t="s">
        <v>3075</v>
      </c>
      <c r="D50" s="1638" t="s">
        <v>3074</v>
      </c>
      <c r="E50" s="1638" t="s">
        <v>1327</v>
      </c>
      <c r="F50" s="1638" t="s">
        <v>3082</v>
      </c>
      <c r="G50" s="1638" t="s">
        <v>3072</v>
      </c>
      <c r="H50" s="1638" t="s">
        <v>3081</v>
      </c>
      <c r="I50" s="1638" t="s">
        <v>3080</v>
      </c>
      <c r="J50" s="1638">
        <v>2979</v>
      </c>
      <c r="K50" s="1638">
        <v>2383.1999999999998</v>
      </c>
      <c r="L50" s="1638" t="s">
        <v>3079</v>
      </c>
      <c r="M50" s="1638" t="s">
        <v>1327</v>
      </c>
      <c r="N50" s="1638" t="s">
        <v>3068</v>
      </c>
      <c r="O50" s="1638" t="s">
        <v>1327</v>
      </c>
      <c r="P50" s="1638" t="s">
        <v>1327</v>
      </c>
      <c r="Q50" s="1638" t="s">
        <v>1327</v>
      </c>
      <c r="R50" s="1638" t="s">
        <v>1327</v>
      </c>
      <c r="S50" s="1638" t="s">
        <v>1327</v>
      </c>
      <c r="T50" s="1638" t="s">
        <v>1327</v>
      </c>
      <c r="U50" s="1638" t="s">
        <v>1327</v>
      </c>
      <c r="V50" s="1638" t="s">
        <v>1327</v>
      </c>
      <c r="W50" s="1638" t="s">
        <v>3067</v>
      </c>
      <c r="X50" s="1638" t="s">
        <v>3066</v>
      </c>
      <c r="Y50" s="1638" t="s">
        <v>3065</v>
      </c>
      <c r="Z50" s="1638" t="s">
        <v>3064</v>
      </c>
      <c r="AA50" s="1638" t="s">
        <v>3064</v>
      </c>
      <c r="AB50" s="1638" t="s">
        <v>3078</v>
      </c>
      <c r="AC50" s="1638" t="s">
        <v>3062</v>
      </c>
      <c r="AD50" s="1638" t="s">
        <v>3077</v>
      </c>
      <c r="AE50" s="1638">
        <v>275</v>
      </c>
      <c r="AF50" s="1638">
        <v>1360</v>
      </c>
      <c r="AG50" s="1638">
        <v>1370</v>
      </c>
      <c r="AH50" s="1638">
        <v>304.35000000000002</v>
      </c>
      <c r="AI50" s="1638">
        <v>306.58999999999997</v>
      </c>
      <c r="AJ50" s="1638">
        <v>5706.61</v>
      </c>
      <c r="AK50" s="1638">
        <v>5748.56</v>
      </c>
      <c r="AL50" s="1638" t="s">
        <v>1327</v>
      </c>
      <c r="AM50" s="1638" t="s">
        <v>1327</v>
      </c>
      <c r="AN50" s="1638">
        <v>0.74</v>
      </c>
      <c r="AO50" s="1638" t="s">
        <v>3060</v>
      </c>
      <c r="AP50" s="1638" t="s">
        <v>1327</v>
      </c>
      <c r="AQ50" s="1638" t="s">
        <v>1327</v>
      </c>
      <c r="AR50" s="1638" t="s">
        <v>1327</v>
      </c>
      <c r="AS50" s="1638" t="s">
        <v>3059</v>
      </c>
    </row>
    <row r="51" spans="1:45">
      <c r="A51" s="1638" t="s">
        <v>3073</v>
      </c>
      <c r="B51" s="1638" t="s">
        <v>3076</v>
      </c>
      <c r="C51" s="1638" t="s">
        <v>3075</v>
      </c>
      <c r="D51" s="1638" t="s">
        <v>3074</v>
      </c>
      <c r="E51" s="1638" t="s">
        <v>1327</v>
      </c>
      <c r="F51" s="1638" t="s">
        <v>3073</v>
      </c>
      <c r="G51" s="1638" t="s">
        <v>3072</v>
      </c>
      <c r="H51" s="1638" t="s">
        <v>3071</v>
      </c>
      <c r="I51" s="1638" t="s">
        <v>3070</v>
      </c>
      <c r="J51" s="1638">
        <v>13291</v>
      </c>
      <c r="K51" s="1638">
        <v>22594.7</v>
      </c>
      <c r="L51" s="1638" t="s">
        <v>3069</v>
      </c>
      <c r="M51" s="1638" t="s">
        <v>1327</v>
      </c>
      <c r="N51" s="1638" t="s">
        <v>3068</v>
      </c>
      <c r="O51" s="1638" t="s">
        <v>1327</v>
      </c>
      <c r="P51" s="1638" t="s">
        <v>1327</v>
      </c>
      <c r="Q51" s="1638" t="s">
        <v>1327</v>
      </c>
      <c r="R51" s="1638" t="s">
        <v>1327</v>
      </c>
      <c r="S51" s="1638" t="s">
        <v>1327</v>
      </c>
      <c r="T51" s="1638" t="s">
        <v>1327</v>
      </c>
      <c r="U51" s="1638" t="s">
        <v>1327</v>
      </c>
      <c r="V51" s="1638" t="s">
        <v>1327</v>
      </c>
      <c r="W51" s="1638" t="s">
        <v>3067</v>
      </c>
      <c r="X51" s="1638" t="s">
        <v>3066</v>
      </c>
      <c r="Y51" s="1638" t="s">
        <v>3065</v>
      </c>
      <c r="Z51" s="1638" t="s">
        <v>3064</v>
      </c>
      <c r="AA51" s="1638" t="s">
        <v>3064</v>
      </c>
      <c r="AB51" s="1638" t="s">
        <v>3063</v>
      </c>
      <c r="AC51" s="1638" t="s">
        <v>3062</v>
      </c>
      <c r="AD51" s="1638" t="s">
        <v>3061</v>
      </c>
      <c r="AE51" s="1638">
        <v>660</v>
      </c>
      <c r="AF51" s="1638">
        <v>3280</v>
      </c>
      <c r="AG51" s="1638">
        <v>3310</v>
      </c>
      <c r="AH51" s="1638">
        <v>164.52</v>
      </c>
      <c r="AI51" s="1638">
        <v>166.03</v>
      </c>
      <c r="AJ51" s="1638">
        <v>1451.66</v>
      </c>
      <c r="AK51" s="1638">
        <v>1464.95</v>
      </c>
      <c r="AL51" s="1638" t="s">
        <v>1327</v>
      </c>
      <c r="AM51" s="1638" t="s">
        <v>1327</v>
      </c>
      <c r="AN51" s="1638">
        <v>0.91</v>
      </c>
      <c r="AO51" s="1638" t="s">
        <v>3060</v>
      </c>
      <c r="AP51" s="1638" t="s">
        <v>1327</v>
      </c>
      <c r="AQ51" s="1638" t="s">
        <v>1327</v>
      </c>
      <c r="AR51" s="1638" t="s">
        <v>1327</v>
      </c>
      <c r="AS51" s="1638" t="s">
        <v>3059</v>
      </c>
    </row>
  </sheetData>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O48" sqref="O4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6949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890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30">
      <c r="A5" s="404"/>
      <c r="B5" s="405"/>
      <c r="C5" s="3182" t="s">
        <v>2540</v>
      </c>
      <c r="D5" s="3183"/>
      <c r="E5" s="3180" t="str">
        <f>土地案例!A11</f>
        <v>市区西山路南侧、杨园路东侧</v>
      </c>
      <c r="F5" s="3181"/>
      <c r="G5" s="3182" t="str">
        <f>土地案例!A16</f>
        <v>斜桥镇硖许公路北侧、庆仲路西侧</v>
      </c>
      <c r="H5" s="3183"/>
      <c r="I5" s="3182" t="str">
        <f>土地案例!A29</f>
        <v>马桥街道丰收路南、经都七路东侧</v>
      </c>
      <c r="J5" s="3183"/>
      <c r="K5" s="610"/>
      <c r="L5" s="1133"/>
      <c r="M5" s="1134"/>
      <c r="N5" s="1134"/>
      <c r="O5" s="1134"/>
      <c r="P5" s="3195"/>
      <c r="Q5" s="3196"/>
      <c r="R5" s="3178"/>
      <c r="S5" s="3179"/>
      <c r="T5" s="3178"/>
      <c r="U5" s="3179"/>
      <c r="V5" s="3201"/>
      <c r="W5" s="3201"/>
      <c r="X5" s="1816"/>
      <c r="Y5" s="3178"/>
      <c r="Z5" s="3179"/>
      <c r="AA5" s="3172"/>
      <c r="AB5" s="3172"/>
      <c r="AC5" s="3172"/>
    </row>
    <row r="6" spans="1:30" ht="1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30" s="117" customFormat="1" ht="15" thickBot="1">
      <c r="A7" s="408" t="s">
        <v>2546</v>
      </c>
      <c r="B7" s="409"/>
      <c r="C7" s="410">
        <f>'数据-取费表'!B2</f>
        <v>43556</v>
      </c>
      <c r="D7" s="411">
        <v>100</v>
      </c>
      <c r="E7" s="412" t="str">
        <f>土地案例!AA11</f>
        <v>2018-10-10</v>
      </c>
      <c r="F7" s="413">
        <f>SUMIF(70:70,YEAR(E7)&amp;"-"&amp;INT((MONTH(E7)+2)/3),71:71)</f>
        <v>99</v>
      </c>
      <c r="G7" s="2701" t="str">
        <f>土地案例!AA16</f>
        <v>2018-07-06</v>
      </c>
      <c r="H7" s="411">
        <f>SUMIF(70:70,YEAR(G7)&amp;"-"&amp;INT((MONTH(G7)+2)/3),71:71)</f>
        <v>98.5</v>
      </c>
      <c r="I7" s="2701" t="str">
        <f>土地案例!AA29</f>
        <v>2018-01-10</v>
      </c>
      <c r="J7" s="411">
        <f>SUMIF(70:70,YEAR(I7)&amp;"-"&amp;INT((MONTH(I7)+2)/3),71:71)</f>
        <v>97.5</v>
      </c>
      <c r="K7" s="611"/>
      <c r="L7" s="1135"/>
      <c r="M7" s="1136"/>
      <c r="N7" s="1136"/>
      <c r="O7" s="1136"/>
      <c r="P7" s="3174" t="s">
        <v>2547</v>
      </c>
      <c r="Q7" s="3202"/>
      <c r="R7" s="770" t="s">
        <v>17</v>
      </c>
      <c r="S7" s="771">
        <f t="shared" ref="S7:S15" si="0">F7</f>
        <v>99</v>
      </c>
      <c r="T7" s="770" t="s">
        <v>17</v>
      </c>
      <c r="U7" s="771">
        <f t="shared" ref="U7:U15" si="1">H7</f>
        <v>98.5</v>
      </c>
      <c r="V7" s="770" t="s">
        <v>17</v>
      </c>
      <c r="W7" s="771">
        <f t="shared" ref="W7:W15" si="2">J7</f>
        <v>97.5</v>
      </c>
      <c r="X7" s="772"/>
      <c r="Y7" s="3174" t="s">
        <v>2547</v>
      </c>
      <c r="Z7" s="3175"/>
      <c r="AA7" s="773">
        <f>D7/F7</f>
        <v>1.0101010101010102</v>
      </c>
      <c r="AB7" s="773">
        <f>D7/H7</f>
        <v>1.015228426395939</v>
      </c>
      <c r="AC7" s="773">
        <f>D7/J7</f>
        <v>1.0256410256410255</v>
      </c>
    </row>
    <row r="8" spans="1:30" s="117" customFormat="1" ht="1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174" t="s">
        <v>2550</v>
      </c>
      <c r="Q8" s="3175"/>
      <c r="R8" s="770" t="s">
        <v>17</v>
      </c>
      <c r="S8" s="771">
        <f t="shared" si="0"/>
        <v>100</v>
      </c>
      <c r="T8" s="770" t="s">
        <v>17</v>
      </c>
      <c r="U8" s="771">
        <f t="shared" si="1"/>
        <v>100</v>
      </c>
      <c r="V8" s="770" t="s">
        <v>17</v>
      </c>
      <c r="W8" s="771">
        <f t="shared" si="2"/>
        <v>100</v>
      </c>
      <c r="X8" s="772"/>
      <c r="Y8" s="3174" t="s">
        <v>2550</v>
      </c>
      <c r="Z8" s="3175"/>
      <c r="AA8" s="773">
        <f t="shared" ref="AA8:AA45" si="3">D8/F8</f>
        <v>1</v>
      </c>
      <c r="AB8" s="773">
        <f t="shared" ref="AB8:AB45" si="4">D8/H8</f>
        <v>1</v>
      </c>
      <c r="AC8" s="773">
        <f t="shared" ref="AC8:AC45" si="5">D8/J8</f>
        <v>1</v>
      </c>
    </row>
    <row r="9" spans="1:30" s="117" customFormat="1" ht="14.4">
      <c r="A9" s="415" t="s">
        <v>2551</v>
      </c>
      <c r="B9" s="71" t="s">
        <v>2552</v>
      </c>
      <c r="C9" s="2704" t="s">
        <v>3416</v>
      </c>
      <c r="D9" s="135">
        <v>100</v>
      </c>
      <c r="E9" s="2704" t="s">
        <v>3416</v>
      </c>
      <c r="F9" s="135">
        <f>SUMIF(75:75,E9,76:76)-SUMIF(75:75,C9,76:76)+100</f>
        <v>100</v>
      </c>
      <c r="G9" s="2704" t="s">
        <v>3416</v>
      </c>
      <c r="H9" s="135">
        <f>SUMIF(75:75,G9,76:76)-SUMIF(75:75,C9,76:76)+100</f>
        <v>100</v>
      </c>
      <c r="I9" s="2704" t="s">
        <v>3416</v>
      </c>
      <c r="J9" s="135">
        <f>SUMIF(75:75,I9,76:76)-SUMIF(75:75,C9,76:76)+100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6"/>
      <c r="Q10" s="1798" t="str">
        <f t="shared" si="6"/>
        <v>土地使用年限（年）</v>
      </c>
      <c r="R10" s="770" t="s">
        <v>17</v>
      </c>
      <c r="S10" s="771">
        <f t="shared" si="0"/>
        <v>105</v>
      </c>
      <c r="T10" s="770" t="s">
        <v>17</v>
      </c>
      <c r="U10" s="771">
        <f t="shared" si="1"/>
        <v>105</v>
      </c>
      <c r="V10" s="770" t="s">
        <v>17</v>
      </c>
      <c r="W10" s="771">
        <f t="shared" si="2"/>
        <v>105</v>
      </c>
      <c r="X10" s="772"/>
      <c r="Y10" s="3021"/>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1.75</v>
      </c>
      <c r="D11" s="136">
        <v>100</v>
      </c>
      <c r="E11" s="429">
        <v>2</v>
      </c>
      <c r="F11" s="136">
        <f>LOOKUP(E11,80:80,81:81)-LOOKUP(C11,80:80,81:81)+100</f>
        <v>99</v>
      </c>
      <c r="G11" s="430">
        <v>3</v>
      </c>
      <c r="H11" s="136">
        <f>LOOKUP(G11,80:80,81:81)-LOOKUP(C11,80:80,81:81)+100</f>
        <v>97</v>
      </c>
      <c r="I11" s="429">
        <v>1.5</v>
      </c>
      <c r="J11" s="136">
        <f>LOOKUP(I11,80:80,81:81)-LOOKUP(C11,80:80,81:81)+100</f>
        <v>100</v>
      </c>
      <c r="K11" s="673">
        <v>1</v>
      </c>
      <c r="L11" s="1141"/>
      <c r="M11" s="1134"/>
      <c r="N11" s="1134"/>
      <c r="O11" s="1142"/>
      <c r="P11" s="3206"/>
      <c r="Q11" s="1798" t="str">
        <f t="shared" si="6"/>
        <v>容积率</v>
      </c>
      <c r="R11" s="770" t="s">
        <v>17</v>
      </c>
      <c r="S11" s="771">
        <f t="shared" si="0"/>
        <v>99</v>
      </c>
      <c r="T11" s="770" t="s">
        <v>17</v>
      </c>
      <c r="U11" s="771">
        <f t="shared" si="1"/>
        <v>97</v>
      </c>
      <c r="V11" s="770" t="s">
        <v>17</v>
      </c>
      <c r="W11" s="771">
        <f t="shared" si="2"/>
        <v>100</v>
      </c>
      <c r="X11" s="772"/>
      <c r="Y11" s="3021"/>
      <c r="Z11" s="55" t="str">
        <f t="shared" si="7"/>
        <v>容积率</v>
      </c>
      <c r="AA11" s="773">
        <f t="shared" si="3"/>
        <v>1.0101010101010102</v>
      </c>
      <c r="AB11" s="773">
        <f t="shared" si="4"/>
        <v>1.0309278350515463</v>
      </c>
      <c r="AC11" s="773">
        <f t="shared" si="5"/>
        <v>1</v>
      </c>
    </row>
    <row r="12" spans="1:30" s="117" customFormat="1" ht="15">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6"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6.6">
      <c r="A15" s="440" t="s">
        <v>2557</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8" t="s">
        <v>2558</v>
      </c>
      <c r="Q15" s="1813" t="str">
        <f t="shared" si="6"/>
        <v>居住社区成熟度</v>
      </c>
      <c r="R15" s="774" t="s">
        <v>17</v>
      </c>
      <c r="S15" s="775">
        <f t="shared" si="0"/>
        <v>100</v>
      </c>
      <c r="T15" s="774" t="s">
        <v>17</v>
      </c>
      <c r="U15" s="775">
        <f t="shared" si="1"/>
        <v>100</v>
      </c>
      <c r="V15" s="774" t="s">
        <v>17</v>
      </c>
      <c r="W15" s="775">
        <f t="shared" si="2"/>
        <v>100</v>
      </c>
      <c r="X15" s="1816"/>
      <c r="Y15" s="3208" t="s">
        <v>2558</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82.8">
      <c r="A17" s="428"/>
      <c r="B17" s="451" t="s">
        <v>2651</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9"/>
      <c r="Q17" s="1813" t="str">
        <f>B17</f>
        <v>商业繁华度</v>
      </c>
      <c r="R17" s="774" t="s">
        <v>17</v>
      </c>
      <c r="S17" s="775">
        <f>F17</f>
        <v>100</v>
      </c>
      <c r="T17" s="774" t="s">
        <v>17</v>
      </c>
      <c r="U17" s="775">
        <f>H17</f>
        <v>100</v>
      </c>
      <c r="V17" s="774" t="s">
        <v>17</v>
      </c>
      <c r="W17" s="775">
        <f>J17</f>
        <v>100</v>
      </c>
      <c r="X17" s="1816"/>
      <c r="Y17" s="3209"/>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82.8">
      <c r="A19" s="428"/>
      <c r="B19" s="451" t="s">
        <v>2685</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3" t="str">
        <f>B19</f>
        <v>办公集聚程度</v>
      </c>
      <c r="R19" s="774" t="s">
        <v>17</v>
      </c>
      <c r="S19" s="775">
        <f>F19</f>
        <v>100</v>
      </c>
      <c r="T19" s="774" t="s">
        <v>17</v>
      </c>
      <c r="U19" s="775">
        <f>H19</f>
        <v>100</v>
      </c>
      <c r="V19" s="774" t="s">
        <v>17</v>
      </c>
      <c r="W19" s="775">
        <f>J19</f>
        <v>100</v>
      </c>
      <c r="X19" s="1816"/>
      <c r="Y19" s="3209"/>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209"/>
      <c r="Q20" s="1813"/>
      <c r="R20" s="774"/>
      <c r="S20" s="775"/>
      <c r="T20" s="774"/>
      <c r="U20" s="775"/>
      <c r="V20" s="774"/>
      <c r="W20" s="775"/>
      <c r="X20" s="1816"/>
      <c r="Y20" s="3209"/>
      <c r="Z20" s="1817"/>
      <c r="AA20" s="1814">
        <v>1</v>
      </c>
      <c r="AB20" s="1814">
        <v>1</v>
      </c>
      <c r="AC20" s="1814">
        <v>1</v>
      </c>
    </row>
    <row r="21" spans="1:29" ht="96.6">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9"/>
      <c r="Q21" s="1813" t="str">
        <f>B21</f>
        <v>交通便捷度</v>
      </c>
      <c r="R21" s="774" t="s">
        <v>17</v>
      </c>
      <c r="S21" s="775">
        <f>F21</f>
        <v>100</v>
      </c>
      <c r="T21" s="774" t="s">
        <v>17</v>
      </c>
      <c r="U21" s="775">
        <f>H21</f>
        <v>100</v>
      </c>
      <c r="V21" s="774" t="s">
        <v>17</v>
      </c>
      <c r="W21" s="775">
        <f>J21</f>
        <v>100</v>
      </c>
      <c r="X21" s="1816"/>
      <c r="Y21" s="3209"/>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ht="28.8">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9"/>
      <c r="Q23" s="1813" t="str">
        <f t="shared" ref="Q23:Q37" si="8">B23</f>
        <v>区域土地利用方向</v>
      </c>
      <c r="R23" s="774" t="s">
        <v>17</v>
      </c>
      <c r="S23" s="775">
        <f>F23</f>
        <v>100</v>
      </c>
      <c r="T23" s="774" t="s">
        <v>17</v>
      </c>
      <c r="U23" s="775">
        <f>H23</f>
        <v>100</v>
      </c>
      <c r="V23" s="774" t="s">
        <v>17</v>
      </c>
      <c r="W23" s="775">
        <f>J23</f>
        <v>100</v>
      </c>
      <c r="X23" s="1816"/>
      <c r="Y23" s="3209"/>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09"/>
      <c r="Q24" s="1813"/>
      <c r="R24" s="774"/>
      <c r="S24" s="775"/>
      <c r="T24" s="774"/>
      <c r="U24" s="775"/>
      <c r="V24" s="774"/>
      <c r="W24" s="775"/>
      <c r="X24" s="1816"/>
      <c r="Y24" s="3209"/>
      <c r="Z24" s="1817"/>
      <c r="AA24" s="1814"/>
      <c r="AB24" s="1814"/>
      <c r="AC24" s="1814"/>
    </row>
    <row r="25" spans="1:29" ht="55.2">
      <c r="A25" s="404"/>
      <c r="B25" s="1387" t="s">
        <v>2747</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9"/>
      <c r="Q25" s="1813" t="str">
        <f t="shared" si="8"/>
        <v>自然及人文环境状况</v>
      </c>
      <c r="R25" s="774" t="s">
        <v>17</v>
      </c>
      <c r="S25" s="775">
        <f>F25</f>
        <v>100</v>
      </c>
      <c r="T25" s="774" t="s">
        <v>17</v>
      </c>
      <c r="U25" s="775">
        <f>H25</f>
        <v>100</v>
      </c>
      <c r="V25" s="774" t="s">
        <v>17</v>
      </c>
      <c r="W25" s="775">
        <f>J25</f>
        <v>100</v>
      </c>
      <c r="X25" s="1816"/>
      <c r="Y25" s="3209"/>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09"/>
      <c r="Q26" s="1813"/>
      <c r="R26" s="774"/>
      <c r="S26" s="775"/>
      <c r="T26" s="774"/>
      <c r="U26" s="775"/>
      <c r="V26" s="774"/>
      <c r="W26" s="775"/>
      <c r="X26" s="1816"/>
      <c r="Y26" s="3209"/>
      <c r="Z26" s="1817"/>
      <c r="AA26" s="1814">
        <v>1</v>
      </c>
      <c r="AB26" s="1814">
        <v>1</v>
      </c>
      <c r="AC26" s="1814">
        <v>1</v>
      </c>
    </row>
    <row r="27" spans="1:29" s="117" customFormat="1" ht="41.4">
      <c r="A27" s="649"/>
      <c r="B27" s="1387" t="s">
        <v>2652</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9"/>
      <c r="Q27" s="1798" t="str">
        <f t="shared" si="8"/>
        <v>公共配套设施</v>
      </c>
      <c r="R27" s="770" t="s">
        <v>17</v>
      </c>
      <c r="S27" s="771">
        <f>F27</f>
        <v>100</v>
      </c>
      <c r="T27" s="770" t="s">
        <v>17</v>
      </c>
      <c r="U27" s="771">
        <f>H27</f>
        <v>100</v>
      </c>
      <c r="V27" s="770" t="s">
        <v>17</v>
      </c>
      <c r="W27" s="771">
        <f>J27</f>
        <v>100</v>
      </c>
      <c r="X27" s="772"/>
      <c r="Y27" s="3209"/>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09"/>
      <c r="Q28" s="1798"/>
      <c r="R28" s="770"/>
      <c r="S28" s="771"/>
      <c r="T28" s="770"/>
      <c r="U28" s="771"/>
      <c r="V28" s="770"/>
      <c r="W28" s="771"/>
      <c r="X28" s="772"/>
      <c r="Y28" s="3209"/>
      <c r="Z28" s="55"/>
      <c r="AA28" s="1814">
        <v>1</v>
      </c>
      <c r="AB28" s="1814">
        <v>1</v>
      </c>
      <c r="AC28" s="1814">
        <v>1</v>
      </c>
    </row>
    <row r="29" spans="1:29" s="117" customFormat="1" ht="41.4">
      <c r="A29" s="649"/>
      <c r="B29" s="1387" t="s">
        <v>2653</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9"/>
      <c r="Q29" s="1798"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09"/>
      <c r="Q30" s="1798"/>
      <c r="R30" s="770"/>
      <c r="S30" s="771"/>
      <c r="T30" s="770"/>
      <c r="U30" s="771"/>
      <c r="V30" s="770"/>
      <c r="W30" s="771"/>
      <c r="X30" s="772"/>
      <c r="Y30" s="3209"/>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9"/>
      <c r="Z31" s="1817" t="str">
        <f t="shared" ref="Z31:Z45" si="13">Q31</f>
        <v>临街状况</v>
      </c>
      <c r="AA31" s="1814">
        <f t="shared" si="3"/>
        <v>1</v>
      </c>
      <c r="AB31" s="1814">
        <f t="shared" si="4"/>
        <v>1</v>
      </c>
      <c r="AC31" s="1814">
        <f t="shared" si="5"/>
        <v>1</v>
      </c>
    </row>
    <row r="32" spans="1:29" ht="28.8">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9"/>
      <c r="Q32" s="1813" t="str">
        <f t="shared" si="8"/>
        <v>毗邻道路的类型与等级</v>
      </c>
      <c r="R32" s="774" t="s">
        <v>17</v>
      </c>
      <c r="S32" s="775">
        <f t="shared" si="10"/>
        <v>100</v>
      </c>
      <c r="T32" s="774" t="s">
        <v>17</v>
      </c>
      <c r="U32" s="775">
        <f t="shared" si="11"/>
        <v>100</v>
      </c>
      <c r="V32" s="774" t="s">
        <v>17</v>
      </c>
      <c r="W32" s="775">
        <f t="shared" si="12"/>
        <v>100</v>
      </c>
      <c r="X32" s="1816"/>
      <c r="Y32" s="3209"/>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09"/>
      <c r="Q33" s="1813"/>
      <c r="R33" s="774"/>
      <c r="S33" s="775"/>
      <c r="T33" s="774"/>
      <c r="U33" s="775"/>
      <c r="V33" s="774"/>
      <c r="W33" s="775"/>
      <c r="X33" s="1816"/>
      <c r="Y33" s="3209"/>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3" t="str">
        <f t="shared" si="8"/>
        <v>土地级别</v>
      </c>
      <c r="R34" s="774" t="s">
        <v>17</v>
      </c>
      <c r="S34" s="775">
        <f t="shared" si="10"/>
        <v>100</v>
      </c>
      <c r="T34" s="774" t="s">
        <v>17</v>
      </c>
      <c r="U34" s="775">
        <f t="shared" si="11"/>
        <v>100</v>
      </c>
      <c r="V34" s="774" t="s">
        <v>17</v>
      </c>
      <c r="W34" s="775">
        <f t="shared" si="12"/>
        <v>100</v>
      </c>
      <c r="X34" s="1816"/>
      <c r="Y34" s="320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3">
        <f t="shared" si="8"/>
        <v>111</v>
      </c>
      <c r="R35" s="774" t="s">
        <v>17</v>
      </c>
      <c r="S35" s="775">
        <f t="shared" si="10"/>
        <v>100</v>
      </c>
      <c r="T35" s="774" t="s">
        <v>17</v>
      </c>
      <c r="U35" s="775">
        <f t="shared" si="11"/>
        <v>100</v>
      </c>
      <c r="V35" s="774" t="s">
        <v>17</v>
      </c>
      <c r="W35" s="775">
        <f t="shared" si="12"/>
        <v>100</v>
      </c>
      <c r="X35" s="1816"/>
      <c r="Y35" s="320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2" t="s">
        <v>2563</v>
      </c>
      <c r="Q36" s="1813">
        <f t="shared" si="8"/>
        <v>111</v>
      </c>
      <c r="R36" s="774" t="s">
        <v>17</v>
      </c>
      <c r="S36" s="775">
        <f t="shared" si="10"/>
        <v>100</v>
      </c>
      <c r="T36" s="774" t="s">
        <v>17</v>
      </c>
      <c r="U36" s="775">
        <f t="shared" si="11"/>
        <v>100</v>
      </c>
      <c r="V36" s="774" t="s">
        <v>17</v>
      </c>
      <c r="W36" s="775">
        <f t="shared" si="12"/>
        <v>100</v>
      </c>
      <c r="X36" s="1816"/>
      <c r="Y36" s="3213" t="s">
        <v>2563</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3">
        <f t="shared" si="8"/>
        <v>111</v>
      </c>
      <c r="R37" s="777" t="s">
        <v>17</v>
      </c>
      <c r="S37" s="778">
        <f t="shared" si="10"/>
        <v>100</v>
      </c>
      <c r="T37" s="777" t="s">
        <v>17</v>
      </c>
      <c r="U37" s="778">
        <f t="shared" si="11"/>
        <v>100</v>
      </c>
      <c r="V37" s="777" t="s">
        <v>17</v>
      </c>
      <c r="W37" s="778">
        <f t="shared" si="12"/>
        <v>100</v>
      </c>
      <c r="X37" s="779"/>
      <c r="Y37" s="3213"/>
      <c r="Z37" s="780">
        <f t="shared" si="13"/>
        <v>111</v>
      </c>
      <c r="AA37" s="1814">
        <f t="shared" si="3"/>
        <v>1</v>
      </c>
      <c r="AB37" s="1814">
        <f t="shared" si="4"/>
        <v>1</v>
      </c>
      <c r="AC37" s="1814">
        <f t="shared" si="5"/>
        <v>1</v>
      </c>
    </row>
    <row r="38" spans="1:29" ht="15.6">
      <c r="A38" s="472" t="s">
        <v>2561</v>
      </c>
      <c r="B38" s="456" t="s">
        <v>2749</v>
      </c>
      <c r="C38" s="679">
        <f>'数据-汇总表'!D3</f>
        <v>40694</v>
      </c>
      <c r="D38" s="467">
        <v>100</v>
      </c>
      <c r="E38" s="679">
        <f>土地案例!J11</f>
        <v>3334</v>
      </c>
      <c r="F38" s="467">
        <f>LOOKUP(E38,117:117,118:118)-LOOKUP(C38,117:117,118:118)+100</f>
        <v>96</v>
      </c>
      <c r="G38" s="679">
        <f>土地案例!J16</f>
        <v>4818</v>
      </c>
      <c r="H38" s="467">
        <f>LOOKUP(G38,117:117,118:118)-LOOKUP(C38,117:117,118:118)+100</f>
        <v>96</v>
      </c>
      <c r="I38" s="530">
        <f>土地案例!J29</f>
        <v>24993</v>
      </c>
      <c r="J38" s="467">
        <f>LOOKUP(I38,117:117,118:118)-LOOKUP(C38,117:117,118:118)+100</f>
        <v>98</v>
      </c>
      <c r="K38" s="613"/>
      <c r="L38" s="1143"/>
      <c r="M38" s="1134"/>
      <c r="N38" s="1134"/>
      <c r="O38" s="1142"/>
      <c r="P38" s="3213"/>
      <c r="Q38" s="1813" t="str">
        <f>B38</f>
        <v>宗地面积</v>
      </c>
      <c r="R38" s="774" t="s">
        <v>17</v>
      </c>
      <c r="S38" s="775">
        <f t="shared" si="10"/>
        <v>96</v>
      </c>
      <c r="T38" s="774" t="s">
        <v>17</v>
      </c>
      <c r="U38" s="775">
        <f t="shared" si="11"/>
        <v>96</v>
      </c>
      <c r="V38" s="774" t="s">
        <v>17</v>
      </c>
      <c r="W38" s="775">
        <f t="shared" si="12"/>
        <v>98</v>
      </c>
      <c r="X38" s="1816"/>
      <c r="Y38" s="3213"/>
      <c r="Z38" s="1817" t="str">
        <f t="shared" si="13"/>
        <v>宗地面积</v>
      </c>
      <c r="AA38" s="1814">
        <f t="shared" si="3"/>
        <v>1.0416666666666667</v>
      </c>
      <c r="AB38" s="1814">
        <f t="shared" si="4"/>
        <v>1.0416666666666667</v>
      </c>
      <c r="AC38" s="1814">
        <f t="shared" si="5"/>
        <v>1.0204081632653061</v>
      </c>
    </row>
    <row r="39" spans="1:29" ht="15">
      <c r="A39" s="472"/>
      <c r="B39" s="422" t="s">
        <v>2750</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13"/>
      <c r="Q39" s="1813" t="str">
        <f t="shared" ref="Q39:Q45" si="14">B39</f>
        <v>宗地形状</v>
      </c>
      <c r="R39" s="774" t="s">
        <v>17</v>
      </c>
      <c r="S39" s="775">
        <f t="shared" si="10"/>
        <v>100</v>
      </c>
      <c r="T39" s="774" t="s">
        <v>17</v>
      </c>
      <c r="U39" s="775">
        <f t="shared" si="11"/>
        <v>100</v>
      </c>
      <c r="V39" s="774" t="s">
        <v>17</v>
      </c>
      <c r="W39" s="775">
        <f t="shared" si="12"/>
        <v>100</v>
      </c>
      <c r="X39" s="1816"/>
      <c r="Y39" s="3213"/>
      <c r="Z39" s="1817" t="str">
        <f t="shared" si="13"/>
        <v>宗地形状</v>
      </c>
      <c r="AA39" s="1814">
        <f t="shared" si="3"/>
        <v>1</v>
      </c>
      <c r="AB39" s="1814">
        <f t="shared" si="4"/>
        <v>1</v>
      </c>
      <c r="AC39" s="1814">
        <f t="shared" si="5"/>
        <v>1</v>
      </c>
    </row>
    <row r="40" spans="1:29" ht="15">
      <c r="A40" s="472"/>
      <c r="B40" s="422" t="s">
        <v>2751</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13"/>
      <c r="Q40" s="1813" t="str">
        <f t="shared" si="14"/>
        <v>临街宽度及深度</v>
      </c>
      <c r="R40" s="774" t="s">
        <v>17</v>
      </c>
      <c r="S40" s="775">
        <f t="shared" si="10"/>
        <v>100</v>
      </c>
      <c r="T40" s="774" t="s">
        <v>17</v>
      </c>
      <c r="U40" s="775">
        <f t="shared" si="11"/>
        <v>100</v>
      </c>
      <c r="V40" s="774" t="s">
        <v>17</v>
      </c>
      <c r="W40" s="775">
        <f t="shared" si="12"/>
        <v>100</v>
      </c>
      <c r="X40" s="1816"/>
      <c r="Y40" s="3213"/>
      <c r="Z40" s="1817" t="str">
        <f t="shared" si="13"/>
        <v>临街宽度及深度</v>
      </c>
      <c r="AA40" s="1814">
        <f t="shared" si="3"/>
        <v>1</v>
      </c>
      <c r="AB40" s="1814">
        <f t="shared" si="4"/>
        <v>1</v>
      </c>
      <c r="AC40" s="1814">
        <f t="shared" si="5"/>
        <v>1</v>
      </c>
    </row>
    <row r="41" spans="1:29" s="117" customFormat="1" ht="15">
      <c r="A41" s="473"/>
      <c r="B41" s="422" t="s">
        <v>2752</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13"/>
      <c r="Q41" s="1813"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2753</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13" t="s">
        <v>2563</v>
      </c>
      <c r="Q42" s="1813" t="str">
        <f t="shared" si="14"/>
        <v>工程地质条件</v>
      </c>
      <c r="R42" s="774" t="s">
        <v>17</v>
      </c>
      <c r="S42" s="775">
        <f t="shared" si="10"/>
        <v>100</v>
      </c>
      <c r="T42" s="774" t="s">
        <v>17</v>
      </c>
      <c r="U42" s="775">
        <f t="shared" si="11"/>
        <v>100</v>
      </c>
      <c r="V42" s="774" t="s">
        <v>17</v>
      </c>
      <c r="W42" s="775">
        <f t="shared" si="12"/>
        <v>100</v>
      </c>
      <c r="X42" s="1816"/>
      <c r="Y42" s="3213"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3">
        <f t="shared" si="14"/>
        <v>111</v>
      </c>
      <c r="R43" s="774" t="s">
        <v>17</v>
      </c>
      <c r="S43" s="775">
        <f t="shared" si="10"/>
        <v>100</v>
      </c>
      <c r="T43" s="774" t="s">
        <v>17</v>
      </c>
      <c r="U43" s="775">
        <f t="shared" si="11"/>
        <v>100</v>
      </c>
      <c r="V43" s="774" t="s">
        <v>17</v>
      </c>
      <c r="W43" s="775">
        <f t="shared" si="12"/>
        <v>100</v>
      </c>
      <c r="X43" s="1816"/>
      <c r="Y43" s="321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3">
        <f t="shared" si="14"/>
        <v>111</v>
      </c>
      <c r="R44" s="774" t="s">
        <v>17</v>
      </c>
      <c r="S44" s="775">
        <f t="shared" si="10"/>
        <v>100</v>
      </c>
      <c r="T44" s="774" t="s">
        <v>17</v>
      </c>
      <c r="U44" s="775">
        <f t="shared" si="11"/>
        <v>100</v>
      </c>
      <c r="V44" s="774" t="s">
        <v>17</v>
      </c>
      <c r="W44" s="775">
        <f t="shared" si="12"/>
        <v>100</v>
      </c>
      <c r="X44" s="1816"/>
      <c r="Y44" s="3213"/>
      <c r="Z44" s="1817">
        <f t="shared" si="13"/>
        <v>111</v>
      </c>
      <c r="AA44" s="1814">
        <f t="shared" si="3"/>
        <v>1</v>
      </c>
      <c r="AB44" s="1814">
        <f t="shared" si="4"/>
        <v>1</v>
      </c>
      <c r="AC44" s="1814">
        <f t="shared" si="5"/>
        <v>1</v>
      </c>
    </row>
    <row r="45" spans="1:29" s="471" customFormat="1" ht="15.6"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3">
        <f t="shared" si="14"/>
        <v>111</v>
      </c>
      <c r="R45" s="777" t="s">
        <v>17</v>
      </c>
      <c r="S45" s="778">
        <f t="shared" si="10"/>
        <v>100</v>
      </c>
      <c r="T45" s="777" t="s">
        <v>17</v>
      </c>
      <c r="U45" s="778">
        <f t="shared" si="11"/>
        <v>100</v>
      </c>
      <c r="V45" s="777" t="s">
        <v>17</v>
      </c>
      <c r="W45" s="778">
        <f t="shared" si="12"/>
        <v>100</v>
      </c>
      <c r="X45" s="779"/>
      <c r="Y45" s="3213"/>
      <c r="Z45" s="780">
        <f t="shared" si="13"/>
        <v>111</v>
      </c>
      <c r="AA45" s="1814">
        <f t="shared" si="3"/>
        <v>1</v>
      </c>
      <c r="AB45" s="1814">
        <f t="shared" si="4"/>
        <v>1</v>
      </c>
      <c r="AC45" s="1814">
        <f t="shared" si="5"/>
        <v>1</v>
      </c>
    </row>
    <row r="46" spans="1:29" ht="14.4">
      <c r="A46" s="479" t="s">
        <v>2718</v>
      </c>
      <c r="B46" s="2709" t="s">
        <v>2754</v>
      </c>
      <c r="C46" s="682" t="s">
        <v>1</v>
      </c>
      <c r="D46" s="481"/>
      <c r="E46" s="482">
        <f>土地案例!AK11</f>
        <v>989.79</v>
      </c>
      <c r="F46" s="483"/>
      <c r="G46" s="484">
        <f>土地案例!AK16</f>
        <v>1051.5999999999999</v>
      </c>
      <c r="H46" s="485"/>
      <c r="I46" s="482">
        <f>土地案例!AK29</f>
        <v>1096.3</v>
      </c>
      <c r="J46" s="485"/>
      <c r="K46" s="783"/>
      <c r="L46" s="1146"/>
      <c r="M46" s="1147"/>
      <c r="N46" s="1134"/>
      <c r="O46" s="1147"/>
      <c r="P46" s="3206" t="str">
        <f>A46</f>
        <v>成交单价</v>
      </c>
      <c r="Q46" s="3206"/>
      <c r="R46" s="3201">
        <f>E46</f>
        <v>989.79</v>
      </c>
      <c r="S46" s="3201"/>
      <c r="T46" s="3201">
        <f>G46</f>
        <v>1051.5999999999999</v>
      </c>
      <c r="U46" s="3201"/>
      <c r="V46" s="3201">
        <f>I46</f>
        <v>1096.3</v>
      </c>
      <c r="W46" s="3201"/>
      <c r="X46" s="759"/>
      <c r="Y46" s="781"/>
      <c r="Z46" s="759"/>
      <c r="AA46" s="759"/>
      <c r="AB46" s="759"/>
      <c r="AC46" s="759"/>
    </row>
    <row r="47" spans="1:29" ht="15" thickBot="1">
      <c r="A47" s="486" t="s">
        <v>2667</v>
      </c>
      <c r="B47" s="683"/>
      <c r="C47" s="490">
        <f>R48</f>
        <v>1062</v>
      </c>
      <c r="D47" s="489"/>
      <c r="E47" s="490">
        <f>R47</f>
        <v>1002</v>
      </c>
      <c r="F47" s="491"/>
      <c r="G47" s="488">
        <f>T47</f>
        <v>1092</v>
      </c>
      <c r="H47" s="489"/>
      <c r="I47" s="490">
        <f>V47</f>
        <v>1093</v>
      </c>
      <c r="J47" s="489"/>
      <c r="K47" s="784"/>
      <c r="L47" s="1146"/>
      <c r="M47" s="1147"/>
      <c r="N47" s="1147"/>
      <c r="O47" s="1147"/>
      <c r="P47" s="3206" t="str">
        <f>A47</f>
        <v>比较价值（元/平方米）</v>
      </c>
      <c r="Q47" s="3206"/>
      <c r="R47" s="3233">
        <f>ROUND(PRODUCT(R46,AA7:AA45),0)</f>
        <v>1002</v>
      </c>
      <c r="S47" s="3233"/>
      <c r="T47" s="3233">
        <f>ROUND(PRODUCT(T46,AB7:AB45),0)</f>
        <v>1092</v>
      </c>
      <c r="U47" s="3233"/>
      <c r="V47" s="3233">
        <f>ROUND(PRODUCT(V46,AC7:AC45),0)</f>
        <v>1093</v>
      </c>
      <c r="W47" s="3233"/>
      <c r="X47" s="759"/>
      <c r="Y47" s="759"/>
      <c r="Z47" s="759"/>
      <c r="AA47" s="759"/>
      <c r="AB47" s="759"/>
      <c r="AC47" s="759"/>
    </row>
    <row r="48" spans="1:29" ht="15" thickBot="1">
      <c r="A48" s="492" t="s">
        <v>2755</v>
      </c>
      <c r="B48" s="493"/>
      <c r="C48" s="494">
        <f>R48</f>
        <v>1062</v>
      </c>
      <c r="D48" s="494"/>
      <c r="E48" s="494"/>
      <c r="F48" s="494"/>
      <c r="G48" s="494"/>
      <c r="H48" s="494"/>
      <c r="I48" s="494"/>
      <c r="J48" s="494"/>
      <c r="K48" s="785"/>
      <c r="L48" s="1146"/>
      <c r="M48" s="1147"/>
      <c r="N48" s="1147"/>
      <c r="O48" s="1147"/>
      <c r="P48" s="3203" t="str">
        <f>A48</f>
        <v>估价对象XX用房的比较价值（楼面单价，元/平方米）</v>
      </c>
      <c r="Q48" s="3204"/>
      <c r="R48" s="3234">
        <f>ROUND(AVERAGE(R47:V47),0)</f>
        <v>1062</v>
      </c>
      <c r="S48" s="3234"/>
      <c r="T48" s="3234"/>
      <c r="U48" s="3234"/>
      <c r="V48" s="3234"/>
      <c r="W48" s="32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1.2335950050010647E-2</v>
      </c>
      <c r="F51" s="500" t="str">
        <f>IF(OR(E51&gt;=0.3,E51&lt;=-0.3),"超过30%","")</f>
        <v/>
      </c>
      <c r="G51" s="499">
        <f>IF(G46&lt;G47,G47/G46-1,G46/G47-1)</f>
        <v>3.8417649296310419E-2</v>
      </c>
      <c r="H51" s="500" t="str">
        <f>IF(OR(G51&gt;=0.3,G51&lt;=-0.3),"超过30%","")</f>
        <v/>
      </c>
      <c r="I51" s="499">
        <f>IF(I46&lt;I47,I47/I46-1,I46/I47-1)</f>
        <v>3.019213174748403E-3</v>
      </c>
      <c r="J51" s="500" t="str">
        <f>IF(OR(I51&gt;=0.3,I51&lt;=-0.3),"超过30%","")</f>
        <v/>
      </c>
      <c r="K51" s="1108"/>
      <c r="L51" s="1109"/>
      <c r="M51" s="1147"/>
      <c r="N51" s="1147"/>
      <c r="O51" s="1147"/>
    </row>
    <row r="52" spans="1:15" ht="13.5" customHeight="1">
      <c r="A52" s="1147"/>
      <c r="B52" s="1147"/>
      <c r="C52" s="497" t="s">
        <v>2670</v>
      </c>
      <c r="D52" s="501"/>
      <c r="E52" s="499">
        <f>IF(E47&lt;G47,G47/E47-1,E47/G47-1)</f>
        <v>8.9820359281437057E-2</v>
      </c>
      <c r="F52" s="500" t="str">
        <f>IF(OR(E52&gt;=0.2,E52&lt;=-0.2),"超过20%","")</f>
        <v/>
      </c>
      <c r="G52" s="499">
        <f>IF(G47&lt;I47,I47/G47-1,G47/I47-1)</f>
        <v>9.157509157509125E-4</v>
      </c>
      <c r="H52" s="500" t="str">
        <f>IF(OR(G52&gt;=0.2,G52&lt;=-0.2),"超过20%","")</f>
        <v/>
      </c>
      <c r="I52" s="499">
        <f>IF(I47&lt;E47,E47/I47-1,I47/E47-1)</f>
        <v>9.0818363273453162E-2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6.2447589892805411E-2</v>
      </c>
      <c r="F53" s="500" t="str">
        <f>IF(OR(E53&gt;=0.3,E53&lt;=-0.3),"超过30%","")</f>
        <v/>
      </c>
      <c r="G53" s="499">
        <f>IF(G46&lt;I46,I46/G46-1,G46/I46-1)</f>
        <v>4.2506656523392916E-2</v>
      </c>
      <c r="H53" s="500" t="str">
        <f>IF(OR(G53&gt;=0.3,G53&lt;=-0.3),"超过30%","")</f>
        <v/>
      </c>
      <c r="I53" s="499">
        <f>IF(I46&lt;E46,E46/I46-1,I46/E46-1)</f>
        <v>0.10760868467048557</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189" t="s">
        <v>2762</v>
      </c>
      <c r="H55" s="3235"/>
      <c r="I55" s="144" t="s">
        <v>2763</v>
      </c>
      <c r="J55" s="2712" t="str">
        <f>项目基本情况!F35</f>
        <v>浙江省嘉兴市海宁市</v>
      </c>
      <c r="K55" s="2713" t="s">
        <v>2764</v>
      </c>
      <c r="L55" s="1109"/>
      <c r="M55" s="1147"/>
      <c r="N55" s="1147"/>
      <c r="O55" s="1147"/>
    </row>
    <row r="56" spans="1:15" s="692" customFormat="1">
      <c r="A56" s="688" t="s">
        <v>2765</v>
      </c>
      <c r="B56" s="689">
        <f>C48</f>
        <v>1062</v>
      </c>
      <c r="C56" s="690">
        <v>1</v>
      </c>
      <c r="D56" s="1166">
        <v>1</v>
      </c>
      <c r="E56" s="690">
        <f>'数据-汇总表'!E8+'数据-汇总表'!E9</f>
        <v>65432.85</v>
      </c>
      <c r="F56" s="1106">
        <f t="shared" ref="F56:F65" si="15">ROUND(B56*E56/10000,0)</f>
        <v>6949</v>
      </c>
      <c r="G56" s="3188"/>
      <c r="H56" s="3206"/>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36"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36"/>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36"/>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36"/>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4.4"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thickBot="1">
      <c r="A66" s="695" t="s">
        <v>2779</v>
      </c>
      <c r="B66" s="696" t="s">
        <v>28</v>
      </c>
      <c r="C66" s="696" t="s">
        <v>29</v>
      </c>
      <c r="D66" s="696" t="s">
        <v>1026</v>
      </c>
      <c r="E66" s="696">
        <f>IF(B46="楼面地价",SUM(E56:E65),'数据-汇总表'!D3)</f>
        <v>65432.85</v>
      </c>
      <c r="F66" s="697">
        <f>IF(B46="楼面地价",SUM(F56:F65),ROUND(C48*E66/10000,0))</f>
        <v>6949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2672</v>
      </c>
      <c r="B69" s="759"/>
      <c r="C69" s="764"/>
      <c r="D69" s="764"/>
      <c r="E69" s="764"/>
      <c r="F69" s="765"/>
      <c r="G69" s="765"/>
      <c r="H69" s="764"/>
      <c r="I69" s="764"/>
      <c r="J69" s="1162"/>
      <c r="K69" s="1163"/>
      <c r="L69" s="1164"/>
      <c r="M69" s="1162"/>
      <c r="N69" s="1162"/>
      <c r="O69" s="1162"/>
      <c r="P69" s="503"/>
      <c r="Q69" s="504"/>
    </row>
    <row r="70" spans="1:17" s="508" customFormat="1" ht="14.4">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v>
      </c>
      <c r="B71" s="332" t="str">
        <f>"北京市平均增长率"&amp;TEXT(SUMIF(基准地价修正!N21:N25,A71,基准地价修正!P21:P25),"0.00%")</f>
        <v>北京市平均增长率0.00%</v>
      </c>
      <c r="C71" s="603">
        <v>100</v>
      </c>
      <c r="D71" s="595">
        <f>C71-0.5</f>
        <v>99.5</v>
      </c>
      <c r="E71" s="595">
        <f t="shared" ref="E71:L71" si="20">D71-0.5</f>
        <v>99</v>
      </c>
      <c r="F71" s="595">
        <f t="shared" si="20"/>
        <v>98.5</v>
      </c>
      <c r="G71" s="595">
        <f t="shared" si="20"/>
        <v>98</v>
      </c>
      <c r="H71" s="595">
        <f t="shared" si="20"/>
        <v>97.5</v>
      </c>
      <c r="I71" s="595">
        <f t="shared" si="20"/>
        <v>97</v>
      </c>
      <c r="J71" s="595">
        <f t="shared" si="20"/>
        <v>96.5</v>
      </c>
      <c r="K71" s="595">
        <f t="shared" si="20"/>
        <v>96</v>
      </c>
      <c r="L71" s="595">
        <f t="shared" si="20"/>
        <v>95.5</v>
      </c>
      <c r="M71" s="1570"/>
      <c r="N71" s="595"/>
      <c r="O71" s="1571"/>
      <c r="P71" s="504"/>
    </row>
    <row r="72" spans="1:17" s="117" customFormat="1" ht="15" thickBot="1">
      <c r="A72" s="515" t="s">
        <v>2583</v>
      </c>
      <c r="B72" s="516"/>
      <c r="C72" s="517"/>
      <c r="D72" s="518"/>
      <c r="E72" s="518"/>
      <c r="F72" s="518"/>
      <c r="G72" s="518"/>
      <c r="H72" s="518"/>
      <c r="I72" s="518"/>
      <c r="J72" s="518"/>
      <c r="K72" s="518"/>
      <c r="L72" s="518"/>
      <c r="M72" s="519"/>
      <c r="N72" s="518"/>
      <c r="O72" s="1165"/>
      <c r="P72" s="504"/>
      <c r="Q72" s="504"/>
    </row>
    <row r="73" spans="1:17" s="117" customFormat="1" ht="14.4">
      <c r="A73" s="521" t="s">
        <v>2548</v>
      </c>
      <c r="B73" s="510"/>
      <c r="C73" s="522" t="s">
        <v>2650</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2586</v>
      </c>
      <c r="B75" s="528" t="s">
        <v>2552</v>
      </c>
      <c r="C75" s="2950" t="s">
        <v>3417</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2555</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2556</v>
      </c>
      <c r="C79" s="547" t="str">
        <f>C80&amp;"（含）"&amp;"-"&amp;D80</f>
        <v>0（含）-0.5</v>
      </c>
      <c r="D79" s="547" t="str">
        <f t="shared" ref="D79:L79" si="21">D80&amp;"（含）"&amp;"-"&amp;E80</f>
        <v>0.5（含）-1</v>
      </c>
      <c r="E79" s="547" t="str">
        <f t="shared" si="21"/>
        <v>1（含）-1.5</v>
      </c>
      <c r="F79" s="547" t="str">
        <f t="shared" si="21"/>
        <v>1.5（含）-2</v>
      </c>
      <c r="G79" s="547" t="str">
        <f t="shared" si="21"/>
        <v>2（含）-2.5</v>
      </c>
      <c r="H79" s="547" t="str">
        <f t="shared" si="21"/>
        <v>2.5（含）-3</v>
      </c>
      <c r="I79" s="547" t="str">
        <f t="shared" si="21"/>
        <v>3（含）-3.5</v>
      </c>
      <c r="J79" s="547" t="str">
        <f t="shared" si="21"/>
        <v>3.5（含）-</v>
      </c>
      <c r="K79" s="547" t="str">
        <f t="shared" si="21"/>
        <v>（含）-</v>
      </c>
      <c r="L79" s="547" t="str">
        <f t="shared" si="21"/>
        <v>（含）-</v>
      </c>
      <c r="M79" s="448" t="str">
        <f>M80&amp;"（含）"&amp;"-"&amp;P80</f>
        <v>（含）-</v>
      </c>
      <c r="N79" s="1156"/>
      <c r="O79" s="1156"/>
      <c r="P79" s="45"/>
      <c r="Q79" s="504"/>
    </row>
    <row r="80" spans="1:17">
      <c r="A80" s="534"/>
      <c r="B80" s="548"/>
      <c r="C80" s="549">
        <v>0</v>
      </c>
      <c r="D80" s="549">
        <v>0.5</v>
      </c>
      <c r="E80" s="549">
        <v>1</v>
      </c>
      <c r="F80" s="549">
        <v>1.5</v>
      </c>
      <c r="G80" s="549">
        <v>2</v>
      </c>
      <c r="H80" s="549">
        <v>2.5</v>
      </c>
      <c r="I80" s="549">
        <v>3</v>
      </c>
      <c r="J80" s="549">
        <v>3.5</v>
      </c>
      <c r="K80" s="550"/>
      <c r="L80" s="551"/>
      <c r="M80" s="552"/>
      <c r="N80" s="1155"/>
      <c r="O80" s="1155"/>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9.4" thickTop="1">
      <c r="A106" s="534"/>
      <c r="B106" s="538" t="s">
        <v>2689</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 thickTop="1">
      <c r="A108" s="534"/>
      <c r="B108" s="538" t="s">
        <v>2748</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2561</v>
      </c>
      <c r="B116" s="528" t="s">
        <v>2788</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c r="A117" s="534"/>
      <c r="B117" s="546"/>
      <c r="C117" s="595">
        <v>0</v>
      </c>
      <c r="D117" s="595">
        <v>10000</v>
      </c>
      <c r="E117" s="595">
        <v>20000</v>
      </c>
      <c r="F117" s="595">
        <v>30000</v>
      </c>
      <c r="G117" s="595">
        <v>40000</v>
      </c>
      <c r="H117" s="595">
        <v>50000</v>
      </c>
      <c r="I117" s="595"/>
      <c r="J117" s="596"/>
      <c r="K117" s="596"/>
      <c r="L117" s="597"/>
      <c r="M117" s="598"/>
      <c r="N117" s="1155"/>
      <c r="O117" s="1155"/>
      <c r="P117" s="45"/>
      <c r="Q117" s="504"/>
    </row>
    <row r="118" spans="1:17" ht="14.4"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 thickBot="1">
      <c r="A6" s="406"/>
      <c r="B6" s="407"/>
      <c r="C6" s="3237" t="s">
        <v>2794</v>
      </c>
      <c r="D6" s="3238"/>
      <c r="E6" s="3239" t="s">
        <v>2794</v>
      </c>
      <c r="F6" s="3240"/>
      <c r="G6" s="3237" t="s">
        <v>2794</v>
      </c>
      <c r="H6" s="3238"/>
      <c r="I6" s="3237" t="s">
        <v>2794</v>
      </c>
      <c r="J6" s="3238"/>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 thickBot="1">
      <c r="A7" s="408" t="s">
        <v>2546</v>
      </c>
      <c r="B7" s="409"/>
      <c r="C7" s="410">
        <f>'数据-取费表'!B2</f>
        <v>43556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0" si="3">D8/F8</f>
        <v>#DIV/0!</v>
      </c>
      <c r="AB8" s="773" t="e">
        <f t="shared" ref="AB8:AB40" si="4">D8/H8</f>
        <v>#DIV/0!</v>
      </c>
      <c r="AC8" s="773" t="e">
        <f t="shared" ref="AC8:AC40" si="5">D8/J8</f>
        <v>#DIV/0!</v>
      </c>
    </row>
    <row r="9" spans="1:29" s="117" customFormat="1" ht="14.4">
      <c r="A9" s="415" t="s">
        <v>2551</v>
      </c>
      <c r="B9" s="71" t="s">
        <v>2552</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6"/>
      <c r="Q10" s="1798" t="str">
        <f t="shared" si="6"/>
        <v>土地使用年限（年）</v>
      </c>
      <c r="R10" s="770" t="s">
        <v>17</v>
      </c>
      <c r="S10" s="771">
        <f t="shared" si="0"/>
        <v>105</v>
      </c>
      <c r="T10" s="770" t="s">
        <v>17</v>
      </c>
      <c r="U10" s="771">
        <f t="shared" si="1"/>
        <v>105</v>
      </c>
      <c r="V10" s="770" t="s">
        <v>17</v>
      </c>
      <c r="W10" s="771">
        <f t="shared" si="2"/>
        <v>105</v>
      </c>
      <c r="X10" s="772"/>
      <c r="Y10" s="3021"/>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69">
      <c r="A15" s="440" t="s">
        <v>2557</v>
      </c>
      <c r="B15" s="629" t="s">
        <v>2795</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2558</v>
      </c>
      <c r="Q15" s="1813" t="str">
        <f t="shared" si="6"/>
        <v>产业集聚程度</v>
      </c>
      <c r="R15" s="774" t="s">
        <v>17</v>
      </c>
      <c r="S15" s="775">
        <f t="shared" si="0"/>
        <v>100</v>
      </c>
      <c r="T15" s="774" t="s">
        <v>17</v>
      </c>
      <c r="U15" s="775">
        <f t="shared" si="1"/>
        <v>100</v>
      </c>
      <c r="V15" s="774" t="s">
        <v>17</v>
      </c>
      <c r="W15" s="775">
        <f t="shared" si="2"/>
        <v>100</v>
      </c>
      <c r="X15" s="1816"/>
      <c r="Y15" s="3208" t="s">
        <v>2558</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96.6">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28.8">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3" t="str">
        <f t="shared" ref="Q19:Q33" si="8">B19</f>
        <v>区域土地利用方向</v>
      </c>
      <c r="R19" s="774" t="s">
        <v>17</v>
      </c>
      <c r="S19" s="775">
        <f>F19</f>
        <v>100</v>
      </c>
      <c r="T19" s="774" t="s">
        <v>17</v>
      </c>
      <c r="U19" s="775">
        <f>H19</f>
        <v>100</v>
      </c>
      <c r="V19" s="774" t="s">
        <v>17</v>
      </c>
      <c r="W19" s="775">
        <f>J19</f>
        <v>100</v>
      </c>
      <c r="X19" s="1816"/>
      <c r="Y19" s="320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09"/>
      <c r="Q20" s="1813"/>
      <c r="R20" s="774"/>
      <c r="S20" s="775"/>
      <c r="T20" s="774"/>
      <c r="U20" s="775"/>
      <c r="V20" s="774"/>
      <c r="W20" s="775"/>
      <c r="X20" s="1816"/>
      <c r="Y20" s="3209"/>
      <c r="Z20" s="1817"/>
      <c r="AA20" s="1814"/>
      <c r="AB20" s="1814"/>
      <c r="AC20" s="1814"/>
    </row>
    <row r="21" spans="1:29" ht="82.8">
      <c r="A21" s="404"/>
      <c r="B21" s="631" t="s">
        <v>2796</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3" t="str">
        <f t="shared" si="8"/>
        <v>环境状况</v>
      </c>
      <c r="R21" s="774" t="s">
        <v>17</v>
      </c>
      <c r="S21" s="775">
        <f>F21</f>
        <v>100</v>
      </c>
      <c r="T21" s="774" t="s">
        <v>17</v>
      </c>
      <c r="U21" s="775">
        <f>H21</f>
        <v>100</v>
      </c>
      <c r="V21" s="774" t="s">
        <v>17</v>
      </c>
      <c r="W21" s="775">
        <f>J21</f>
        <v>100</v>
      </c>
      <c r="X21" s="1816"/>
      <c r="Y21" s="320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s="117" customFormat="1" ht="41.4">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8" t="str">
        <f t="shared" si="8"/>
        <v>公共配套设施</v>
      </c>
      <c r="R23" s="770" t="s">
        <v>17</v>
      </c>
      <c r="S23" s="771">
        <f>F23</f>
        <v>100</v>
      </c>
      <c r="T23" s="770" t="s">
        <v>17</v>
      </c>
      <c r="U23" s="771">
        <f>H23</f>
        <v>100</v>
      </c>
      <c r="V23" s="770" t="s">
        <v>17</v>
      </c>
      <c r="W23" s="771">
        <f>J23</f>
        <v>100</v>
      </c>
      <c r="X23" s="772"/>
      <c r="Y23" s="320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09"/>
      <c r="Q24" s="1798"/>
      <c r="R24" s="770"/>
      <c r="S24" s="771"/>
      <c r="T24" s="770"/>
      <c r="U24" s="771"/>
      <c r="V24" s="770"/>
      <c r="W24" s="771"/>
      <c r="X24" s="772"/>
      <c r="Y24" s="3209"/>
      <c r="Z24" s="55"/>
      <c r="AA24" s="773">
        <v>1</v>
      </c>
      <c r="AB24" s="773">
        <v>1</v>
      </c>
      <c r="AC24" s="773">
        <v>1</v>
      </c>
    </row>
    <row r="25" spans="1:29" s="117" customFormat="1" ht="41.4">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8"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09"/>
      <c r="Q26" s="1798"/>
      <c r="R26" s="770"/>
      <c r="S26" s="771"/>
      <c r="T26" s="770"/>
      <c r="U26" s="771"/>
      <c r="V26" s="770"/>
      <c r="W26" s="771"/>
      <c r="X26" s="772"/>
      <c r="Y26" s="320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9"/>
      <c r="Z27" s="1817" t="str">
        <f t="shared" ref="Z27:Z40" si="13">Q27</f>
        <v>临街状况</v>
      </c>
      <c r="AA27" s="1814">
        <f t="shared" si="3"/>
        <v>1</v>
      </c>
      <c r="AB27" s="1814">
        <f t="shared" si="4"/>
        <v>1</v>
      </c>
      <c r="AC27" s="1814">
        <f t="shared" si="5"/>
        <v>1</v>
      </c>
    </row>
    <row r="28" spans="1:29" ht="28.8">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3" t="str">
        <f t="shared" si="8"/>
        <v>毗邻道路的类型与等级</v>
      </c>
      <c r="R28" s="774" t="s">
        <v>17</v>
      </c>
      <c r="S28" s="775">
        <f t="shared" si="10"/>
        <v>100</v>
      </c>
      <c r="T28" s="774" t="s">
        <v>17</v>
      </c>
      <c r="U28" s="775">
        <f t="shared" si="11"/>
        <v>100</v>
      </c>
      <c r="V28" s="774" t="s">
        <v>17</v>
      </c>
      <c r="W28" s="775">
        <f t="shared" si="12"/>
        <v>100</v>
      </c>
      <c r="X28" s="1816"/>
      <c r="Y28" s="320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09"/>
      <c r="Q29" s="1813"/>
      <c r="R29" s="774"/>
      <c r="S29" s="775"/>
      <c r="T29" s="774"/>
      <c r="U29" s="775"/>
      <c r="V29" s="774"/>
      <c r="W29" s="775"/>
      <c r="X29" s="1816"/>
      <c r="Y29" s="3209"/>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3" t="str">
        <f t="shared" si="8"/>
        <v>土地级别</v>
      </c>
      <c r="R30" s="774" t="s">
        <v>17</v>
      </c>
      <c r="S30" s="775">
        <f t="shared" si="10"/>
        <v>100</v>
      </c>
      <c r="T30" s="774" t="s">
        <v>17</v>
      </c>
      <c r="U30" s="775">
        <f t="shared" si="11"/>
        <v>100</v>
      </c>
      <c r="V30" s="774" t="s">
        <v>17</v>
      </c>
      <c r="W30" s="775">
        <f t="shared" si="12"/>
        <v>100</v>
      </c>
      <c r="X30" s="1816"/>
      <c r="Y30" s="320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3">
        <f t="shared" si="8"/>
        <v>111</v>
      </c>
      <c r="R31" s="774" t="s">
        <v>17</v>
      </c>
      <c r="S31" s="775">
        <f t="shared" si="10"/>
        <v>100</v>
      </c>
      <c r="T31" s="774" t="s">
        <v>17</v>
      </c>
      <c r="U31" s="775">
        <f t="shared" si="11"/>
        <v>100</v>
      </c>
      <c r="V31" s="774" t="s">
        <v>17</v>
      </c>
      <c r="W31" s="775">
        <f t="shared" si="12"/>
        <v>100</v>
      </c>
      <c r="X31" s="1816"/>
      <c r="Y31" s="320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2" t="s">
        <v>2563</v>
      </c>
      <c r="Q32" s="1813">
        <f t="shared" si="8"/>
        <v>111</v>
      </c>
      <c r="R32" s="774" t="s">
        <v>17</v>
      </c>
      <c r="S32" s="775">
        <f t="shared" si="10"/>
        <v>100</v>
      </c>
      <c r="T32" s="774" t="s">
        <v>17</v>
      </c>
      <c r="U32" s="775">
        <f t="shared" si="11"/>
        <v>100</v>
      </c>
      <c r="V32" s="774" t="s">
        <v>17</v>
      </c>
      <c r="W32" s="775">
        <f t="shared" si="12"/>
        <v>100</v>
      </c>
      <c r="X32" s="1816"/>
      <c r="Y32" s="3213" t="s">
        <v>2563</v>
      </c>
      <c r="Z32" s="1817">
        <f t="shared" si="13"/>
        <v>111</v>
      </c>
      <c r="AA32" s="1814">
        <f t="shared" si="3"/>
        <v>1</v>
      </c>
      <c r="AB32" s="1814">
        <f t="shared" si="4"/>
        <v>1</v>
      </c>
      <c r="AC32" s="1814">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3">
        <f t="shared" si="8"/>
        <v>111</v>
      </c>
      <c r="R33" s="777" t="s">
        <v>17</v>
      </c>
      <c r="S33" s="778">
        <f t="shared" si="10"/>
        <v>100</v>
      </c>
      <c r="T33" s="777" t="s">
        <v>17</v>
      </c>
      <c r="U33" s="778">
        <f t="shared" si="11"/>
        <v>100</v>
      </c>
      <c r="V33" s="777" t="s">
        <v>17</v>
      </c>
      <c r="W33" s="778">
        <f t="shared" si="12"/>
        <v>100</v>
      </c>
      <c r="X33" s="779"/>
      <c r="Y33" s="3213"/>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3" t="str">
        <f>B34</f>
        <v>宗地面积</v>
      </c>
      <c r="R34" s="774" t="s">
        <v>17</v>
      </c>
      <c r="S34" s="775" t="e">
        <f t="shared" si="10"/>
        <v>#N/A</v>
      </c>
      <c r="T34" s="774" t="s">
        <v>17</v>
      </c>
      <c r="U34" s="775" t="e">
        <f t="shared" si="11"/>
        <v>#N/A</v>
      </c>
      <c r="V34" s="774" t="s">
        <v>17</v>
      </c>
      <c r="W34" s="775" t="e">
        <f t="shared" si="12"/>
        <v>#N/A</v>
      </c>
      <c r="X34" s="1816"/>
      <c r="Y34" s="3213"/>
      <c r="Z34" s="1817" t="str">
        <f t="shared" si="13"/>
        <v>宗地面积</v>
      </c>
      <c r="AA34" s="1814" t="e">
        <f t="shared" si="3"/>
        <v>#N/A</v>
      </c>
      <c r="AB34" s="1814" t="e">
        <f t="shared" si="4"/>
        <v>#N/A</v>
      </c>
      <c r="AC34" s="1814" t="e">
        <f t="shared" si="5"/>
        <v>#N/A</v>
      </c>
    </row>
    <row r="35" spans="1:29" ht="15">
      <c r="A35" s="472"/>
      <c r="B35" s="422" t="s">
        <v>2750</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13"/>
      <c r="Q35" s="1813" t="str">
        <f t="shared" ref="Q35:Q40" si="14">B35</f>
        <v>宗地形状</v>
      </c>
      <c r="R35" s="774" t="s">
        <v>17</v>
      </c>
      <c r="S35" s="775">
        <f t="shared" si="10"/>
        <v>100</v>
      </c>
      <c r="T35" s="774" t="s">
        <v>17</v>
      </c>
      <c r="U35" s="775">
        <f t="shared" si="11"/>
        <v>100</v>
      </c>
      <c r="V35" s="774" t="s">
        <v>17</v>
      </c>
      <c r="W35" s="775">
        <f t="shared" si="12"/>
        <v>100</v>
      </c>
      <c r="X35" s="1816"/>
      <c r="Y35" s="3213"/>
      <c r="Z35" s="1817" t="str">
        <f t="shared" si="13"/>
        <v>宗地形状</v>
      </c>
      <c r="AA35" s="1814">
        <f t="shared" si="3"/>
        <v>1</v>
      </c>
      <c r="AB35" s="1814">
        <f t="shared" si="4"/>
        <v>1</v>
      </c>
      <c r="AC35" s="1814">
        <f t="shared" si="5"/>
        <v>1</v>
      </c>
    </row>
    <row r="36" spans="1:29" s="117" customFormat="1" ht="15">
      <c r="A36" s="473"/>
      <c r="B36" s="422" t="s">
        <v>2752</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13"/>
      <c r="Q36" s="1813"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2753</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13" t="s">
        <v>2563</v>
      </c>
      <c r="Q37" s="1813" t="str">
        <f t="shared" si="14"/>
        <v>工程地质条件</v>
      </c>
      <c r="R37" s="774" t="s">
        <v>17</v>
      </c>
      <c r="S37" s="775">
        <f t="shared" si="10"/>
        <v>100</v>
      </c>
      <c r="T37" s="774" t="s">
        <v>17</v>
      </c>
      <c r="U37" s="775">
        <f t="shared" si="11"/>
        <v>100</v>
      </c>
      <c r="V37" s="774" t="s">
        <v>17</v>
      </c>
      <c r="W37" s="775">
        <f t="shared" si="12"/>
        <v>100</v>
      </c>
      <c r="X37" s="1816"/>
      <c r="Y37" s="3213"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3">
        <f t="shared" si="14"/>
        <v>111</v>
      </c>
      <c r="R38" s="774" t="s">
        <v>17</v>
      </c>
      <c r="S38" s="775">
        <f t="shared" si="10"/>
        <v>100</v>
      </c>
      <c r="T38" s="774" t="s">
        <v>17</v>
      </c>
      <c r="U38" s="775">
        <f t="shared" si="11"/>
        <v>100</v>
      </c>
      <c r="V38" s="774" t="s">
        <v>17</v>
      </c>
      <c r="W38" s="775">
        <f t="shared" si="12"/>
        <v>100</v>
      </c>
      <c r="X38" s="1816"/>
      <c r="Y38" s="321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3">
        <f t="shared" si="14"/>
        <v>111</v>
      </c>
      <c r="R39" s="774" t="s">
        <v>17</v>
      </c>
      <c r="S39" s="775">
        <f t="shared" si="10"/>
        <v>100</v>
      </c>
      <c r="T39" s="774" t="s">
        <v>17</v>
      </c>
      <c r="U39" s="775">
        <f t="shared" si="11"/>
        <v>100</v>
      </c>
      <c r="V39" s="774" t="s">
        <v>17</v>
      </c>
      <c r="W39" s="775">
        <f t="shared" si="12"/>
        <v>100</v>
      </c>
      <c r="X39" s="1816"/>
      <c r="Y39" s="3213"/>
      <c r="Z39" s="1817">
        <f t="shared" si="13"/>
        <v>111</v>
      </c>
      <c r="AA39" s="1814">
        <f t="shared" si="3"/>
        <v>1</v>
      </c>
      <c r="AB39" s="1814">
        <f t="shared" si="4"/>
        <v>1</v>
      </c>
      <c r="AC39" s="1814">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3">
        <f t="shared" si="14"/>
        <v>111</v>
      </c>
      <c r="R40" s="777" t="s">
        <v>17</v>
      </c>
      <c r="S40" s="778">
        <f t="shared" si="10"/>
        <v>100</v>
      </c>
      <c r="T40" s="777" t="s">
        <v>17</v>
      </c>
      <c r="U40" s="778">
        <f t="shared" si="11"/>
        <v>100</v>
      </c>
      <c r="V40" s="777" t="s">
        <v>17</v>
      </c>
      <c r="W40" s="778">
        <f t="shared" si="12"/>
        <v>100</v>
      </c>
      <c r="X40" s="779"/>
      <c r="Y40" s="3213"/>
      <c r="Z40" s="780">
        <f t="shared" si="13"/>
        <v>111</v>
      </c>
      <c r="AA40" s="1814">
        <f t="shared" si="3"/>
        <v>1</v>
      </c>
      <c r="AB40" s="1814">
        <f t="shared" si="4"/>
        <v>1</v>
      </c>
      <c r="AC40" s="1814">
        <f t="shared" si="5"/>
        <v>1</v>
      </c>
    </row>
    <row r="41" spans="1:29" ht="14.4">
      <c r="A41" s="479" t="s">
        <v>2718</v>
      </c>
      <c r="B41" s="2709" t="s">
        <v>2797</v>
      </c>
      <c r="C41" s="682" t="s">
        <v>1</v>
      </c>
      <c r="D41" s="481"/>
      <c r="E41" s="482"/>
      <c r="F41" s="483"/>
      <c r="G41" s="484"/>
      <c r="H41" s="485"/>
      <c r="I41" s="482"/>
      <c r="J41" s="485"/>
      <c r="K41" s="783"/>
      <c r="L41" s="1146"/>
      <c r="M41" s="1134"/>
      <c r="N41" s="1134"/>
      <c r="O41" s="1147"/>
      <c r="P41" s="3206" t="str">
        <f>A41</f>
        <v>成交单价</v>
      </c>
      <c r="Q41" s="3206"/>
      <c r="R41" s="3201">
        <f>E41</f>
        <v>0</v>
      </c>
      <c r="S41" s="3201"/>
      <c r="T41" s="3201">
        <f>G41</f>
        <v>0</v>
      </c>
      <c r="U41" s="3201"/>
      <c r="V41" s="3201">
        <f>I41</f>
        <v>0</v>
      </c>
      <c r="W41" s="3201"/>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2756</v>
      </c>
      <c r="B50" s="685" t="s">
        <v>2757</v>
      </c>
      <c r="C50" s="2710" t="s">
        <v>2758</v>
      </c>
      <c r="D50" s="2711" t="s">
        <v>2759</v>
      </c>
      <c r="E50" s="686" t="s">
        <v>2760</v>
      </c>
      <c r="F50" s="687" t="s">
        <v>2761</v>
      </c>
      <c r="G50" s="3189" t="s">
        <v>2762</v>
      </c>
      <c r="H50" s="3235"/>
      <c r="I50" s="1817" t="s">
        <v>2798</v>
      </c>
      <c r="J50" s="1817" t="str">
        <f>项目基本情况!F35</f>
        <v>浙江省嘉兴市海宁市</v>
      </c>
      <c r="K50" s="2713" t="s">
        <v>2764</v>
      </c>
      <c r="L50" s="1109"/>
      <c r="M50" s="1147"/>
      <c r="N50" s="1147"/>
      <c r="O50" s="1147"/>
    </row>
    <row r="51" spans="1:17" s="692" customFormat="1">
      <c r="A51" s="688" t="s">
        <v>2765</v>
      </c>
      <c r="B51" s="689" t="e">
        <f>C43</f>
        <v>#DIV/0!</v>
      </c>
      <c r="C51" s="690">
        <v>1</v>
      </c>
      <c r="D51" s="1166">
        <v>1</v>
      </c>
      <c r="E51" s="690">
        <f>'数据-汇总表'!E8+'数据-汇总表'!E9</f>
        <v>65432.85</v>
      </c>
      <c r="F51" s="691" t="e">
        <f t="shared" ref="F51:F60" si="15">ROUND(B51*E51/10000,0)</f>
        <v>#DIV/0!</v>
      </c>
      <c r="G51" s="3188"/>
      <c r="H51" s="320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36"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36"/>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36"/>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36"/>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4.4"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4.4" thickBot="1">
      <c r="A61" s="695" t="s">
        <v>2779</v>
      </c>
      <c r="B61" s="696" t="s">
        <v>28</v>
      </c>
      <c r="C61" s="696" t="s">
        <v>29</v>
      </c>
      <c r="D61" s="696" t="s">
        <v>1026</v>
      </c>
      <c r="E61" s="696">
        <f>IF(B41="楼面地价",SUM(E51:E60),'数据-汇总表'!D3)</f>
        <v>40694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2672</v>
      </c>
      <c r="B64" s="759"/>
      <c r="C64" s="764"/>
      <c r="D64" s="764"/>
      <c r="E64" s="764"/>
      <c r="F64" s="765"/>
      <c r="G64" s="765"/>
      <c r="H64" s="764"/>
      <c r="I64" s="764"/>
      <c r="J64" s="764"/>
      <c r="K64" s="766"/>
      <c r="L64" s="767"/>
      <c r="M64" s="764"/>
      <c r="N64" s="764"/>
      <c r="O64" s="1162"/>
      <c r="P64" s="503"/>
      <c r="Q64" s="504"/>
    </row>
    <row r="65" spans="1:17" s="508" customFormat="1" ht="14.4">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2799</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2586</v>
      </c>
      <c r="B70" s="528" t="s">
        <v>2552</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2555</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2689</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2748</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2801</v>
      </c>
      <c r="B1" s="241"/>
      <c r="C1" s="245" t="s">
        <v>2802</v>
      </c>
      <c r="D1" s="388">
        <f>SUM(D29:D30,D33:D39)</f>
        <v>0</v>
      </c>
      <c r="E1" s="2722"/>
      <c r="F1" s="2722"/>
      <c r="G1" s="2722"/>
      <c r="H1" s="2722"/>
      <c r="I1" s="2722"/>
      <c r="J1" s="2722"/>
      <c r="K1" s="1373"/>
      <c r="L1" s="2723" t="s">
        <v>2803</v>
      </c>
      <c r="M1" s="1083">
        <f>SUMPRODUCT((区片价!B5:B9=I2)*(区片价!C3:F3=E2)*(区片价!C5:F9))</f>
        <v>0</v>
      </c>
      <c r="N1" s="1086">
        <f>SUMPRODUCT((因素修正幅度!B5:B9=I2)*(因素修正幅度!C3:F3=E2)*(因素修正幅度!C5:F9))</f>
        <v>0</v>
      </c>
      <c r="O1" s="2724"/>
      <c r="P1" s="2724"/>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6">
      <c r="A2" s="245" t="s">
        <v>2809</v>
      </c>
      <c r="B2" s="248" t="e">
        <f>C26</f>
        <v>#DIV/0!</v>
      </c>
      <c r="C2" s="2726" t="s">
        <v>2810</v>
      </c>
      <c r="D2" s="2727" t="s">
        <v>2811</v>
      </c>
      <c r="E2" s="2728"/>
      <c r="F2" s="2727" t="s">
        <v>2812</v>
      </c>
      <c r="G2" s="2729">
        <f>IF(E2="商业",项目基本情况!B37,IF(E2="办公",项目基本情况!C37,IF(E2="住宅",项目基本情况!D37,项目基本情况!E37)))</f>
        <v>0</v>
      </c>
      <c r="H2" s="2727" t="s">
        <v>2813</v>
      </c>
      <c r="I2" s="2729">
        <f>IF(E2="商业",项目基本情况!B38,IF(E2="办公",项目基本情况!C38,IF(E2="住宅",项目基本情况!D38,项目基本情况!E38)))</f>
        <v>0</v>
      </c>
      <c r="J2" s="2730"/>
      <c r="K2" s="1373"/>
      <c r="L2" s="2731"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2815</v>
      </c>
      <c r="B3" s="248" t="e">
        <f>ROUND(B2*10000/D1,0)</f>
        <v>#DIV/0!</v>
      </c>
      <c r="C3" s="2726" t="s">
        <v>2816</v>
      </c>
      <c r="D3" s="2727" t="s">
        <v>2817</v>
      </c>
      <c r="E3" s="2732"/>
      <c r="F3" s="2733" t="s">
        <v>2818</v>
      </c>
      <c r="G3" s="916">
        <f>IF(F3="宗地容积率",'数据-汇总表'!I4,IF(F3="估价对象容积率",'数据-汇总表'!I6,'数据-汇总表'!I7))</f>
        <v>1.75</v>
      </c>
      <c r="H3" s="198" t="s">
        <v>2819</v>
      </c>
      <c r="I3" s="947"/>
      <c r="J3" s="2730" t="s">
        <v>2820</v>
      </c>
      <c r="K3" s="1373"/>
      <c r="L3" s="2731"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5"/>
      <c r="B4" s="3256"/>
      <c r="C4" s="3256"/>
      <c r="D4" s="3257"/>
      <c r="E4" s="3257"/>
      <c r="F4" s="3257"/>
      <c r="G4" s="3257"/>
      <c r="H4" s="3257"/>
      <c r="I4" s="3257"/>
      <c r="J4" s="3258"/>
      <c r="K4" s="1373"/>
      <c r="L4" s="2731"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6" thickBot="1">
      <c r="A5" s="2734" t="s">
        <v>807</v>
      </c>
      <c r="B5" s="2735" t="s">
        <v>2823</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6" thickBot="1">
      <c r="A6" s="2744" t="s">
        <v>2825</v>
      </c>
      <c r="B6" s="2745" t="s">
        <v>2826</v>
      </c>
      <c r="C6" s="918">
        <f>SUMIF(L1:L12,G2,M1:M12)</f>
        <v>0</v>
      </c>
      <c r="D6" s="2746" t="s">
        <v>2827</v>
      </c>
      <c r="E6" s="2747"/>
      <c r="F6" s="2747"/>
      <c r="G6" s="2748"/>
      <c r="H6" s="2748"/>
      <c r="I6" s="2748"/>
      <c r="J6" s="2749"/>
      <c r="K6" s="1845"/>
      <c r="L6" s="2731"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41" t="str">
        <f>IF(E2="商业",IF(C8="不临58条商业街","",2),"")</f>
        <v/>
      </c>
      <c r="B7" s="2750" t="s">
        <v>2829</v>
      </c>
      <c r="C7" s="919" t="e">
        <f>IF(C8="不临58条商业街",1,ROUND(1+(1.6*E8+1.2*E9+0.8*E10+0.4*E11)*C9,4))</f>
        <v>#DIV/0!</v>
      </c>
      <c r="D7" s="2751" t="s">
        <v>2830</v>
      </c>
      <c r="E7" s="948"/>
      <c r="F7" s="2752"/>
      <c r="G7" s="2753"/>
      <c r="H7" s="2753"/>
      <c r="I7" s="2753"/>
      <c r="J7" s="2754"/>
      <c r="K7" s="1845"/>
      <c r="L7" s="2731"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1.75</v>
      </c>
      <c r="AA7" s="1609"/>
      <c r="AB7" s="1609"/>
      <c r="AC7" s="1610"/>
      <c r="AD7" s="1611"/>
      <c r="AE7" s="1611"/>
      <c r="AF7" s="1611"/>
      <c r="AG7" s="1611"/>
      <c r="AH7" s="1611"/>
      <c r="AI7" s="1611"/>
      <c r="AJ7" s="1612"/>
    </row>
    <row r="8" spans="1:36" ht="15">
      <c r="A8" s="3242"/>
      <c r="B8" s="198" t="s">
        <v>2834</v>
      </c>
      <c r="C8" s="2755"/>
      <c r="D8" s="920" t="s">
        <v>139</v>
      </c>
      <c r="E8" s="921" t="e">
        <f>ROUND(C11/E7,4)</f>
        <v>#DIV/0!</v>
      </c>
      <c r="F8" s="2756" t="s">
        <v>2835</v>
      </c>
      <c r="G8" s="2757"/>
      <c r="H8" s="2757"/>
      <c r="I8" s="2757"/>
      <c r="J8" s="2758"/>
      <c r="K8" s="1373"/>
      <c r="L8" s="2731"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2" t="s">
        <v>2837</v>
      </c>
      <c r="X8" s="325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42"/>
      <c r="B9" s="198" t="s">
        <v>2850</v>
      </c>
      <c r="C9" s="922">
        <f>SUMIF(修正!C59:C119,C8,修正!E59:E119)</f>
        <v>0</v>
      </c>
      <c r="D9" s="200" t="s">
        <v>140</v>
      </c>
      <c r="E9" s="200" t="e">
        <f>ROUND(C11/E7,4)</f>
        <v>#DIV/0!</v>
      </c>
      <c r="F9" s="2756" t="s">
        <v>2851</v>
      </c>
      <c r="G9" s="2757"/>
      <c r="H9" s="2757"/>
      <c r="I9" s="2757"/>
      <c r="J9" s="2758"/>
      <c r="K9" s="1373"/>
      <c r="L9" s="2731"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2"/>
      <c r="B10" s="198" t="s">
        <v>2855</v>
      </c>
      <c r="C10" s="200">
        <f>SUMIF(修正!C59:C119,C8,修正!F59:F119)</f>
        <v>0</v>
      </c>
      <c r="D10" s="200" t="s">
        <v>141</v>
      </c>
      <c r="E10" s="200" t="e">
        <f>ROUND(C11/E7,4)</f>
        <v>#DIV/0!</v>
      </c>
      <c r="F10" s="2756" t="s">
        <v>2856</v>
      </c>
      <c r="G10" s="2757"/>
      <c r="H10" s="2757"/>
      <c r="I10" s="2757"/>
      <c r="J10" s="2758"/>
      <c r="K10" s="1373"/>
      <c r="L10" s="2731"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2"/>
      <c r="B11" s="2759" t="s">
        <v>2858</v>
      </c>
      <c r="C11" s="923">
        <f>C10/4</f>
        <v>0</v>
      </c>
      <c r="D11" s="923" t="s">
        <v>142</v>
      </c>
      <c r="E11" s="923" t="e">
        <f>ROUND(C11/E7,4)</f>
        <v>#DIV/0!</v>
      </c>
      <c r="F11" s="2760" t="s">
        <v>2859</v>
      </c>
      <c r="G11" s="2761"/>
      <c r="H11" s="2761"/>
      <c r="I11" s="2761"/>
      <c r="J11" s="2762"/>
      <c r="K11" s="1373"/>
      <c r="L11" s="2731"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4" t="s">
        <v>2861</v>
      </c>
      <c r="X11" s="1617" t="s">
        <v>2862</v>
      </c>
      <c r="Y11" s="1618">
        <f>$G$3</f>
        <v>1.75</v>
      </c>
      <c r="Z11" s="1618">
        <f t="shared" ref="Z11:AJ11" si="3">$G$3</f>
        <v>1.75</v>
      </c>
      <c r="AA11" s="1618">
        <f t="shared" si="3"/>
        <v>1.75</v>
      </c>
      <c r="AB11" s="1618">
        <f t="shared" si="3"/>
        <v>1.75</v>
      </c>
      <c r="AC11" s="1618">
        <f t="shared" si="3"/>
        <v>1.75</v>
      </c>
      <c r="AD11" s="1618">
        <f t="shared" si="3"/>
        <v>1.75</v>
      </c>
      <c r="AE11" s="1618">
        <f t="shared" si="3"/>
        <v>1.75</v>
      </c>
      <c r="AF11" s="1618">
        <f t="shared" si="3"/>
        <v>1.75</v>
      </c>
      <c r="AG11" s="1618">
        <f t="shared" si="3"/>
        <v>1.75</v>
      </c>
      <c r="AH11" s="1618">
        <f t="shared" si="3"/>
        <v>1.75</v>
      </c>
      <c r="AI11" s="1618">
        <f t="shared" si="3"/>
        <v>1.75</v>
      </c>
      <c r="AJ11" s="1618">
        <f t="shared" si="3"/>
        <v>1.75</v>
      </c>
    </row>
    <row r="12" spans="1:36" ht="25.8" thickBot="1">
      <c r="A12" s="3241" t="s">
        <v>2863</v>
      </c>
      <c r="B12" s="2763" t="s">
        <v>2864</v>
      </c>
      <c r="C12" s="919">
        <f>ROUND(C15*D15*E15*F15*G15*H15*I15*J15,4)</f>
        <v>1</v>
      </c>
      <c r="D12" s="2764" t="s">
        <v>2865</v>
      </c>
      <c r="E12" s="2765"/>
      <c r="F12" s="2765"/>
      <c r="G12" s="2766"/>
      <c r="H12" s="2766"/>
      <c r="I12" s="2766"/>
      <c r="J12" s="2767"/>
      <c r="K12" s="1373"/>
      <c r="L12" s="2768"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9"/>
      <c r="B13" s="2769" t="s">
        <v>2868</v>
      </c>
      <c r="C13" s="2770" t="s">
        <v>2869</v>
      </c>
      <c r="D13" s="1811" t="s">
        <v>2870</v>
      </c>
      <c r="E13" s="1811" t="s">
        <v>2871</v>
      </c>
      <c r="F13" s="30" t="s">
        <v>2872</v>
      </c>
      <c r="G13" s="2771" t="s">
        <v>2873</v>
      </c>
      <c r="H13" s="2771" t="s">
        <v>2873</v>
      </c>
      <c r="I13" s="2771" t="s">
        <v>2873</v>
      </c>
      <c r="J13" s="2772" t="s">
        <v>2873</v>
      </c>
      <c r="K13" s="1373"/>
      <c r="L13" s="1373"/>
      <c r="M13" s="1373"/>
      <c r="N13" s="1373"/>
      <c r="O13" s="1373"/>
      <c r="P13" s="1373"/>
      <c r="Q13" s="1373"/>
      <c r="R13" s="1605">
        <v>12</v>
      </c>
      <c r="S13" s="1606"/>
      <c r="T13" s="1605" t="e">
        <f t="shared" si="0"/>
        <v>#DIV/0!</v>
      </c>
      <c r="U13" s="1606"/>
      <c r="V13" s="1605" t="e">
        <f t="shared" si="1"/>
        <v>#DIV/0!</v>
      </c>
      <c r="W13" s="3254"/>
      <c r="X13" s="1619"/>
      <c r="Y13" s="1616">
        <f>(-0.163*(Y12^2)-0.59*Y12+7617)*(10^(-4))/Y11</f>
        <v>0.4352571428571429</v>
      </c>
      <c r="Z13" s="1616">
        <f t="shared" ref="Z13:AJ13" si="5">(-0.163*(Z12^2)-0.59*Z12+7617)*(10^(-4))/Z11</f>
        <v>0.4352571428571429</v>
      </c>
      <c r="AA13" s="1616">
        <f t="shared" si="5"/>
        <v>0.4352571428571429</v>
      </c>
      <c r="AB13" s="1616">
        <f t="shared" si="5"/>
        <v>0.4352571428571429</v>
      </c>
      <c r="AC13" s="1616">
        <f t="shared" si="5"/>
        <v>0.4352571428571429</v>
      </c>
      <c r="AD13" s="1616">
        <f t="shared" si="5"/>
        <v>0.4352571428571429</v>
      </c>
      <c r="AE13" s="1616">
        <f t="shared" si="5"/>
        <v>0.4352571428571429</v>
      </c>
      <c r="AF13" s="1616">
        <f t="shared" si="5"/>
        <v>0.4352571428571429</v>
      </c>
      <c r="AG13" s="1616">
        <f t="shared" si="5"/>
        <v>0.4352571428571429</v>
      </c>
      <c r="AH13" s="1616">
        <f t="shared" si="5"/>
        <v>0.4352571428571429</v>
      </c>
      <c r="AI13" s="1616">
        <f t="shared" si="5"/>
        <v>0.4352571428571429</v>
      </c>
      <c r="AJ13" s="1616">
        <f t="shared" si="5"/>
        <v>0.4352571428571429</v>
      </c>
    </row>
    <row r="14" spans="1:36" ht="15">
      <c r="A14" s="3259"/>
      <c r="B14" s="2773"/>
      <c r="C14" s="2774"/>
      <c r="D14" s="2775"/>
      <c r="E14" s="2775"/>
      <c r="F14" s="2776"/>
      <c r="G14" s="2777" t="s">
        <v>2874</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0"/>
      <c r="B15" s="2781" t="s">
        <v>2875</v>
      </c>
      <c r="C15" s="229">
        <f>IF(C14="有",1.1,1)</f>
        <v>1</v>
      </c>
      <c r="D15" s="229">
        <f>IF(D14="有",1.1,1)</f>
        <v>1</v>
      </c>
      <c r="E15" s="229">
        <f>IF(E14="有",1.1,1)</f>
        <v>1</v>
      </c>
      <c r="F15" s="229">
        <f>IF(F14="500米范围内",1.2,IF(F14="500-1000米",1.1,1))</f>
        <v>1</v>
      </c>
      <c r="G15" s="949">
        <v>1</v>
      </c>
      <c r="H15" s="949">
        <v>1</v>
      </c>
      <c r="I15" s="949">
        <v>1</v>
      </c>
      <c r="J15" s="950">
        <v>1</v>
      </c>
      <c r="K15" s="1373"/>
      <c r="L15" s="2782" t="s">
        <v>2811</v>
      </c>
      <c r="M15" s="920" t="s">
        <v>2876</v>
      </c>
      <c r="N15" s="920" t="s">
        <v>2877</v>
      </c>
      <c r="O15" s="920" t="s">
        <v>2878</v>
      </c>
      <c r="P15" s="2783"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1" t="s">
        <v>2880</v>
      </c>
      <c r="B16" s="2750" t="s">
        <v>2881</v>
      </c>
      <c r="C16" s="1804" t="e">
        <f>ROUND(SUM(G17:J17)/C17,0)</f>
        <v>#DIV/0!</v>
      </c>
      <c r="D16" s="2784" t="s">
        <v>2882</v>
      </c>
      <c r="E16" s="2785"/>
      <c r="F16" s="2786"/>
      <c r="G16" s="2787"/>
      <c r="H16" s="2787"/>
      <c r="I16" s="2787"/>
      <c r="J16" s="2788"/>
      <c r="K16" s="1373"/>
      <c r="L16" s="2789"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2"/>
      <c r="B17" s="2790" t="s">
        <v>2884</v>
      </c>
      <c r="C17" s="924">
        <f>SUMPRODUCT((修正!A2:A5=E2)*(修正!B1:M1=G2)*(修正!B2:M5))</f>
        <v>0</v>
      </c>
      <c r="D17" s="2791"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2888</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2889</v>
      </c>
      <c r="C19" s="927" t="e">
        <f>ROUND(IF(H19="按公示增长率计算",SUMPRODUCT((地价!A3:A25=YEAR(G19)&amp;"-"&amp;ROUNDUP(MONTH(G19)/3,0))*(地价!X2:AB2=E2)*(地价!X3:AB25)),IF(H19="地价指数",M20/M19,(1+I19)^O19)),4)</f>
        <v>#DIV/0!</v>
      </c>
      <c r="D19" s="2802" t="s">
        <v>2890</v>
      </c>
      <c r="E19" s="928">
        <v>41640</v>
      </c>
      <c r="F19" s="2802" t="s">
        <v>2891</v>
      </c>
      <c r="G19" s="929">
        <f>'数据-取费表'!B2</f>
        <v>43556</v>
      </c>
      <c r="H19" s="2803" t="s">
        <v>2892</v>
      </c>
      <c r="I19" s="930" t="str">
        <f>IF(H19="季度增幅（自定义）",SUMIF(N21:N24,E2,O21:O24),"")</f>
        <v/>
      </c>
      <c r="J19" s="2800"/>
      <c r="K19" s="1380"/>
      <c r="L19" s="2804" t="s">
        <v>2893</v>
      </c>
      <c r="M19" s="1737">
        <f>ROUND(SUMIF(地价!B2:F2,E2,地价!B25:F25),0)</f>
        <v>0</v>
      </c>
      <c r="N19" s="2805" t="s">
        <v>2894</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2895</v>
      </c>
      <c r="C20" s="932" t="e">
        <f>ROUND(POWER(1+G20,J20-I20)*(POWER(1+G20,I20)-1)/(POWER(1+G20,J20)-1),4)</f>
        <v>#DIV/0!</v>
      </c>
      <c r="D20" s="2811" t="s">
        <v>2896</v>
      </c>
      <c r="E20" s="1771">
        <f ca="1">存贷款利率!D4/100</f>
        <v>4.3499999999999997E-2</v>
      </c>
      <c r="F20" s="2811" t="s">
        <v>2887</v>
      </c>
      <c r="G20" s="937">
        <f>SUMIF(M15:P15,E2,M17:P17)</f>
        <v>0</v>
      </c>
      <c r="H20" s="2811" t="s">
        <v>2897</v>
      </c>
      <c r="I20" s="938" t="e">
        <f>SUMIF('数据-取费表'!C6:C15,E2,'数据-取费表'!F6:F15)/COUNTIF('数据-取费表'!C6:C15,E2)</f>
        <v>#DIV/0!</v>
      </c>
      <c r="J20" s="939">
        <f>IF(E2="住宅",70,IF(E2="商业",40,50))</f>
        <v>50</v>
      </c>
      <c r="K20" s="1380"/>
      <c r="L20" s="2812" t="s">
        <v>2898</v>
      </c>
      <c r="M20" s="1738">
        <f>ROUND(SUMPRODUCT((地价!A4:A25=YEAR(G19)&amp;"-"&amp;ROUNDUP(MONTH(G19)/3,0))*(地价!B2:F2=E2)*(地价!B4:F25)),0)</f>
        <v>0</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2902</v>
      </c>
      <c r="C21" s="940">
        <f>IF(B21="容积率修正",IF(G3&lt;=10,D22,J22),C23)</f>
        <v>0</v>
      </c>
      <c r="D21" s="2818"/>
      <c r="E21" s="2818"/>
      <c r="F21" s="2818"/>
      <c r="G21" s="2818"/>
      <c r="H21" s="2818"/>
      <c r="I21" s="2818"/>
      <c r="J21" s="2819"/>
      <c r="K21" s="1380"/>
      <c r="N21" s="2820" t="s">
        <v>2903</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4">
      <c r="A22" s="2669" t="s">
        <v>2904</v>
      </c>
      <c r="B22" s="2821" t="s">
        <v>2905</v>
      </c>
      <c r="C22" s="1813" t="s">
        <v>2906</v>
      </c>
      <c r="D22" s="1813">
        <f>IF(E22=G22,F22,IF(G3&lt;=10,ROUND(F22+(H22-F22)*(G3-E22)/(G22-E22),4),"——"))</f>
        <v>0</v>
      </c>
      <c r="E22" s="916">
        <f>ROUNDDOWN(G3,1)</f>
        <v>1.7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2907</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9.4" thickBot="1">
      <c r="A23" s="2669"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2911</v>
      </c>
      <c r="C24" s="927">
        <f>SUMIF(A45:A88,E2,B45:B88)</f>
        <v>0</v>
      </c>
      <c r="D24" s="2798"/>
      <c r="E24" s="2828"/>
      <c r="F24" s="2828"/>
      <c r="G24" s="2828"/>
      <c r="H24" s="2828"/>
      <c r="I24" s="2828"/>
      <c r="J24" s="2829"/>
      <c r="K24" s="1380"/>
      <c r="N24" s="2830" t="s">
        <v>2912</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2913</v>
      </c>
      <c r="C25" s="933"/>
      <c r="D25" s="2753"/>
      <c r="E25" s="2753"/>
      <c r="F25" s="2832"/>
      <c r="G25" s="2753"/>
      <c r="H25" s="2753"/>
      <c r="I25" s="2753"/>
      <c r="J25" s="2754"/>
      <c r="K25" s="1373"/>
      <c r="N25" s="2833" t="s">
        <v>2914</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4.4">
      <c r="A26" s="2834"/>
      <c r="B26" s="2821" t="s">
        <v>2915</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2916</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t="e">
        <f>ROUND(C5*C18*C19*C20*C21*C24,0)</f>
        <v>#DIV/0!</v>
      </c>
      <c r="D29" s="2850"/>
      <c r="E29" s="945" t="e">
        <f>ROUND(C29*D29/10000,0)</f>
        <v>#DIV/0!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2923</v>
      </c>
      <c r="C30" s="229" t="e">
        <f>ROUND(IF(E2="工业",C29*M39,C29*M38),0)</f>
        <v>#DIV/0!</v>
      </c>
      <c r="D30" s="2856"/>
      <c r="E30" s="945" t="e">
        <f>ROUND(C30*D30/10000,0)</f>
        <v>#DIV/0!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9" t="s">
        <v>2929</v>
      </c>
      <c r="B33" s="2866" t="s">
        <v>2930</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0"/>
      <c r="B34" s="2770" t="s">
        <v>2931</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0"/>
      <c r="B35" s="2770" t="s">
        <v>2932</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51"/>
      <c r="B36" s="2770" t="s">
        <v>2933</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2937</v>
      </c>
      <c r="M38" s="2871">
        <v>0.25</v>
      </c>
      <c r="N38" s="1373"/>
      <c r="O38" s="1373"/>
      <c r="P38" s="1373"/>
      <c r="Q38" s="1373"/>
      <c r="R38" s="1373"/>
      <c r="S38" s="1373"/>
      <c r="T38" s="1373"/>
      <c r="U38" s="1373"/>
      <c r="V38" s="1373"/>
      <c r="W38" s="1373"/>
      <c r="X38" s="1373"/>
      <c r="Y38" s="1373"/>
      <c r="Z38" s="1374"/>
    </row>
    <row r="39" spans="1:37" ht="13.8" thickBot="1">
      <c r="A39" s="2854"/>
      <c r="B39" s="2872" t="s">
        <v>2938</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2879</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3" t="s">
        <v>3049</v>
      </c>
      <c r="C41" s="388" t="e">
        <f>ROUND(POWER(1+E41,H41-G41)*(POWER(1+E41,G41)-1)/(POWER(1+E41,H41)-1),4)</f>
        <v>#DIV/0!</v>
      </c>
      <c r="D41" s="200" t="s">
        <v>2887</v>
      </c>
      <c r="E41" s="2942">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2940</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2941</v>
      </c>
      <c r="B47" s="1812" t="s">
        <v>2942</v>
      </c>
      <c r="C47" s="1812" t="s">
        <v>2943</v>
      </c>
      <c r="D47" s="1812" t="s">
        <v>2944</v>
      </c>
      <c r="E47" s="819" t="s">
        <v>2945</v>
      </c>
      <c r="F47" s="2884" t="s">
        <v>2946</v>
      </c>
      <c r="G47" s="1812" t="s">
        <v>754</v>
      </c>
      <c r="H47" s="2885"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2.8">
      <c r="A48" s="2883" t="s">
        <v>2949</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3" t="s">
        <v>2950</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2952</v>
      </c>
      <c r="B51" s="2888" t="s">
        <v>2953</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2955</v>
      </c>
      <c r="B53" s="2889" t="s">
        <v>2956</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0" t="s">
        <v>2957</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2958</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1" t="s">
        <v>2959</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2941</v>
      </c>
      <c r="B58" s="1812"/>
      <c r="C58" s="1812" t="s">
        <v>2943</v>
      </c>
      <c r="D58" s="1812" t="s">
        <v>2944</v>
      </c>
      <c r="E58" s="819" t="s">
        <v>2945</v>
      </c>
      <c r="F58" s="2884" t="s">
        <v>2961</v>
      </c>
      <c r="G58" s="1812" t="s">
        <v>754</v>
      </c>
      <c r="H58" s="2885"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2.8">
      <c r="A59" s="2883" t="s">
        <v>2962</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3" t="s">
        <v>2957</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2958</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1" t="s">
        <v>2959</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2941</v>
      </c>
      <c r="B69" s="1812"/>
      <c r="C69" s="1812" t="s">
        <v>2943</v>
      </c>
      <c r="D69" s="1812" t="s">
        <v>2944</v>
      </c>
      <c r="E69" s="819" t="s">
        <v>2945</v>
      </c>
      <c r="F69" s="2884" t="s">
        <v>2961</v>
      </c>
      <c r="G69" s="1812" t="s">
        <v>754</v>
      </c>
      <c r="H69" s="2885"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66">
      <c r="A70" s="2883" t="s">
        <v>2964</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2965</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3" t="s">
        <v>2957</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2958</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9.6">
      <c r="A77" s="2883" t="s">
        <v>2959</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2967</v>
      </c>
      <c r="B79" s="2880">
        <f>1+E81</f>
        <v>1</v>
      </c>
      <c r="C79" s="814"/>
      <c r="D79" s="814"/>
      <c r="E79" s="815"/>
      <c r="F79" s="2882"/>
      <c r="G79" s="6"/>
      <c r="H79" s="6"/>
      <c r="I79" s="6"/>
      <c r="J79" s="7"/>
      <c r="K79" s="7"/>
      <c r="L79" s="7"/>
      <c r="M79" s="7"/>
      <c r="N79" s="7"/>
      <c r="Z79" s="2725"/>
      <c r="AA79" s="2801"/>
      <c r="AG79" s="1375"/>
      <c r="AK79" s="2801"/>
    </row>
    <row r="80" spans="1:37" ht="25.2">
      <c r="A80" s="2883" t="s">
        <v>2941</v>
      </c>
      <c r="B80" s="1812"/>
      <c r="C80" s="1812" t="s">
        <v>2943</v>
      </c>
      <c r="D80" s="1812" t="s">
        <v>2944</v>
      </c>
      <c r="E80" s="819" t="s">
        <v>2945</v>
      </c>
      <c r="F80" s="2884" t="s">
        <v>2961</v>
      </c>
      <c r="G80" s="1812" t="s">
        <v>754</v>
      </c>
      <c r="H80" s="2885" t="s">
        <v>2947</v>
      </c>
      <c r="I80" s="1812" t="s">
        <v>2948</v>
      </c>
      <c r="J80" s="603" t="s">
        <v>2595</v>
      </c>
      <c r="K80" s="603" t="s">
        <v>2596</v>
      </c>
      <c r="L80" s="603" t="s">
        <v>2597</v>
      </c>
      <c r="M80" s="603" t="s">
        <v>2598</v>
      </c>
      <c r="N80" s="603" t="s">
        <v>2599</v>
      </c>
      <c r="Z80" s="2725"/>
      <c r="AA80" s="2801"/>
      <c r="AG80" s="1375"/>
      <c r="AK80" s="2801"/>
    </row>
    <row r="81" spans="1:37" ht="39.6">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3" t="s">
        <v>2971</v>
      </c>
      <c r="B90" s="3243"/>
      <c r="C90" s="3243"/>
      <c r="D90" s="3243"/>
      <c r="E90" s="3243"/>
      <c r="F90" s="3243"/>
      <c r="G90" s="3243"/>
      <c r="H90" s="3243"/>
      <c r="I90" s="3243"/>
      <c r="J90" s="3243"/>
      <c r="K90" s="2897"/>
      <c r="L90" s="2897"/>
      <c r="M90" s="2897"/>
      <c r="N90" s="2897"/>
    </row>
    <row r="91" spans="1:37">
      <c r="A91" s="3245" t="s">
        <v>2972</v>
      </c>
      <c r="B91" s="3245" t="s">
        <v>2973</v>
      </c>
      <c r="C91" s="2851" t="s">
        <v>2974</v>
      </c>
      <c r="D91" s="2852"/>
      <c r="E91" s="2852"/>
      <c r="F91" s="2852"/>
      <c r="G91" s="2852"/>
      <c r="H91" s="2852"/>
      <c r="I91" s="2852"/>
      <c r="J91" s="2898"/>
      <c r="K91" s="2899"/>
      <c r="L91" s="2899"/>
      <c r="M91" s="2899"/>
      <c r="N91" s="2899"/>
    </row>
    <row r="92" spans="1:37">
      <c r="A92" s="3245"/>
      <c r="B92" s="324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46"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7"/>
      <c r="B99" s="2900" t="s">
        <v>2854</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6" t="s">
        <v>2976</v>
      </c>
      <c r="B101" s="2904" t="s">
        <v>2977</v>
      </c>
      <c r="C101" s="2905">
        <f>$G$3</f>
        <v>1.75</v>
      </c>
      <c r="D101" s="2905">
        <f t="shared" ref="D101:N101" si="31">$G$3</f>
        <v>1.75</v>
      </c>
      <c r="E101" s="2905">
        <f t="shared" si="31"/>
        <v>1.75</v>
      </c>
      <c r="F101" s="2905">
        <f t="shared" si="31"/>
        <v>1.75</v>
      </c>
      <c r="G101" s="2905">
        <f t="shared" si="31"/>
        <v>1.75</v>
      </c>
      <c r="H101" s="2905">
        <f t="shared" si="31"/>
        <v>1.75</v>
      </c>
      <c r="I101" s="2905">
        <f t="shared" si="31"/>
        <v>1.75</v>
      </c>
      <c r="J101" s="2905">
        <f t="shared" si="31"/>
        <v>1.75</v>
      </c>
      <c r="K101" s="2905">
        <f t="shared" si="31"/>
        <v>1.75</v>
      </c>
      <c r="L101" s="2905">
        <f t="shared" si="31"/>
        <v>1.75</v>
      </c>
      <c r="M101" s="2905">
        <f t="shared" si="31"/>
        <v>1.75</v>
      </c>
      <c r="N101" s="2905">
        <f t="shared" si="31"/>
        <v>1.75</v>
      </c>
    </row>
    <row r="102" spans="1:14">
      <c r="A102" s="3247"/>
      <c r="B102" s="2900">
        <v>1</v>
      </c>
      <c r="C102" s="2901">
        <f>1.9362/C101</f>
        <v>1.1064000000000001</v>
      </c>
      <c r="D102" s="2901">
        <f>1.9362/D101</f>
        <v>1.1064000000000001</v>
      </c>
      <c r="E102" s="2901">
        <f>1.8629/E101</f>
        <v>1.0645142857142857</v>
      </c>
      <c r="F102" s="2901">
        <f>1.8629/F101</f>
        <v>1.0645142857142857</v>
      </c>
      <c r="G102" s="2901">
        <f>1.8629/G101</f>
        <v>1.0645142857142857</v>
      </c>
      <c r="H102" s="2901">
        <f>1.8629/H101</f>
        <v>1.0645142857142857</v>
      </c>
      <c r="I102" s="2901">
        <f>1.8629/I101</f>
        <v>1.0645142857142857</v>
      </c>
      <c r="J102" s="2901">
        <f>1.942/J101</f>
        <v>1.1097142857142857</v>
      </c>
      <c r="K102" s="2901">
        <f>1.942/K101</f>
        <v>1.1097142857142857</v>
      </c>
      <c r="L102" s="2901">
        <f>1.942/L101</f>
        <v>1.1097142857142857</v>
      </c>
      <c r="M102" s="2901">
        <f>1.942/M101</f>
        <v>1.1097142857142857</v>
      </c>
      <c r="N102" s="2901">
        <f>1.942/N101</f>
        <v>1.1097142857142857</v>
      </c>
    </row>
    <row r="103" spans="1:14">
      <c r="A103" s="3247"/>
      <c r="B103" s="2900">
        <v>2</v>
      </c>
      <c r="C103" s="2901">
        <f>1.4198/C101</f>
        <v>0.81131428571428565</v>
      </c>
      <c r="D103" s="2901">
        <f>1.4198/D101</f>
        <v>0.81131428571428565</v>
      </c>
      <c r="E103" s="2901">
        <f>1.3372/E101</f>
        <v>0.76411428571428563</v>
      </c>
      <c r="F103" s="2901">
        <f>1.3372/F101</f>
        <v>0.76411428571428563</v>
      </c>
      <c r="G103" s="2901">
        <f>1.3372/G101</f>
        <v>0.76411428571428563</v>
      </c>
      <c r="H103" s="2901">
        <f>1.3372/H101</f>
        <v>0.76411428571428563</v>
      </c>
      <c r="I103" s="2901">
        <f>1.3372/I101</f>
        <v>0.76411428571428563</v>
      </c>
      <c r="J103" s="2901">
        <f>1.2799/J101</f>
        <v>0.73137142857142856</v>
      </c>
      <c r="K103" s="2901">
        <f>1.2799/K101</f>
        <v>0.73137142857142856</v>
      </c>
      <c r="L103" s="2901">
        <f>1.2799/L101</f>
        <v>0.73137142857142856</v>
      </c>
      <c r="M103" s="2901">
        <f>1.2799/M101</f>
        <v>0.73137142857142856</v>
      </c>
      <c r="N103" s="2901">
        <f>1.2799/N101</f>
        <v>0.73137142857142856</v>
      </c>
    </row>
    <row r="104" spans="1:14">
      <c r="A104" s="3247"/>
      <c r="B104" s="2900">
        <v>3</v>
      </c>
      <c r="C104" s="2901">
        <f>1.1594/C101</f>
        <v>0.66251428571428572</v>
      </c>
      <c r="D104" s="2901">
        <f>1.1594/D101</f>
        <v>0.66251428571428572</v>
      </c>
      <c r="E104" s="2901">
        <f>1.0788/E101</f>
        <v>0.61645714285714281</v>
      </c>
      <c r="F104" s="2901">
        <f>1.0788/F101</f>
        <v>0.61645714285714281</v>
      </c>
      <c r="G104" s="2901">
        <f>1.0788/G101</f>
        <v>0.61645714285714281</v>
      </c>
      <c r="H104" s="2901">
        <f>1.0788/H101</f>
        <v>0.61645714285714281</v>
      </c>
      <c r="I104" s="2901">
        <f>1.0788/I101</f>
        <v>0.61645714285714281</v>
      </c>
      <c r="J104" s="2901">
        <f>1.0072/J101</f>
        <v>0.57554285714285724</v>
      </c>
      <c r="K104" s="2901">
        <f>1.0072/K101</f>
        <v>0.57554285714285724</v>
      </c>
      <c r="L104" s="2901">
        <f>1.0072/L101</f>
        <v>0.57554285714285724</v>
      </c>
      <c r="M104" s="2901">
        <f>1.0072/M101</f>
        <v>0.57554285714285724</v>
      </c>
      <c r="N104" s="2901">
        <f>1.0072/N101</f>
        <v>0.57554285714285724</v>
      </c>
    </row>
    <row r="105" spans="1:14">
      <c r="A105" s="3247"/>
      <c r="B105" s="2900">
        <v>4</v>
      </c>
      <c r="C105" s="2901">
        <f>0.9622/C101</f>
        <v>0.54982857142857144</v>
      </c>
      <c r="D105" s="2901">
        <f>0.9622/D101</f>
        <v>0.54982857142857144</v>
      </c>
      <c r="E105" s="2901">
        <f>0.8656/E101</f>
        <v>0.49462857142857147</v>
      </c>
      <c r="F105" s="2901">
        <f>0.8656/F101</f>
        <v>0.49462857142857147</v>
      </c>
      <c r="G105" s="2901">
        <f>0.8656/G101</f>
        <v>0.49462857142857147</v>
      </c>
      <c r="H105" s="2901">
        <f>0.8656/H101</f>
        <v>0.49462857142857147</v>
      </c>
      <c r="I105" s="2901">
        <f>0.8656/I101</f>
        <v>0.49462857142857147</v>
      </c>
      <c r="J105" s="2901">
        <f>0.7525/J101</f>
        <v>0.43</v>
      </c>
      <c r="K105" s="2901">
        <f>0.7525/K101</f>
        <v>0.43</v>
      </c>
      <c r="L105" s="2901">
        <f>0.7525/L101</f>
        <v>0.43</v>
      </c>
      <c r="M105" s="2901">
        <f>0.7525/M101</f>
        <v>0.43</v>
      </c>
      <c r="N105" s="2901">
        <f>0.7525/N101</f>
        <v>0.43</v>
      </c>
    </row>
    <row r="106" spans="1:14">
      <c r="A106" s="3247"/>
      <c r="B106" s="2900">
        <v>5</v>
      </c>
      <c r="C106" s="2901">
        <f>0.8417/C101</f>
        <v>0.48097142857142855</v>
      </c>
      <c r="D106" s="2901">
        <f>0.8417/D101</f>
        <v>0.48097142857142855</v>
      </c>
      <c r="E106" s="2901">
        <f>0.7371/E101</f>
        <v>0.42119999999999996</v>
      </c>
      <c r="F106" s="2901">
        <f>0.7371/F101</f>
        <v>0.42119999999999996</v>
      </c>
      <c r="G106" s="2901">
        <f>0.7371/G101</f>
        <v>0.42119999999999996</v>
      </c>
      <c r="H106" s="2901">
        <f>0.7371/H101</f>
        <v>0.42119999999999996</v>
      </c>
      <c r="I106" s="2901">
        <f>0.7371/I101</f>
        <v>0.42119999999999996</v>
      </c>
      <c r="J106" s="2901">
        <f>0.5659/J101</f>
        <v>0.32337142857142853</v>
      </c>
      <c r="K106" s="2901">
        <f>0.5659/K101</f>
        <v>0.32337142857142853</v>
      </c>
      <c r="L106" s="2901">
        <f>0.5659/L101</f>
        <v>0.32337142857142853</v>
      </c>
      <c r="M106" s="2901">
        <f>0.5659/M101</f>
        <v>0.32337142857142853</v>
      </c>
      <c r="N106" s="2901">
        <f>0.5659/N101</f>
        <v>0.32337142857142853</v>
      </c>
    </row>
    <row r="107" spans="1:14">
      <c r="A107" s="3247"/>
      <c r="B107" s="2900">
        <v>6</v>
      </c>
      <c r="C107" s="2901">
        <f>0.7608/C101</f>
        <v>0.43474285714285715</v>
      </c>
      <c r="D107" s="2901">
        <f>0.7608/D101</f>
        <v>0.43474285714285715</v>
      </c>
      <c r="E107" s="2901">
        <f>0.6482/E101</f>
        <v>0.37040000000000001</v>
      </c>
      <c r="F107" s="2901">
        <f>0.6482/F101</f>
        <v>0.37040000000000001</v>
      </c>
      <c r="G107" s="2901">
        <f>0.6482/G101</f>
        <v>0.37040000000000001</v>
      </c>
      <c r="H107" s="2901">
        <f>0.6482/H101</f>
        <v>0.37040000000000001</v>
      </c>
      <c r="I107" s="2901">
        <f>0.6482/I101</f>
        <v>0.37040000000000001</v>
      </c>
      <c r="J107" s="2901">
        <f>0.4525/J101</f>
        <v>0.25857142857142856</v>
      </c>
      <c r="K107" s="2901">
        <f>0.4525/K101</f>
        <v>0.25857142857142856</v>
      </c>
      <c r="L107" s="2901">
        <f>0.4525/L101</f>
        <v>0.25857142857142856</v>
      </c>
      <c r="M107" s="2901">
        <f>0.4525/M101</f>
        <v>0.25857142857142856</v>
      </c>
      <c r="N107" s="2901">
        <f>0.4525/N101</f>
        <v>0.25857142857142856</v>
      </c>
    </row>
    <row r="108" spans="1:14">
      <c r="A108" s="3247"/>
      <c r="B108" s="3075" t="s">
        <v>2978</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8"/>
      <c r="B109" s="3076"/>
      <c r="C109" s="2903">
        <f>(-0.163*(C108^2)-0.59*C108+7617)*(10^(-4))/C101</f>
        <v>0.4352571428571429</v>
      </c>
      <c r="D109" s="2903">
        <f>(-0.163*(D108^2)-0.59*D108+7617)*(10^(-4))/D101</f>
        <v>0.4352571428571429</v>
      </c>
      <c r="E109" s="2903">
        <f>(-0.161*(E108^2)-7.509*E108+6533)*(10^(-4))/E101</f>
        <v>0.37331428571428571</v>
      </c>
      <c r="F109" s="2903">
        <f>(-0.161*(F108^2)-7.509*F108+6533)*(10^(-4))/F101</f>
        <v>0.37331428571428571</v>
      </c>
      <c r="G109" s="2903">
        <f>(-0.161*(G108^2)-7.509*G108+6533)*(10^(-4))/G101</f>
        <v>0.37331428571428571</v>
      </c>
      <c r="H109" s="2903">
        <f>(-0.161*(H108^2)-7.509*H108+6533)*(10^(-4))/H101</f>
        <v>0.37331428571428571</v>
      </c>
      <c r="I109" s="2903">
        <f>(-0.161*(I108^2)-7.509*I108+6533)*(10^(-4))/I101</f>
        <v>0.37331428571428571</v>
      </c>
      <c r="J109" s="2903">
        <f>(-0.214*(J108^2)-21.991*J108+4665)*(10^(-4))/J101</f>
        <v>0.26657142857142857</v>
      </c>
      <c r="K109" s="2903">
        <f>(-0.214*(K108^2)-21.991*K108+4665)*(10^(-4))/K101</f>
        <v>0.26657142857142857</v>
      </c>
      <c r="L109" s="2903">
        <f>(-0.214*(L108^2)-21.991*L108+4665)*(10^(-4))/L101</f>
        <v>0.26657142857142857</v>
      </c>
      <c r="M109" s="2903">
        <f>(-0.214*(M108^2)-21.991*M108+4665)*(10^(-4))/M101</f>
        <v>0.26657142857142857</v>
      </c>
      <c r="N109" s="2903">
        <f>(-0.214*(N108^2)-21.991*N108+4665)*(10^(-4))/N101</f>
        <v>0.26657142857142857</v>
      </c>
    </row>
    <row r="110" spans="1:14">
      <c r="A110" s="3244" t="s">
        <v>2979</v>
      </c>
      <c r="B110" s="3244"/>
      <c r="C110" s="3244"/>
      <c r="D110" s="3244"/>
      <c r="E110" s="3244"/>
      <c r="F110" s="3244"/>
      <c r="G110" s="3244"/>
      <c r="H110" s="3244"/>
      <c r="I110" s="3244"/>
      <c r="J110" s="3244"/>
      <c r="K110" s="2906"/>
      <c r="L110" s="2906"/>
      <c r="M110" s="2906"/>
      <c r="N110" s="2906"/>
    </row>
    <row r="112" spans="1:14" ht="13.8" thickBot="1"/>
    <row r="113" spans="1:13" ht="25.8" thickBot="1">
      <c r="A113" s="903" t="s">
        <v>2980</v>
      </c>
      <c r="B113" s="1290">
        <f>G3</f>
        <v>1.75</v>
      </c>
      <c r="C113" s="904" t="s">
        <v>2981</v>
      </c>
      <c r="D113" s="905">
        <f>SUMPRODUCT((A115:A118=F113)*(B114:M114=H113)*B115:M118)</f>
        <v>0</v>
      </c>
      <c r="E113" s="2729" t="s">
        <v>2811</v>
      </c>
      <c r="F113" s="2908">
        <f>E2</f>
        <v>0</v>
      </c>
      <c r="G113" s="2729" t="s">
        <v>2812</v>
      </c>
      <c r="H113" s="2908">
        <f>G2</f>
        <v>0</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2876</v>
      </c>
      <c r="B115" s="910">
        <f>ROUND(0.9335-0.0094*B113,4)</f>
        <v>0.91710000000000003</v>
      </c>
      <c r="C115" s="910">
        <f>B115</f>
        <v>0.91710000000000003</v>
      </c>
      <c r="D115" s="910">
        <f>ROUND(0.8331-0.0109*B113,4)</f>
        <v>0.81399999999999995</v>
      </c>
      <c r="E115" s="910">
        <f>D115</f>
        <v>0.81399999999999995</v>
      </c>
      <c r="F115" s="910">
        <f>E115</f>
        <v>0.81399999999999995</v>
      </c>
      <c r="G115" s="910">
        <f>F115</f>
        <v>0.81399999999999995</v>
      </c>
      <c r="H115" s="910">
        <f>G115</f>
        <v>0.81399999999999995</v>
      </c>
      <c r="I115" s="910">
        <f>ROUND(0.689-0.0155*B113,4)</f>
        <v>0.66190000000000004</v>
      </c>
      <c r="J115" s="910">
        <f t="shared" ref="J115:M118" si="33">I115</f>
        <v>0.66190000000000004</v>
      </c>
      <c r="K115" s="910">
        <f t="shared" si="33"/>
        <v>0.66190000000000004</v>
      </c>
      <c r="L115" s="910">
        <f t="shared" si="33"/>
        <v>0.66190000000000004</v>
      </c>
      <c r="M115" s="911">
        <f t="shared" si="33"/>
        <v>0.66190000000000004</v>
      </c>
    </row>
    <row r="116" spans="1:13">
      <c r="A116" s="909" t="s">
        <v>2877</v>
      </c>
      <c r="B116" s="910">
        <f>ROUND(0.949-0.012*B113,4)</f>
        <v>0.92800000000000005</v>
      </c>
      <c r="C116" s="910">
        <f>B116</f>
        <v>0.92800000000000005</v>
      </c>
      <c r="D116" s="910">
        <f>ROUND(0.8567-0.013*B113,4)</f>
        <v>0.83399999999999996</v>
      </c>
      <c r="E116" s="910">
        <f t="shared" ref="E116:H117" si="34">D116</f>
        <v>0.83399999999999996</v>
      </c>
      <c r="F116" s="910">
        <f t="shared" si="34"/>
        <v>0.83399999999999996</v>
      </c>
      <c r="G116" s="910">
        <f t="shared" si="34"/>
        <v>0.83399999999999996</v>
      </c>
      <c r="H116" s="910">
        <f t="shared" si="34"/>
        <v>0.83399999999999996</v>
      </c>
      <c r="I116" s="910">
        <f>ROUND(0.7694-0.014*B113,4)</f>
        <v>0.74490000000000001</v>
      </c>
      <c r="J116" s="910">
        <f t="shared" si="33"/>
        <v>0.74490000000000001</v>
      </c>
      <c r="K116" s="910">
        <f t="shared" si="33"/>
        <v>0.74490000000000001</v>
      </c>
      <c r="L116" s="910">
        <f t="shared" si="33"/>
        <v>0.74490000000000001</v>
      </c>
      <c r="M116" s="911">
        <f t="shared" si="33"/>
        <v>0.74490000000000001</v>
      </c>
    </row>
    <row r="117" spans="1:13">
      <c r="A117" s="909" t="s">
        <v>2878</v>
      </c>
      <c r="B117" s="910">
        <f>ROUND(0.8808-0.006*B113,4)</f>
        <v>0.87029999999999996</v>
      </c>
      <c r="C117" s="910">
        <f>B117</f>
        <v>0.87029999999999996</v>
      </c>
      <c r="D117" s="910">
        <f>ROUND(0.8748-0.008*B113,4)</f>
        <v>0.86080000000000001</v>
      </c>
      <c r="E117" s="910">
        <f t="shared" si="34"/>
        <v>0.86080000000000001</v>
      </c>
      <c r="F117" s="910">
        <f t="shared" si="34"/>
        <v>0.86080000000000001</v>
      </c>
      <c r="G117" s="910">
        <f t="shared" si="34"/>
        <v>0.86080000000000001</v>
      </c>
      <c r="H117" s="910">
        <f t="shared" si="34"/>
        <v>0.86080000000000001</v>
      </c>
      <c r="I117" s="910">
        <f>ROUND(0.7412-0.0095*B113,4)</f>
        <v>0.72460000000000002</v>
      </c>
      <c r="J117" s="910">
        <f t="shared" si="33"/>
        <v>0.72460000000000002</v>
      </c>
      <c r="K117" s="910">
        <f t="shared" si="33"/>
        <v>0.72460000000000002</v>
      </c>
      <c r="L117" s="910">
        <f t="shared" si="33"/>
        <v>0.72460000000000002</v>
      </c>
      <c r="M117" s="911">
        <f t="shared" si="33"/>
        <v>0.72460000000000002</v>
      </c>
    </row>
    <row r="118" spans="1:13" ht="13.8" thickBot="1">
      <c r="A118" s="714" t="s">
        <v>2879</v>
      </c>
      <c r="B118" s="912">
        <f>ROUND(0.7275-0.01*B113,4)</f>
        <v>0.71</v>
      </c>
      <c r="C118" s="912">
        <f>B118</f>
        <v>0.71</v>
      </c>
      <c r="D118" s="912">
        <f>ROUND(0.7043-0.012*B113,4)</f>
        <v>0.68330000000000002</v>
      </c>
      <c r="E118" s="912">
        <f>D118</f>
        <v>0.68330000000000002</v>
      </c>
      <c r="F118" s="912">
        <f>E118</f>
        <v>0.68330000000000002</v>
      </c>
      <c r="G118" s="912">
        <f>ROUND(0.6299-0.0122*B113,4)</f>
        <v>0.60860000000000003</v>
      </c>
      <c r="H118" s="912">
        <f>G118</f>
        <v>0.60860000000000003</v>
      </c>
      <c r="I118" s="912">
        <f>ROUND(0.5667-0.0136*B113,4)</f>
        <v>0.54290000000000005</v>
      </c>
      <c r="J118" s="912">
        <f t="shared" si="33"/>
        <v>0.54290000000000005</v>
      </c>
      <c r="K118" s="912">
        <f t="shared" si="33"/>
        <v>0.54290000000000005</v>
      </c>
      <c r="L118" s="912">
        <f t="shared" si="33"/>
        <v>0.54290000000000005</v>
      </c>
      <c r="M118" s="913">
        <f t="shared" si="33"/>
        <v>0.54290000000000005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1" t="s">
        <v>614</v>
      </c>
      <c r="C61" s="818" t="s">
        <v>615</v>
      </c>
      <c r="D61" s="818" t="s">
        <v>616</v>
      </c>
      <c r="E61" s="895">
        <v>0.5</v>
      </c>
      <c r="F61" s="882">
        <v>80</v>
      </c>
    </row>
    <row r="62" spans="1:8" s="878" customFormat="1" ht="36">
      <c r="A62" s="882">
        <v>2</v>
      </c>
      <c r="B62" s="3261"/>
      <c r="C62" s="818" t="s">
        <v>617</v>
      </c>
      <c r="D62" s="818" t="s">
        <v>618</v>
      </c>
      <c r="E62" s="895">
        <v>0.5</v>
      </c>
      <c r="F62" s="882">
        <v>80</v>
      </c>
    </row>
    <row r="63" spans="1:8" s="878" customFormat="1" ht="48">
      <c r="A63" s="882">
        <v>3</v>
      </c>
      <c r="B63" s="3261"/>
      <c r="C63" s="818" t="s">
        <v>619</v>
      </c>
      <c r="D63" s="818" t="s">
        <v>620</v>
      </c>
      <c r="E63" s="895">
        <v>0.5</v>
      </c>
      <c r="F63" s="882">
        <v>80</v>
      </c>
    </row>
    <row r="64" spans="1:8" s="878" customFormat="1" ht="48">
      <c r="A64" s="882">
        <v>4</v>
      </c>
      <c r="B64" s="3261"/>
      <c r="C64" s="818" t="s">
        <v>621</v>
      </c>
      <c r="D64" s="818" t="s">
        <v>622</v>
      </c>
      <c r="E64" s="895">
        <v>0.4</v>
      </c>
      <c r="F64" s="882">
        <v>60</v>
      </c>
    </row>
    <row r="65" spans="1:6" s="878" customFormat="1" ht="48">
      <c r="A65" s="882">
        <v>5</v>
      </c>
      <c r="B65" s="3261"/>
      <c r="C65" s="818" t="s">
        <v>623</v>
      </c>
      <c r="D65" s="818" t="s">
        <v>624</v>
      </c>
      <c r="E65" s="895">
        <v>0.2</v>
      </c>
      <c r="F65" s="882">
        <v>30</v>
      </c>
    </row>
    <row r="66" spans="1:6" s="878" customFormat="1" ht="48">
      <c r="A66" s="882">
        <v>6</v>
      </c>
      <c r="B66" s="3261"/>
      <c r="C66" s="818" t="s">
        <v>625</v>
      </c>
      <c r="D66" s="818" t="s">
        <v>626</v>
      </c>
      <c r="E66" s="895">
        <v>0.3</v>
      </c>
      <c r="F66" s="882">
        <v>50</v>
      </c>
    </row>
    <row r="67" spans="1:6" s="878" customFormat="1" ht="48">
      <c r="A67" s="882">
        <v>7</v>
      </c>
      <c r="B67" s="3261"/>
      <c r="C67" s="818" t="s">
        <v>627</v>
      </c>
      <c r="D67" s="818" t="s">
        <v>628</v>
      </c>
      <c r="E67" s="895">
        <v>0.2</v>
      </c>
      <c r="F67" s="882">
        <v>30</v>
      </c>
    </row>
    <row r="68" spans="1:6" s="878" customFormat="1" ht="48">
      <c r="A68" s="882">
        <v>8</v>
      </c>
      <c r="B68" s="3261"/>
      <c r="C68" s="818" t="s">
        <v>629</v>
      </c>
      <c r="D68" s="818" t="s">
        <v>630</v>
      </c>
      <c r="E68" s="895">
        <v>0.2</v>
      </c>
      <c r="F68" s="882">
        <v>30</v>
      </c>
    </row>
    <row r="69" spans="1:6" s="878" customFormat="1" ht="48">
      <c r="A69" s="882">
        <v>9</v>
      </c>
      <c r="B69" s="3261"/>
      <c r="C69" s="818" t="s">
        <v>631</v>
      </c>
      <c r="D69" s="818" t="s">
        <v>632</v>
      </c>
      <c r="E69" s="895">
        <v>0.2</v>
      </c>
      <c r="F69" s="882">
        <v>30</v>
      </c>
    </row>
    <row r="70" spans="1:6" s="878" customFormat="1" ht="60">
      <c r="A70" s="882">
        <v>10</v>
      </c>
      <c r="B70" s="3261"/>
      <c r="C70" s="818" t="s">
        <v>633</v>
      </c>
      <c r="D70" s="818" t="s">
        <v>634</v>
      </c>
      <c r="E70" s="895">
        <v>0.2</v>
      </c>
      <c r="F70" s="882">
        <v>30</v>
      </c>
    </row>
    <row r="71" spans="1:6" s="878" customFormat="1" ht="60">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36">
      <c r="A73" s="882">
        <v>13</v>
      </c>
      <c r="B73" s="3261"/>
      <c r="C73" s="818" t="s">
        <v>639</v>
      </c>
      <c r="D73" s="818" t="s">
        <v>640</v>
      </c>
      <c r="E73" s="895">
        <v>0.4</v>
      </c>
      <c r="F73" s="882">
        <v>60</v>
      </c>
    </row>
    <row r="74" spans="1:6" s="878" customFormat="1" ht="36">
      <c r="A74" s="882">
        <v>14</v>
      </c>
      <c r="B74" s="3261"/>
      <c r="C74" s="818" t="s">
        <v>641</v>
      </c>
      <c r="D74" s="818" t="s">
        <v>642</v>
      </c>
      <c r="E74" s="895">
        <v>0.2</v>
      </c>
      <c r="F74" s="882">
        <v>30</v>
      </c>
    </row>
    <row r="75" spans="1:6" s="878" customFormat="1" ht="36">
      <c r="A75" s="882">
        <v>15</v>
      </c>
      <c r="B75" s="3261"/>
      <c r="C75" s="818" t="s">
        <v>643</v>
      </c>
      <c r="D75" s="818" t="s">
        <v>644</v>
      </c>
      <c r="E75" s="895">
        <v>0.2</v>
      </c>
      <c r="F75" s="882">
        <v>30</v>
      </c>
    </row>
    <row r="76" spans="1:6" s="878" customFormat="1" ht="36">
      <c r="A76" s="882">
        <v>16</v>
      </c>
      <c r="B76" s="3261" t="s">
        <v>645</v>
      </c>
      <c r="C76" s="818" t="s">
        <v>646</v>
      </c>
      <c r="D76" s="818" t="s">
        <v>647</v>
      </c>
      <c r="E76" s="895">
        <v>0.5</v>
      </c>
      <c r="F76" s="882">
        <v>80</v>
      </c>
    </row>
    <row r="77" spans="1:6" s="878" customFormat="1" ht="36">
      <c r="A77" s="882">
        <v>17</v>
      </c>
      <c r="B77" s="3261"/>
      <c r="C77" s="818" t="s">
        <v>648</v>
      </c>
      <c r="D77" s="818" t="s">
        <v>649</v>
      </c>
      <c r="E77" s="895">
        <v>0.5</v>
      </c>
      <c r="F77" s="882">
        <v>80</v>
      </c>
    </row>
    <row r="78" spans="1:6" s="878" customFormat="1" ht="36">
      <c r="A78" s="882">
        <v>18</v>
      </c>
      <c r="B78" s="3261"/>
      <c r="C78" s="818" t="s">
        <v>650</v>
      </c>
      <c r="D78" s="818" t="s">
        <v>651</v>
      </c>
      <c r="E78" s="895">
        <v>0.2</v>
      </c>
      <c r="F78" s="882">
        <v>30</v>
      </c>
    </row>
    <row r="79" spans="1:6" s="878" customFormat="1" ht="36">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60">
      <c r="A82" s="882">
        <v>22</v>
      </c>
      <c r="B82" s="3261"/>
      <c r="C82" s="818" t="s">
        <v>658</v>
      </c>
      <c r="D82" s="818" t="s">
        <v>659</v>
      </c>
      <c r="E82" s="895">
        <v>0.2</v>
      </c>
      <c r="F82" s="882">
        <v>30</v>
      </c>
    </row>
    <row r="83" spans="1:6" s="878" customFormat="1" ht="60">
      <c r="A83" s="882">
        <v>23</v>
      </c>
      <c r="B83" s="3261"/>
      <c r="C83" s="818" t="s">
        <v>660</v>
      </c>
      <c r="D83" s="818" t="s">
        <v>661</v>
      </c>
      <c r="E83" s="895">
        <v>0.2</v>
      </c>
      <c r="F83" s="882">
        <v>30</v>
      </c>
    </row>
    <row r="84" spans="1:6" s="878" customFormat="1" ht="48">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36">
      <c r="A89" s="882">
        <v>29</v>
      </c>
      <c r="B89" s="3261"/>
      <c r="C89" s="818" t="s">
        <v>672</v>
      </c>
      <c r="D89" s="818" t="s">
        <v>673</v>
      </c>
      <c r="E89" s="895">
        <v>0.2</v>
      </c>
      <c r="F89" s="882">
        <v>30</v>
      </c>
    </row>
    <row r="90" spans="1:6" s="878" customFormat="1" ht="36">
      <c r="A90" s="882">
        <v>30</v>
      </c>
      <c r="B90" s="3261"/>
      <c r="C90" s="818" t="s">
        <v>674</v>
      </c>
      <c r="D90" s="818" t="s">
        <v>675</v>
      </c>
      <c r="E90" s="895">
        <v>0.2</v>
      </c>
      <c r="F90" s="882">
        <v>30</v>
      </c>
    </row>
    <row r="91" spans="1:6" s="878" customFormat="1" ht="48">
      <c r="A91" s="882">
        <v>31</v>
      </c>
      <c r="B91" s="3261"/>
      <c r="C91" s="818" t="s">
        <v>676</v>
      </c>
      <c r="D91" s="818" t="s">
        <v>677</v>
      </c>
      <c r="E91" s="895">
        <v>0.2</v>
      </c>
      <c r="F91" s="882">
        <v>30</v>
      </c>
    </row>
    <row r="92" spans="1:6" s="878" customFormat="1" ht="36">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60">
      <c r="A94" s="882">
        <v>34</v>
      </c>
      <c r="B94" s="3261"/>
      <c r="C94" s="882" t="s">
        <v>683</v>
      </c>
      <c r="D94" s="818" t="s">
        <v>684</v>
      </c>
      <c r="E94" s="895">
        <v>0.2</v>
      </c>
      <c r="F94" s="882">
        <v>30</v>
      </c>
    </row>
    <row r="95" spans="1:6" s="878" customFormat="1" ht="48">
      <c r="A95" s="882">
        <v>35</v>
      </c>
      <c r="B95" s="3261"/>
      <c r="C95" s="882" t="s">
        <v>685</v>
      </c>
      <c r="D95" s="818" t="s">
        <v>686</v>
      </c>
      <c r="E95" s="895">
        <v>0.2</v>
      </c>
      <c r="F95" s="882">
        <v>30</v>
      </c>
    </row>
    <row r="96" spans="1:6" s="878" customFormat="1" ht="72">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36">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1" t="s">
        <v>708</v>
      </c>
      <c r="C105" s="882" t="s">
        <v>709</v>
      </c>
      <c r="D105" s="818" t="s">
        <v>710</v>
      </c>
      <c r="E105" s="895">
        <v>0.2</v>
      </c>
      <c r="F105" s="882">
        <v>30</v>
      </c>
    </row>
    <row r="106" spans="1:6" s="878" customFormat="1" ht="48">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48">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1" t="s">
        <v>724</v>
      </c>
      <c r="C111" s="882" t="s">
        <v>725</v>
      </c>
      <c r="D111" s="818" t="s">
        <v>726</v>
      </c>
      <c r="E111" s="895">
        <v>0.2</v>
      </c>
      <c r="F111" s="882">
        <v>30</v>
      </c>
    </row>
    <row r="112" spans="1:6" s="878" customFormat="1" ht="36">
      <c r="A112" s="882">
        <v>52</v>
      </c>
      <c r="B112" s="3261"/>
      <c r="C112" s="882" t="s">
        <v>727</v>
      </c>
      <c r="D112" s="818" t="s">
        <v>728</v>
      </c>
      <c r="E112" s="895">
        <v>0.2</v>
      </c>
      <c r="F112" s="882">
        <v>30</v>
      </c>
    </row>
    <row r="113" spans="1:6" s="878" customFormat="1" ht="36">
      <c r="A113" s="882">
        <v>53</v>
      </c>
      <c r="B113" s="326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6" t="s">
        <v>3002</v>
      </c>
    </row>
    <row r="2" spans="1:5" ht="15.6">
      <c r="A2" s="2915" t="s">
        <v>2994</v>
      </c>
      <c r="B2" s="2916" t="e">
        <f ca="1">SUMIF(B6:B13,"&lt;&gt;#ref!",B6:B13)</f>
        <v>#DIV/0!</v>
      </c>
      <c r="C2" s="2915" t="s">
        <v>2995</v>
      </c>
      <c r="D2" s="2915" t="s">
        <v>2996</v>
      </c>
      <c r="E2" s="2916">
        <f ca="1">SUMIF(E6:E13,"&lt;&gt;#ref!",E6:E13)</f>
        <v>0</v>
      </c>
    </row>
    <row r="3" spans="1:5" ht="15.6">
      <c r="A3" s="2915" t="s">
        <v>2997</v>
      </c>
      <c r="B3" s="2916" t="e">
        <f ca="1">ROUND(B2*10000/E2,0)</f>
        <v>#DIV/0!</v>
      </c>
      <c r="C3" s="2915" t="s">
        <v>3003</v>
      </c>
      <c r="D3" s="2917"/>
      <c r="E3" s="2917"/>
    </row>
    <row r="4" spans="1:5" ht="15.6">
      <c r="A4" s="2918"/>
      <c r="B4" s="2917"/>
      <c r="C4" s="2917"/>
      <c r="D4" s="2917"/>
      <c r="E4" s="2917"/>
    </row>
    <row r="5" spans="1:5" ht="31.2">
      <c r="A5" s="2919" t="s">
        <v>2998</v>
      </c>
      <c r="B5" s="2915" t="s">
        <v>2999</v>
      </c>
      <c r="C5" s="2916"/>
      <c r="D5" s="2917"/>
      <c r="E5" s="2915" t="s">
        <v>3000</v>
      </c>
    </row>
    <row r="6" spans="1:5" ht="15.6">
      <c r="A6" s="2920" t="s">
        <v>3001</v>
      </c>
      <c r="B6" s="2916" t="e">
        <f ca="1">SUMIF(INDIRECT("'"&amp;A6&amp;"'"&amp;"!A:A"),"总价",INDIRECT("'"&amp;A6&amp;"'"&amp;"!B:B"))</f>
        <v>#DIV/0!</v>
      </c>
      <c r="C6" s="2915" t="s">
        <v>2995</v>
      </c>
      <c r="D6" s="2917"/>
      <c r="E6" s="2580">
        <f ca="1">SUMIF(INDIRECT("'"&amp;A6&amp;"'"&amp;"!C:C"),"建筑面积",INDIRECT("'"&amp;A6&amp;"'"&amp;"!D:D"))</f>
        <v>0</v>
      </c>
    </row>
    <row r="7" spans="1:5" ht="15.6">
      <c r="A7" s="2920"/>
      <c r="B7" s="2916" t="e">
        <f ca="1">SUMIF(INDIRECT("'"&amp;A7&amp;"'"&amp;"!A:A"),"总价",INDIRECT("'"&amp;A7&amp;"'"&amp;"!B:B"))</f>
        <v>#REF!</v>
      </c>
      <c r="C7" s="2915" t="s">
        <v>2995</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2995</v>
      </c>
      <c r="D8" s="2917"/>
      <c r="E8" s="2580" t="e">
        <f t="shared" ca="1" si="0"/>
        <v>#REF!</v>
      </c>
    </row>
    <row r="9" spans="1:5" ht="15.6">
      <c r="A9" s="2920"/>
      <c r="B9" s="2916" t="e">
        <f t="shared" ca="1" si="1"/>
        <v>#REF!</v>
      </c>
      <c r="C9" s="2915" t="s">
        <v>2995</v>
      </c>
      <c r="D9" s="2917"/>
      <c r="E9" s="2580" t="e">
        <f t="shared" ca="1" si="0"/>
        <v>#REF!</v>
      </c>
    </row>
    <row r="10" spans="1:5" ht="15.6">
      <c r="A10" s="2920"/>
      <c r="B10" s="2916" t="e">
        <f t="shared" ca="1" si="1"/>
        <v>#REF!</v>
      </c>
      <c r="C10" s="2915" t="s">
        <v>2995</v>
      </c>
      <c r="D10" s="2917"/>
      <c r="E10" s="2580" t="e">
        <f t="shared" ca="1" si="0"/>
        <v>#REF!</v>
      </c>
    </row>
    <row r="11" spans="1:5" ht="15.6">
      <c r="A11" s="2920"/>
      <c r="B11" s="2916" t="e">
        <f t="shared" ca="1" si="1"/>
        <v>#REF!</v>
      </c>
      <c r="C11" s="2915" t="s">
        <v>2995</v>
      </c>
      <c r="D11" s="2917"/>
      <c r="E11" s="2580" t="e">
        <f t="shared" ca="1" si="0"/>
        <v>#REF!</v>
      </c>
    </row>
    <row r="12" spans="1:5" ht="15.6">
      <c r="A12" s="2920"/>
      <c r="B12" s="2916" t="e">
        <f t="shared" ca="1" si="1"/>
        <v>#REF!</v>
      </c>
      <c r="C12" s="2915" t="s">
        <v>2995</v>
      </c>
      <c r="D12" s="2917"/>
      <c r="E12" s="2580" t="e">
        <f t="shared" ca="1" si="0"/>
        <v>#REF!</v>
      </c>
    </row>
    <row r="13" spans="1:5" ht="15.6">
      <c r="A13" s="2920"/>
      <c r="B13" s="2916" t="e">
        <f t="shared" ca="1" si="1"/>
        <v>#REF!</v>
      </c>
      <c r="C13" s="2915" t="s">
        <v>2995</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7" t="s">
        <v>1146</v>
      </c>
      <c r="C1" s="3267"/>
      <c r="D1" s="3267"/>
      <c r="E1" s="3267"/>
      <c r="F1" s="3267"/>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3037</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8"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6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6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6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6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6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6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6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6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6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6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6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6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6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6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6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5">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66">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6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5">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66">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64"/>
      <c r="B4" s="2959" t="s">
        <v>1626</v>
      </c>
      <c r="C4" s="2959"/>
      <c r="D4" s="2959"/>
      <c r="E4" s="1964"/>
    </row>
    <row r="5" spans="1:5" ht="16.2" thickTop="1">
      <c r="A5" s="1962"/>
      <c r="B5" s="2957" t="s">
        <v>1618</v>
      </c>
      <c r="C5" s="1965" t="s">
        <v>1619</v>
      </c>
      <c r="D5" s="1043">
        <f ca="1">结果表!H101</f>
        <v>44216</v>
      </c>
      <c r="E5" s="1962"/>
    </row>
    <row r="6" spans="1:5" ht="15.6">
      <c r="A6" s="1962"/>
      <c r="B6" s="2957"/>
      <c r="C6" s="1965" t="s">
        <v>1620</v>
      </c>
      <c r="D6" s="1043" t="str">
        <f ca="1">NUMBERSTRING(INT(D5*10000),2)&amp;"元整"</f>
        <v>肆亿肆仟贰佰壹拾陆万元整</v>
      </c>
      <c r="E6" s="1962"/>
    </row>
    <row r="7" spans="1:5" ht="15.6">
      <c r="A7" s="1962"/>
      <c r="B7" s="2962"/>
      <c r="C7" s="1966" t="s">
        <v>1621</v>
      </c>
      <c r="D7" s="1044">
        <f ca="1">结果表!H102</f>
        <v>5665</v>
      </c>
      <c r="E7" s="1962"/>
    </row>
    <row r="8" spans="1:5" ht="15.6">
      <c r="A8" s="1962"/>
      <c r="B8" s="2963" t="str">
        <f>结果表!E103</f>
        <v>2.估价师知悉的法定优先受偿款</v>
      </c>
      <c r="C8" s="1967" t="s">
        <v>1622</v>
      </c>
      <c r="D8" s="1044">
        <f>结果表!H103</f>
        <v>0</v>
      </c>
      <c r="E8" s="1962"/>
    </row>
    <row r="9" spans="1:5" ht="15.6">
      <c r="A9" s="1962"/>
      <c r="B9" s="2965"/>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56" t="str">
        <f>结果表!E107</f>
        <v>3.房地产抵押价值</v>
      </c>
      <c r="C13" s="1970" t="s">
        <v>1619</v>
      </c>
      <c r="D13" s="1046">
        <f ca="1">结果表!H107</f>
        <v>44216</v>
      </c>
      <c r="E13" s="1962"/>
    </row>
    <row r="14" spans="1:5" ht="15.6">
      <c r="A14" s="1962"/>
      <c r="B14" s="2957"/>
      <c r="C14" s="1965" t="s">
        <v>1620</v>
      </c>
      <c r="D14" s="1043" t="str">
        <f ca="1">NUMBERSTRING(INT(D13*10000),2)&amp;"元整"</f>
        <v>肆亿肆仟贰佰壹拾陆万元整</v>
      </c>
      <c r="E14" s="1962"/>
    </row>
    <row r="15" spans="1:5" ht="15.6">
      <c r="A15" s="1962"/>
      <c r="B15" s="2962"/>
      <c r="C15" s="1966" t="s">
        <v>1630</v>
      </c>
      <c r="D15" s="1055">
        <f ca="1">结果表!H108</f>
        <v>5665</v>
      </c>
      <c r="E15" s="1962"/>
    </row>
    <row r="16" spans="1:5" ht="15.6">
      <c r="A16" s="1962"/>
      <c r="B16" s="2963" t="str">
        <f>结果表!E109</f>
        <v>——</v>
      </c>
      <c r="C16" s="1970" t="s">
        <v>1631</v>
      </c>
      <c r="D16" s="1971" t="str">
        <f>结果表!H109</f>
        <v>——</v>
      </c>
      <c r="E16" s="1962"/>
    </row>
    <row r="17" spans="1:5" ht="15.6">
      <c r="A17" s="1962"/>
      <c r="B17" s="2964"/>
      <c r="C17" s="1965" t="s">
        <v>1632</v>
      </c>
      <c r="D17" s="1043" t="e">
        <f>NUMBERSTRING(INT(D16*10000),2)&amp;"元整"</f>
        <v>#VALUE!</v>
      </c>
      <c r="E17" s="1962"/>
    </row>
    <row r="18" spans="1:5" ht="15.6">
      <c r="A18" s="1962"/>
      <c r="B18" s="2965"/>
      <c r="C18" s="1966" t="s">
        <v>1621</v>
      </c>
      <c r="D18" s="1055" t="str">
        <f>结果表!H110</f>
        <v>——</v>
      </c>
      <c r="E18" s="1962"/>
    </row>
    <row r="19" spans="1:5" ht="15.6">
      <c r="A19" s="1962"/>
      <c r="B19" s="2956" t="str">
        <f>结果表!E111</f>
        <v>——</v>
      </c>
      <c r="C19" s="1970" t="s">
        <v>1619</v>
      </c>
      <c r="D19" s="1044" t="str">
        <f>结果表!H111</f>
        <v>——</v>
      </c>
      <c r="E19" s="1962"/>
    </row>
    <row r="20" spans="1:5" ht="15.6">
      <c r="A20" s="1962"/>
      <c r="B20" s="2957"/>
      <c r="C20" s="1965" t="s">
        <v>1632</v>
      </c>
      <c r="D20" s="1043" t="e">
        <f>NUMBERSTRING(INT(D19*10000),2)&amp;"元整"</f>
        <v>#VALUE!</v>
      </c>
      <c r="E20" s="1962"/>
    </row>
    <row r="21" spans="1:5" ht="16.2" thickBot="1">
      <c r="A21" s="1962"/>
      <c r="B21" s="2958"/>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74" t="s">
        <v>3005</v>
      </c>
      <c r="D1" s="3275"/>
      <c r="E1" s="3275"/>
      <c r="F1" s="3275"/>
      <c r="G1" s="3275"/>
      <c r="H1" s="3275"/>
      <c r="I1" s="3275"/>
      <c r="J1" s="3275"/>
      <c r="K1" s="3275"/>
      <c r="L1" s="3275"/>
      <c r="M1" s="3275"/>
      <c r="N1" s="3275"/>
      <c r="O1" s="3275"/>
      <c r="P1" s="3275"/>
      <c r="Q1" s="3275"/>
      <c r="R1" s="3275"/>
      <c r="S1" s="3276"/>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5"/>
      <c r="F19" s="1795"/>
      <c r="G19" s="1795"/>
      <c r="H19" s="1283"/>
      <c r="I19" s="168"/>
      <c r="J19" s="168"/>
      <c r="K19" s="168"/>
      <c r="L19" s="168"/>
      <c r="M19" s="168"/>
      <c r="N19" s="168"/>
      <c r="O19" s="168"/>
      <c r="P19" s="168"/>
      <c r="Q19" s="168"/>
      <c r="R19" s="788"/>
      <c r="S19" s="138"/>
    </row>
    <row r="20" spans="1:45" ht="16.2" thickBot="1">
      <c r="A20" s="715" t="s">
        <v>3017</v>
      </c>
      <c r="B20" s="338" t="e">
        <f ca="1">IF(D20="——",S22,S22-F20)</f>
        <v>#REF!</v>
      </c>
      <c r="C20" s="168"/>
      <c r="D20" s="2924" t="s">
        <v>3018</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6" t="s">
        <v>33</v>
      </c>
      <c r="D22" s="3057"/>
      <c r="E22" s="3057"/>
      <c r="F22" s="3057"/>
      <c r="G22" s="3057"/>
      <c r="H22" s="3057"/>
      <c r="I22" s="3057"/>
      <c r="J22" s="3057"/>
      <c r="K22" s="3057"/>
      <c r="L22" s="3057"/>
      <c r="M22" s="3057"/>
      <c r="N22" s="3057"/>
      <c r="O22" s="3057"/>
      <c r="P22" s="3057"/>
      <c r="Q22" s="327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64539</v>
      </c>
      <c r="C2" s="2" t="s">
        <v>133</v>
      </c>
      <c r="D2" s="243"/>
      <c r="E2" s="243"/>
      <c r="F2" s="243"/>
      <c r="G2" s="243"/>
    </row>
    <row r="3" spans="1:7" s="244" customFormat="1" ht="18" customHeight="1" thickBot="1">
      <c r="A3" s="247" t="s">
        <v>85</v>
      </c>
      <c r="B3" s="248">
        <f ca="1">ROUND(B2*10000/'数据-汇总表'!E3,0)</f>
        <v>8268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30</v>
      </c>
      <c r="F9" s="265"/>
      <c r="G9" s="270"/>
    </row>
    <row r="10" spans="1:7" s="258" customFormat="1" ht="13.5" customHeight="1">
      <c r="A10" s="953" t="s">
        <v>801</v>
      </c>
      <c r="B10" s="268" t="s">
        <v>94</v>
      </c>
      <c r="C10" s="269">
        <f>ROUND(D10*E10/10000,0)</f>
        <v>624</v>
      </c>
      <c r="D10" s="1035">
        <f>'数据-汇总表'!E6</f>
        <v>78054.290000000008</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1561</v>
      </c>
      <c r="D19" s="1039">
        <f>'数据-汇总表'!E3</f>
        <v>78054.290000000008</v>
      </c>
      <c r="E19" s="255">
        <f>'数据-取费表'!B31</f>
        <v>200</v>
      </c>
      <c r="F19" s="275"/>
      <c r="G19" s="1" t="s">
        <v>1071</v>
      </c>
    </row>
    <row r="20" spans="1:7" s="258" customFormat="1" ht="13.5" customHeight="1">
      <c r="A20" s="951" t="s">
        <v>1054</v>
      </c>
      <c r="B20" s="254" t="s">
        <v>104</v>
      </c>
      <c r="C20" s="276">
        <f>ROUND((C5+C19)*F20,0)</f>
        <v>443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2753</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2535</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192</v>
      </c>
      <c r="D24" s="282"/>
      <c r="E24" s="282"/>
      <c r="F24" s="283"/>
      <c r="G24" s="284" t="s">
        <v>109</v>
      </c>
    </row>
    <row r="25" spans="1:7" s="258" customFormat="1" ht="24">
      <c r="A25" s="954" t="s">
        <v>793</v>
      </c>
      <c r="B25" s="259" t="s">
        <v>1055</v>
      </c>
      <c r="C25" s="1358">
        <f ca="1">ROUND(IF('数据-取费表'!B22&lt;=1,C20*F22*'数据-取费表'!B23/2,C20*(POWER((1+F22),'数据-取费表'!B23/2)-1)),0)</f>
        <v>26</v>
      </c>
      <c r="D25" s="282"/>
      <c r="E25" s="285"/>
      <c r="F25" s="283"/>
      <c r="G25" s="286" t="s">
        <v>110</v>
      </c>
    </row>
    <row r="26" spans="1:7" s="258" customFormat="1">
      <c r="A26" s="954" t="s">
        <v>795</v>
      </c>
      <c r="B26" s="259" t="s">
        <v>1057</v>
      </c>
      <c r="C26" s="282">
        <f ca="1">ROUND(IF('数据-取费表'!B22&lt;=1,F21*F22*'数据-取费表'!B23/2,F21*(POWER((1+F22),'数据-取费表'!B23/2)-1)),4)</f>
        <v>1.1999999999999999E-3</v>
      </c>
      <c r="D26" s="282"/>
      <c r="E26" s="285"/>
      <c r="F26" s="283"/>
      <c r="G26" s="287"/>
    </row>
    <row r="27" spans="1:7" s="258" customFormat="1" ht="26.4">
      <c r="A27" s="951" t="s">
        <v>787</v>
      </c>
      <c r="B27" s="288" t="s">
        <v>112</v>
      </c>
      <c r="C27" s="289">
        <f>C28</f>
        <v>3769</v>
      </c>
      <c r="D27" s="279">
        <f>C29</f>
        <v>3.3E-3</v>
      </c>
      <c r="E27" s="280" t="s">
        <v>126</v>
      </c>
      <c r="F27" s="290">
        <f>'数据-取费表'!Q16</f>
        <v>0.2</v>
      </c>
      <c r="G27" s="291" t="s">
        <v>1066</v>
      </c>
    </row>
    <row r="28" spans="1:7" s="258" customFormat="1" ht="13.5" customHeight="1">
      <c r="A28" s="954" t="s">
        <v>794</v>
      </c>
      <c r="B28" s="292" t="s">
        <v>1059</v>
      </c>
      <c r="C28" s="293">
        <f>ROUND((C5+C19+C20)*F27*'数据-取费表'!B21/'数据-取费表'!B20,0)</f>
        <v>3769</v>
      </c>
      <c r="D28" s="279"/>
      <c r="E28" s="280"/>
      <c r="F28" s="290"/>
      <c r="G28" s="291"/>
    </row>
    <row r="29" spans="1:7" s="258" customFormat="1" ht="13.5" customHeight="1">
      <c r="A29" s="954" t="s">
        <v>792</v>
      </c>
      <c r="B29" s="292" t="s">
        <v>1060</v>
      </c>
      <c r="C29" s="282">
        <f>ROUND(C21*F27*'数据-取费表'!B21/'数据-取费表'!B20,4)</f>
        <v>3.3E-3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31595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23625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21063</v>
      </c>
      <c r="D34" s="261"/>
      <c r="E34" s="264"/>
      <c r="F34" s="301">
        <f>IF('数据-取费表'!B24=0,1,'数据-取费表'!N16)</f>
        <v>0.76400000000000001</v>
      </c>
      <c r="G34" s="263" t="s">
        <v>116</v>
      </c>
    </row>
    <row r="35" spans="1:7" ht="13.5" customHeight="1">
      <c r="A35" s="954" t="s">
        <v>796</v>
      </c>
      <c r="B35" s="259" t="s">
        <v>60</v>
      </c>
      <c r="C35" s="264">
        <f>ROUND(C34*F35,0)</f>
        <v>1053</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1193</v>
      </c>
      <c r="D37" s="261">
        <f>'数据-汇总表'!E3</f>
        <v>78054.290000000008</v>
      </c>
      <c r="E37" s="293">
        <f>'数据-取费表'!B35</f>
        <v>200</v>
      </c>
      <c r="F37" s="303"/>
      <c r="G37" s="305" t="s">
        <v>119</v>
      </c>
    </row>
    <row r="38" spans="1:7" ht="13.5" customHeight="1">
      <c r="A38" s="954" t="s">
        <v>799</v>
      </c>
      <c r="B38" s="259" t="s">
        <v>63</v>
      </c>
      <c r="C38" s="264">
        <f>ROUND(C34*F38,0)</f>
        <v>316</v>
      </c>
      <c r="D38" s="264"/>
      <c r="E38" s="264"/>
      <c r="F38" s="303">
        <f>'数据-取费表'!B36</f>
        <v>1.4999999999999999E-2</v>
      </c>
      <c r="G38" s="263" t="s">
        <v>117</v>
      </c>
    </row>
    <row r="39" spans="1:7" s="258" customFormat="1" ht="13.5" customHeight="1">
      <c r="A39" s="951" t="s">
        <v>783</v>
      </c>
      <c r="B39" s="254" t="s">
        <v>104</v>
      </c>
      <c r="C39" s="276">
        <f>ROUND(C33*F20,0)</f>
        <v>473</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1439</v>
      </c>
      <c r="D41" s="279">
        <f ca="1">C44</f>
        <v>1.1999999999999999E-3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1411</v>
      </c>
      <c r="D42" s="282"/>
      <c r="E42" s="282"/>
      <c r="F42" s="283"/>
      <c r="G42" s="3141" t="s">
        <v>121</v>
      </c>
    </row>
    <row r="43" spans="1:7" ht="13.5" customHeight="1">
      <c r="A43" s="954" t="s">
        <v>792</v>
      </c>
      <c r="B43" s="259" t="s">
        <v>1061</v>
      </c>
      <c r="C43" s="282">
        <f ca="1">ROUND(IF('数据-取费表'!B22&lt;=1,C39*F22*'数据-取费表'!B21/2,C39*(POWER((1+F22),'数据-取费表'!B21/2)-1)),0)</f>
        <v>28</v>
      </c>
      <c r="D43" s="282"/>
      <c r="E43" s="282"/>
      <c r="F43" s="283"/>
      <c r="G43" s="3142"/>
    </row>
    <row r="44" spans="1:7" ht="13.5" customHeight="1">
      <c r="A44" s="954" t="s">
        <v>793</v>
      </c>
      <c r="B44" s="259" t="s">
        <v>1063</v>
      </c>
      <c r="C44" s="282">
        <f ca="1">ROUND(IF('数据-取费表'!B22&lt;=1,C40*F22*'数据-取费表'!B21/2,C40*(POWER((1+F22),'数据-取费表'!B21/2)-1)),4)</f>
        <v>1.1999999999999999E-3</v>
      </c>
      <c r="D44" s="282"/>
      <c r="E44" s="282"/>
      <c r="F44" s="283"/>
      <c r="G44" s="3143"/>
    </row>
    <row r="45" spans="1:7" s="258" customFormat="1" ht="13.5" customHeight="1">
      <c r="A45" s="951" t="s">
        <v>786</v>
      </c>
      <c r="B45" s="288" t="s">
        <v>112</v>
      </c>
      <c r="C45" s="289">
        <f>C46</f>
        <v>4820</v>
      </c>
      <c r="D45" s="279">
        <f>C47</f>
        <v>4.0000000000000001E-3</v>
      </c>
      <c r="E45" s="280" t="s">
        <v>129</v>
      </c>
      <c r="F45" s="290"/>
      <c r="G45" s="291" t="s">
        <v>1069</v>
      </c>
    </row>
    <row r="46" spans="1:7" s="258" customFormat="1" ht="13.5" customHeight="1">
      <c r="A46" s="954" t="s">
        <v>794</v>
      </c>
      <c r="B46" s="292" t="s">
        <v>1062</v>
      </c>
      <c r="C46" s="293">
        <f>ROUND((C33+C39)*F27,0)</f>
        <v>4820</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32944</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32944</v>
      </c>
      <c r="D51" s="276"/>
      <c r="E51" s="276"/>
      <c r="F51" s="308"/>
      <c r="G51" s="278" t="s">
        <v>64</v>
      </c>
    </row>
    <row r="52" spans="1:7" s="252" customFormat="1" ht="16.8" thickBot="1">
      <c r="A52" s="309" t="s">
        <v>65</v>
      </c>
      <c r="B52" s="310"/>
      <c r="C52" s="311">
        <f ca="1">C31+C51</f>
        <v>64539</v>
      </c>
      <c r="D52" s="310"/>
      <c r="E52" s="310"/>
      <c r="F52" s="310"/>
      <c r="G52" s="312"/>
    </row>
    <row r="55" spans="1:7" ht="15">
      <c r="B55" s="314" t="s">
        <v>66</v>
      </c>
      <c r="C55" s="315"/>
    </row>
    <row r="56" spans="1:7">
      <c r="B56" s="317" t="s">
        <v>67</v>
      </c>
      <c r="C56" s="318">
        <f ca="1">ROUND(C51/C52,3)</f>
        <v>0.51</v>
      </c>
    </row>
    <row r="57" spans="1:7">
      <c r="B57" s="317" t="s">
        <v>68</v>
      </c>
      <c r="C57" s="319">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7" t="s">
        <v>868</v>
      </c>
      <c r="B1" s="3277"/>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43556</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1637</v>
      </c>
      <c r="B2" s="2967" t="s">
        <v>1638</v>
      </c>
      <c r="C2" s="2967" t="s">
        <v>1639</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6">
      <c r="A3" s="2968"/>
      <c r="B3" s="2968"/>
      <c r="C3" s="2968"/>
      <c r="D3" s="1047" t="s">
        <v>1634</v>
      </c>
      <c r="E3" s="1047" t="s">
        <v>1640</v>
      </c>
      <c r="F3" s="1047" t="s">
        <v>1634</v>
      </c>
      <c r="G3" s="1047" t="s">
        <v>1635</v>
      </c>
      <c r="H3" s="1047" t="s">
        <v>1634</v>
      </c>
      <c r="I3" s="1047" t="s">
        <v>1635</v>
      </c>
    </row>
    <row r="4" spans="1:9" ht="60">
      <c r="A4" s="1976" t="str">
        <f>项目基本情况!S2</f>
        <v>浙江省嘉兴市海宁市尖山新区闻澜路南侧、静夜路西侧出让国有建设用地使用权及在建建筑物房地产</v>
      </c>
      <c r="B4" s="1047">
        <f>项目基本情况!C17</f>
        <v>78054.290000000008</v>
      </c>
      <c r="C4" s="1047">
        <f>项目基本情况!C18</f>
        <v>40694</v>
      </c>
      <c r="D4" s="1047" t="e">
        <f ca="1">结果表!D118</f>
        <v>#REF!</v>
      </c>
      <c r="E4" s="1047" t="e">
        <f ca="1">结果表!E118</f>
        <v>#REF!</v>
      </c>
      <c r="F4" s="1047" t="e">
        <f ca="1">结果表!F118</f>
        <v>#REF!</v>
      </c>
      <c r="G4" s="1047" t="e">
        <f ca="1">结果表!G118</f>
        <v>#REF!</v>
      </c>
      <c r="H4" s="1047">
        <f ca="1">结果表!H118</f>
        <v>44216</v>
      </c>
      <c r="I4" s="1047">
        <f ca="1">结果表!I118</f>
        <v>5665</v>
      </c>
    </row>
    <row r="5" spans="1:9" ht="30" customHeight="1">
      <c r="A5" s="2968" t="s">
        <v>1636</v>
      </c>
      <c r="B5" s="2968"/>
      <c r="C5" s="2968"/>
      <c r="D5" s="2969" t="e">
        <f ca="1">结果表!D119</f>
        <v>#REF!</v>
      </c>
      <c r="E5" s="2969"/>
      <c r="F5" s="2969" t="e">
        <f ca="1">结果表!F119</f>
        <v>#REF!</v>
      </c>
      <c r="G5" s="2969"/>
      <c r="H5" s="2969" t="str">
        <f ca="1">结果表!H119</f>
        <v>肆亿肆仟贰佰壹拾陆万元整</v>
      </c>
      <c r="I5" s="2969"/>
    </row>
    <row r="6" spans="1:9" ht="15.6">
      <c r="A6" s="2970" t="str">
        <f>结果表!A120</f>
        <v>估价师知悉的法定优先受偿款</v>
      </c>
      <c r="B6" s="2970"/>
      <c r="C6" s="2970"/>
      <c r="D6" s="2970">
        <f>结果表!D120</f>
        <v>0</v>
      </c>
      <c r="E6" s="2970"/>
      <c r="F6" s="2970"/>
      <c r="G6" s="2970"/>
      <c r="H6" s="2970"/>
      <c r="I6" s="2970"/>
    </row>
    <row r="7" spans="1:9" ht="15">
      <c r="A7" s="2968" t="s">
        <v>1636</v>
      </c>
      <c r="B7" s="2968"/>
      <c r="C7" s="2968"/>
      <c r="D7" s="2971" t="str">
        <f>结果表!D121</f>
        <v>零元整</v>
      </c>
      <c r="E7" s="2972"/>
      <c r="F7" s="2972"/>
      <c r="G7" s="2972"/>
      <c r="H7" s="2972"/>
      <c r="I7" s="2973"/>
    </row>
    <row r="8" spans="1:9" ht="15.6">
      <c r="A8" s="2970" t="str">
        <f>结果表!A122</f>
        <v>房地产抵押价值</v>
      </c>
      <c r="B8" s="2970"/>
      <c r="C8" s="2970"/>
      <c r="D8" s="2970">
        <f ca="1">结果表!D122</f>
        <v>44216</v>
      </c>
      <c r="E8" s="2970"/>
      <c r="F8" s="2970"/>
      <c r="G8" s="2970"/>
      <c r="H8" s="2970"/>
      <c r="I8" s="2970"/>
    </row>
    <row r="9" spans="1:9" ht="15">
      <c r="A9" s="2968" t="s">
        <v>1636</v>
      </c>
      <c r="B9" s="2968"/>
      <c r="C9" s="2968"/>
      <c r="D9" s="2969" t="str">
        <f ca="1">结果表!D123</f>
        <v>肆亿肆仟贰佰壹拾陆万元整</v>
      </c>
      <c r="E9" s="2969"/>
      <c r="F9" s="2969"/>
      <c r="G9" s="2969"/>
      <c r="H9" s="2969"/>
      <c r="I9" s="2969"/>
    </row>
    <row r="10" spans="1:9" ht="15.6">
      <c r="A10" s="2970" t="str">
        <f>结果表!A124</f>
        <v/>
      </c>
      <c r="B10" s="2970"/>
      <c r="C10" s="2970"/>
      <c r="D10" s="2970" t="str">
        <f>结果表!D124</f>
        <v>——</v>
      </c>
      <c r="E10" s="2970"/>
      <c r="F10" s="2970"/>
      <c r="G10" s="2970"/>
      <c r="H10" s="2970"/>
      <c r="I10" s="2970"/>
    </row>
    <row r="11" spans="1:9" ht="15">
      <c r="A11" s="2968" t="s">
        <v>1636</v>
      </c>
      <c r="B11" s="2968"/>
      <c r="C11" s="2968"/>
      <c r="D11" s="2969" t="e">
        <f>结果表!D125</f>
        <v>#VALUE!</v>
      </c>
      <c r="E11" s="2969"/>
      <c r="F11" s="2969"/>
      <c r="G11" s="2969"/>
      <c r="H11" s="2969"/>
      <c r="I11" s="2969"/>
    </row>
    <row r="12" spans="1:9" ht="15.6">
      <c r="A12" s="2970" t="str">
        <f>结果表!A126</f>
        <v/>
      </c>
      <c r="B12" s="2970"/>
      <c r="C12" s="2970"/>
      <c r="D12" s="2970" t="str">
        <f>结果表!D126</f>
        <v>——</v>
      </c>
      <c r="E12" s="2970"/>
      <c r="F12" s="2970"/>
      <c r="G12" s="2970"/>
      <c r="H12" s="2970"/>
      <c r="I12" s="2970"/>
    </row>
    <row r="13" spans="1:9" ht="15.6" thickBot="1">
      <c r="A13" s="2974" t="s">
        <v>1636</v>
      </c>
      <c r="B13" s="2974"/>
      <c r="C13" s="2974"/>
      <c r="D13" s="2975" t="e">
        <f>结果表!D127</f>
        <v>#VALUE!</v>
      </c>
      <c r="E13" s="2975"/>
      <c r="F13" s="2975"/>
      <c r="G13" s="2975"/>
      <c r="H13" s="2975"/>
      <c r="I13" s="2975"/>
    </row>
    <row r="14" spans="1:9" ht="14.4" thickTop="1">
      <c r="A14" s="2976" t="s">
        <v>1641</v>
      </c>
      <c r="B14" s="2976"/>
      <c r="C14" s="2976"/>
      <c r="D14" s="2976"/>
      <c r="E14" s="2976"/>
      <c r="F14" s="2976"/>
      <c r="G14" s="2976"/>
      <c r="H14" s="2976"/>
      <c r="I14" s="2976"/>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7" t="s">
        <v>1658</v>
      </c>
      <c r="B1" s="2977"/>
      <c r="C1" s="2977"/>
      <c r="D1" s="2977"/>
    </row>
    <row r="2" spans="1:4" ht="17.399999999999999">
      <c r="A2" s="2978" t="s">
        <v>1642</v>
      </c>
      <c r="B2" s="2978"/>
      <c r="C2" s="2978"/>
      <c r="D2" s="2978"/>
    </row>
    <row r="3" spans="1:4" ht="17.399999999999999">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7.399999999999999">
      <c r="A6" s="2978" t="s">
        <v>1648</v>
      </c>
      <c r="B6" s="2978"/>
      <c r="C6" s="2978"/>
      <c r="D6" s="2978"/>
    </row>
    <row r="7" spans="1:4" ht="17.399999999999999">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7.399999999999999">
      <c r="A10" s="1987" t="s">
        <v>1650</v>
      </c>
      <c r="B10" s="728"/>
      <c r="C10" s="728"/>
      <c r="D10" s="728"/>
    </row>
    <row r="11" spans="1:4" ht="30" customHeight="1">
      <c r="A11" s="2979" t="s">
        <v>1651</v>
      </c>
      <c r="B11" s="2980"/>
      <c r="C11" s="2980"/>
      <c r="D11" s="2980"/>
    </row>
    <row r="12" spans="1:4" ht="15.6">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1652</v>
      </c>
      <c r="B16" s="2983"/>
      <c r="C16" s="2983"/>
      <c r="D16" s="2983"/>
    </row>
    <row r="17" spans="1:4" ht="144" customHeight="1">
      <c r="A17" s="2983" t="s">
        <v>1653</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1654</v>
      </c>
      <c r="B22" s="2985"/>
      <c r="C22" s="2985"/>
      <c r="D22" s="2985"/>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2991" t="s">
        <v>1665</v>
      </c>
      <c r="B15" s="2986" t="s">
        <v>136</v>
      </c>
      <c r="C15" s="2987"/>
    </row>
    <row r="16" spans="1:7" ht="14.4">
      <c r="A16" s="2992"/>
      <c r="B16" s="2986" t="s">
        <v>69</v>
      </c>
      <c r="C16" s="2987"/>
    </row>
    <row r="17" spans="1:3" ht="14.4">
      <c r="A17" s="2992"/>
      <c r="B17" s="2989" t="s">
        <v>1666</v>
      </c>
      <c r="C17" s="2003" t="s">
        <v>1665</v>
      </c>
    </row>
    <row r="18" spans="1:3" ht="14.4">
      <c r="A18" s="2992"/>
      <c r="B18" s="2989"/>
      <c r="C18" s="2003" t="s">
        <v>1667</v>
      </c>
    </row>
    <row r="19" spans="1:3" ht="14.4">
      <c r="A19" s="2992"/>
      <c r="B19" s="2989"/>
      <c r="C19" s="2003" t="s">
        <v>1668</v>
      </c>
    </row>
    <row r="20" spans="1:3" ht="14.4">
      <c r="A20" s="2993"/>
      <c r="B20" s="2988" t="s">
        <v>1669</v>
      </c>
      <c r="C20" s="2987"/>
    </row>
    <row r="21" spans="1:3" ht="14.4">
      <c r="A21" s="2004" t="s">
        <v>1670</v>
      </c>
      <c r="B21" s="2005"/>
      <c r="C21" s="2006"/>
    </row>
    <row r="22" spans="1:3" ht="14.4">
      <c r="A22" s="2990" t="s">
        <v>1671</v>
      </c>
      <c r="B22" s="2988" t="s">
        <v>1672</v>
      </c>
      <c r="C22" s="2987"/>
    </row>
    <row r="23" spans="1:3" ht="14.4">
      <c r="A23" s="2990"/>
      <c r="B23" s="2988" t="s">
        <v>1673</v>
      </c>
      <c r="C23" s="2987"/>
    </row>
    <row r="24" spans="1:3" ht="14.4">
      <c r="A24" s="2990"/>
      <c r="B24" s="2988" t="s">
        <v>1674</v>
      </c>
      <c r="C24" s="2987"/>
    </row>
    <row r="25" spans="1:3" ht="14.4">
      <c r="A25" s="2990"/>
      <c r="B25" s="2989" t="s">
        <v>1675</v>
      </c>
      <c r="C25" s="2003" t="s">
        <v>1676</v>
      </c>
    </row>
    <row r="26" spans="1:3" ht="14.4">
      <c r="A26" s="2990"/>
      <c r="B26" s="2989"/>
      <c r="C26" s="2003" t="s">
        <v>1677</v>
      </c>
    </row>
    <row r="27" spans="1:3" ht="14.4">
      <c r="A27" s="2990"/>
      <c r="B27" s="2989"/>
      <c r="C27" s="2003" t="s">
        <v>1678</v>
      </c>
    </row>
    <row r="28" spans="1:3" ht="14.4">
      <c r="A28" s="2990"/>
      <c r="B28" s="2989"/>
      <c r="C28" s="2003" t="s">
        <v>1679</v>
      </c>
    </row>
    <row r="29" spans="1:3" ht="14.4">
      <c r="A29" s="2990"/>
      <c r="B29" s="2989"/>
      <c r="C29" s="2003" t="s">
        <v>1680</v>
      </c>
    </row>
    <row r="30" spans="1:3" ht="14.4">
      <c r="A30" s="2990"/>
      <c r="B30" s="2989"/>
      <c r="C30" s="2003" t="s">
        <v>1681</v>
      </c>
    </row>
    <row r="31" spans="1:3" ht="14.4">
      <c r="A31" s="2990"/>
      <c r="B31" s="2989"/>
      <c r="C31" s="2003" t="s">
        <v>1682</v>
      </c>
    </row>
    <row r="32" spans="1:3" ht="14.4">
      <c r="A32" s="2990"/>
      <c r="B32" s="2989"/>
      <c r="C32" s="2003" t="s">
        <v>1683</v>
      </c>
    </row>
    <row r="33" spans="1:3" ht="14.4">
      <c r="A33" s="2990"/>
      <c r="B33" s="2989"/>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43566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3045</v>
      </c>
      <c r="B14" s="1025">
        <f ca="1">IF(C14&lt;B2,"已过期",1120040230)</f>
        <v>1120040230</v>
      </c>
      <c r="C14" s="2350">
        <v>43835</v>
      </c>
      <c r="D14" s="2353" t="s">
        <v>3045</v>
      </c>
      <c r="E14" s="1025">
        <f ca="1">IF(F14&lt;B2,"已过期",98030020)</f>
        <v>98030020</v>
      </c>
      <c r="F14" s="1033">
        <v>47118</v>
      </c>
    </row>
    <row r="15" spans="1:6" ht="24" customHeight="1">
      <c r="A15" s="1706" t="s">
        <v>3046</v>
      </c>
      <c r="B15" s="1025">
        <f ca="1">IF(C15&lt;B2,"已过期",1120070085)</f>
        <v>1120070085</v>
      </c>
      <c r="C15" s="2350">
        <v>43814</v>
      </c>
      <c r="D15" s="2354" t="s">
        <v>3046</v>
      </c>
      <c r="E15" s="1025">
        <f ca="1">IF(F15&lt;B2,"已过期",2004110128)</f>
        <v>2004110128</v>
      </c>
      <c r="F15" s="1026">
        <v>47118</v>
      </c>
    </row>
    <row r="16" spans="1:6" ht="24" customHeight="1">
      <c r="A16" s="1705" t="s">
        <v>3047</v>
      </c>
      <c r="B16" s="1025">
        <f ca="1">IF(C16&lt;B2,"已过期",1120140022)</f>
        <v>1120140022</v>
      </c>
      <c r="C16" s="2941">
        <v>44029</v>
      </c>
      <c r="D16" s="2353" t="s">
        <v>3047</v>
      </c>
      <c r="E16" s="1025">
        <f ca="1">IF(F16&lt;B2,"已过期",2008110059)</f>
        <v>2008110059</v>
      </c>
      <c r="F16" s="1033">
        <v>47177</v>
      </c>
    </row>
    <row r="17" spans="1:7" ht="24" customHeight="1">
      <c r="A17" s="1705"/>
      <c r="B17" s="1025"/>
      <c r="C17" s="2350"/>
      <c r="D17" s="2353" t="s">
        <v>3048</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2994" t="s">
        <v>843</v>
      </c>
      <c r="B25" s="2994"/>
      <c r="C25" s="2994"/>
      <c r="D25" s="2994"/>
      <c r="E25" s="2994"/>
      <c r="F25" s="2994"/>
      <c r="G25" s="2994"/>
    </row>
    <row r="26" spans="1:7" s="1028" customFormat="1" ht="24" customHeight="1">
      <c r="A26" s="2995" t="s">
        <v>844</v>
      </c>
      <c r="B26" s="2995"/>
      <c r="C26" s="2996"/>
      <c r="D26" s="2997" t="s">
        <v>845</v>
      </c>
      <c r="E26" s="2995"/>
      <c r="F26" s="2995"/>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2019-04-11T06:49:11Z</dcterms:modified>
</cp:coreProperties>
</file>