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62" i="43" l="1"/>
  <c r="G63" i="43"/>
  <c r="G64" i="43"/>
  <c r="G65" i="43"/>
  <c r="G66" i="43"/>
  <c r="G67" i="43"/>
  <c r="G68" i="43"/>
  <c r="G69" i="43"/>
  <c r="G61" i="43"/>
  <c r="D33" i="43"/>
  <c r="N21" i="1"/>
  <c r="N6" i="1" s="1"/>
  <c r="Y6" i="1" s="1"/>
  <c r="N19" i="1"/>
  <c r="F19" i="6"/>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165" i="3"/>
  <c r="E16" i="3"/>
  <c r="E536" i="3"/>
  <c r="E244" i="3"/>
  <c r="E188" i="3"/>
  <c r="E148" i="3"/>
  <c r="E149" i="3"/>
  <c r="E223" i="3"/>
  <c r="E212" i="3"/>
  <c r="E167" i="3"/>
  <c r="E116" i="3"/>
  <c r="E199" i="3"/>
  <c r="E141" i="3"/>
  <c r="E105" i="3"/>
  <c r="E286" i="3"/>
  <c r="E312" i="3"/>
  <c r="E393" i="3"/>
  <c r="E575" i="3"/>
  <c r="AD6" i="3"/>
  <c r="E493" i="3"/>
  <c r="E499" i="3"/>
  <c r="E542" i="3"/>
  <c r="E564" i="3"/>
  <c r="R6" i="3"/>
  <c r="E552" i="3"/>
  <c r="E543" i="3"/>
  <c r="E502" i="3"/>
  <c r="E421" i="3"/>
  <c r="E427" i="3"/>
  <c r="E442" i="3"/>
  <c r="E464" i="3"/>
  <c r="E486" i="3"/>
  <c r="E466" i="3"/>
  <c r="E487" i="3"/>
  <c r="E507" i="3"/>
  <c r="E541" i="3"/>
  <c r="E398" i="3"/>
  <c r="E422" i="3"/>
  <c r="E430" i="3"/>
  <c r="E416" i="3"/>
  <c r="E440" i="3"/>
  <c r="E449" i="3"/>
  <c r="E459" i="3"/>
  <c r="E490" i="3"/>
  <c r="E255" i="3"/>
  <c r="E374" i="3"/>
  <c r="E376" i="3"/>
  <c r="I3" i="6"/>
  <c r="E566" i="3"/>
  <c r="AH6" i="3"/>
  <c r="AP6" i="3"/>
  <c r="E500" i="3"/>
  <c r="J6" i="3"/>
  <c r="E554" i="3"/>
  <c r="E582" i="3"/>
  <c r="E498" i="3"/>
  <c r="E517" i="3"/>
  <c r="E413" i="3"/>
  <c r="E419" i="3"/>
  <c r="E435" i="3"/>
  <c r="E460" i="3"/>
  <c r="E483" i="3"/>
  <c r="E491" i="3"/>
  <c r="E520" i="3"/>
  <c r="E401" i="3"/>
  <c r="E417" i="3"/>
  <c r="E436" i="3"/>
  <c r="E463" i="3"/>
  <c r="E479" i="3"/>
  <c r="E39" i="3"/>
  <c r="E40" i="3"/>
  <c r="E56" i="3"/>
  <c r="E90" i="3"/>
  <c r="E25" i="3"/>
  <c r="E37" i="3"/>
  <c r="E57" i="3"/>
  <c r="E108" i="3"/>
  <c r="E95" i="3"/>
  <c r="E131" i="3"/>
  <c r="E178" i="3"/>
  <c r="E152" i="3"/>
  <c r="E187" i="3"/>
  <c r="E119" i="3"/>
  <c r="E132" i="3"/>
  <c r="E155" i="3"/>
  <c r="E202" i="3"/>
  <c r="E192" i="3"/>
  <c r="E240" i="3"/>
  <c r="E242" i="3"/>
  <c r="E258" i="3"/>
  <c r="E297" i="3"/>
  <c r="E226" i="3"/>
  <c r="E241" i="3"/>
  <c r="E259" i="3"/>
  <c r="E276" i="3"/>
  <c r="E292" i="3"/>
  <c r="E348" i="3"/>
  <c r="E346" i="3"/>
  <c r="E363" i="3"/>
  <c r="E378" i="3"/>
  <c r="E333" i="3"/>
  <c r="E349" i="3"/>
  <c r="E375" i="3"/>
  <c r="E372" i="3"/>
  <c r="E389" i="3"/>
  <c r="E504" i="3"/>
  <c r="L6" i="3"/>
  <c r="E544" i="3"/>
  <c r="E58" i="3"/>
  <c r="E60" i="3"/>
  <c r="E76" i="3"/>
  <c r="E110" i="3"/>
  <c r="E43" i="3"/>
  <c r="E59" i="3"/>
  <c r="E488" i="3"/>
  <c r="E540" i="3"/>
  <c r="E409" i="3"/>
  <c r="E462" i="3"/>
  <c r="E473" i="3"/>
  <c r="E484" i="3"/>
  <c r="E521" i="3"/>
  <c r="E15" i="3"/>
  <c r="E425" i="3"/>
  <c r="E446" i="3"/>
  <c r="E455" i="3"/>
  <c r="E467" i="3"/>
  <c r="E47" i="3"/>
  <c r="E79" i="3"/>
  <c r="E64" i="3"/>
  <c r="E98" i="3"/>
  <c r="E38" i="3"/>
  <c r="E46" i="3"/>
  <c r="E65" i="3"/>
  <c r="E100" i="3"/>
  <c r="E103" i="3"/>
  <c r="E138" i="3"/>
  <c r="E170" i="3"/>
  <c r="E160" i="3"/>
  <c r="E195" i="3"/>
  <c r="E137" i="3"/>
  <c r="E142" i="3"/>
  <c r="E163" i="3"/>
  <c r="E194" i="3"/>
  <c r="E200" i="3"/>
  <c r="E248" i="3"/>
  <c r="E234" i="3"/>
  <c r="E267" i="3"/>
  <c r="E209" i="3"/>
  <c r="E219" i="3"/>
  <c r="E249" i="3"/>
  <c r="E266" i="3"/>
  <c r="E299" i="3"/>
  <c r="E300" i="3"/>
  <c r="E307" i="3"/>
  <c r="E339" i="3"/>
  <c r="E371" i="3"/>
  <c r="E386" i="3"/>
  <c r="E325" i="3"/>
  <c r="E310" i="3"/>
  <c r="E354" i="3"/>
  <c r="E392" i="3"/>
  <c r="E492" i="3"/>
  <c r="E584" i="3"/>
  <c r="AQ6" i="3"/>
  <c r="E23" i="3"/>
  <c r="E66" i="3"/>
  <c r="E52" i="3"/>
  <c r="E84" i="3"/>
  <c r="E24" i="3"/>
  <c r="E36" i="3"/>
  <c r="E67" i="3"/>
  <c r="E48" i="3"/>
  <c r="E112" i="3"/>
  <c r="E33"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15"/>
  <c r="F43" i="67"/>
  <c r="B11" i="76"/>
  <c r="L48" i="67"/>
  <c r="F8" i="67"/>
  <c r="D6" i="73"/>
  <c r="E2" i="68"/>
  <c r="F6" i="15"/>
  <c r="F42" i="15"/>
  <c r="M29" i="67"/>
  <c r="AO13" i="1"/>
  <c r="M6" i="15"/>
  <c r="F38" i="67"/>
  <c r="F40" i="67"/>
  <c r="F7" i="15"/>
  <c r="F13" i="67"/>
  <c r="M23" i="67"/>
  <c r="L48" i="15"/>
  <c r="E11" i="76"/>
  <c r="B9" i="76"/>
  <c r="F43" i="15"/>
  <c r="D3" i="73"/>
  <c r="L47" i="15"/>
  <c r="F9" i="67"/>
  <c r="F13" i="15"/>
  <c r="B7" i="76"/>
  <c r="D7" i="73"/>
  <c r="D5" i="73"/>
  <c r="F6" i="73"/>
  <c r="F40" i="15"/>
  <c r="E7" i="76"/>
  <c r="F5" i="73"/>
  <c r="F16" i="15"/>
  <c r="M28" i="67"/>
  <c r="E9" i="76"/>
  <c r="F37" i="15"/>
  <c r="D4" i="73"/>
  <c r="F3" i="73"/>
  <c r="F4" i="73"/>
  <c r="B8" i="76"/>
  <c r="F36" i="15"/>
  <c r="C76" i="67"/>
  <c r="L47" i="67"/>
  <c r="M22" i="67"/>
  <c r="M9" i="15"/>
  <c r="M6" i="67"/>
  <c r="C76" i="15"/>
  <c r="E12" i="76"/>
  <c r="M8" i="67"/>
  <c r="F16" i="67"/>
  <c r="F26" i="67"/>
  <c r="F37" i="67"/>
  <c r="E13" i="76"/>
  <c r="E8" i="76"/>
  <c r="E2" i="69"/>
  <c r="M29" i="15"/>
  <c r="F42" i="67"/>
  <c r="F20" i="31"/>
  <c r="F6" i="67"/>
  <c r="F26" i="15"/>
  <c r="F7" i="67"/>
  <c r="M26" i="67"/>
  <c r="F36" i="67"/>
  <c r="J15" i="67"/>
  <c r="M24" i="67"/>
  <c r="B12" i="76"/>
  <c r="M23" i="15"/>
  <c r="F8" i="15"/>
  <c r="F9" i="15"/>
  <c r="M28" i="15"/>
  <c r="F38" i="15"/>
  <c r="M22" i="15"/>
  <c r="B13" i="76"/>
  <c r="M9" i="67"/>
  <c r="M24" i="15"/>
  <c r="F7" i="73"/>
  <c r="J15" i="15"/>
  <c r="B10" i="76"/>
  <c r="M26" i="15"/>
  <c r="E10" i="76"/>
  <c r="F8" i="1" l="1"/>
  <c r="G8" i="1" s="1"/>
  <c r="G44" i="43"/>
  <c r="G6" i="1"/>
  <c r="I24" i="43"/>
  <c r="C24" i="12"/>
  <c r="F28" i="15"/>
  <c r="F28" i="67"/>
  <c r="M18" i="15"/>
  <c r="M18" i="67"/>
  <c r="F30" i="11"/>
  <c r="C48" i="11" s="1"/>
  <c r="F32" i="67"/>
  <c r="F60" i="67" s="1"/>
  <c r="F54" i="9"/>
  <c r="F32" i="15"/>
  <c r="F60" i="15" s="1"/>
  <c r="F52" i="9"/>
  <c r="F30" i="68"/>
  <c r="F48" i="68" s="1"/>
  <c r="C21" i="68"/>
  <c r="C40" i="69"/>
  <c r="E49"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F29" i="6"/>
  <c r="A2" i="9"/>
  <c r="A4" i="52"/>
  <c r="B41" i="72" s="1"/>
  <c r="D19" i="53"/>
  <c r="B38" i="72" s="1"/>
  <c r="D21" i="53"/>
  <c r="B39"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J7" i="37" l="1"/>
  <c r="E26" i="43"/>
  <c r="E59" i="40"/>
  <c r="H26" i="43"/>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26" i="43" l="1"/>
  <c r="C2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B29" i="1"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8" i="69" l="1"/>
  <c r="C5" i="69"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C27" i="12"/>
  <c r="C25" i="12"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4"/>
  <c r="L51" i="15"/>
  <c r="D2" i="37"/>
  <c r="D2" i="35"/>
  <c r="D102" i="9" l="1"/>
  <c r="D21" i="9"/>
  <c r="D22" i="9"/>
  <c r="G19"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8" i="1"/>
  <c r="AO6" i="1"/>
  <c r="AO9" i="1"/>
  <c r="D20" i="9"/>
  <c r="AO11" i="1"/>
  <c r="AO10" i="1"/>
  <c r="G21" i="9" l="1"/>
  <c r="D14" i="74"/>
  <c r="G14" i="74" s="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G118" i="9"/>
  <c r="G4" i="52" s="1"/>
  <c r="B52" i="72" s="1"/>
  <c r="F118" i="9"/>
  <c r="F4" i="52" s="1"/>
  <c r="B51" i="72" s="1"/>
  <c r="H118" i="9"/>
  <c r="C104" i="9" s="1"/>
  <c r="I118" i="9" l="1"/>
  <c r="I4" i="52" s="1"/>
  <c r="F119" i="9"/>
  <c r="F5" i="52" s="1"/>
  <c r="B53" i="72" s="1"/>
  <c r="D119" i="9"/>
  <c r="D5" i="52" s="1"/>
  <c r="B49" i="72" s="1"/>
  <c r="H101" i="9"/>
  <c r="D5" i="53" s="1"/>
  <c r="B20" i="72" s="1"/>
  <c r="H119" i="9"/>
  <c r="H5" i="52" s="1"/>
  <c r="H4" i="52"/>
  <c r="C105" i="9"/>
  <c r="D45" i="9"/>
  <c r="E118" i="9"/>
  <c r="E4" i="52" s="1"/>
  <c r="B48" i="72" s="1"/>
  <c r="H102" i="9"/>
  <c r="H107" i="9" l="1"/>
  <c r="D122" i="9" s="1"/>
  <c r="M48" i="9"/>
  <c r="D6" i="53"/>
  <c r="B22" i="72" s="1"/>
  <c r="D13" i="53"/>
  <c r="H108" i="9"/>
  <c r="M49" i="9"/>
  <c r="C93" i="9"/>
  <c r="C86" i="9" s="1"/>
  <c r="D52" i="9"/>
  <c r="C78" i="9"/>
  <c r="C73" i="9" s="1"/>
  <c r="D53" i="9"/>
  <c r="C85" i="9"/>
  <c r="C72" i="9"/>
  <c r="C64" i="9"/>
  <c r="C63" i="9" s="1"/>
  <c r="C67" i="9" s="1"/>
  <c r="D55" i="9"/>
  <c r="M53" i="9" s="1"/>
  <c r="D7" i="53"/>
  <c r="B21" i="72" s="1"/>
  <c r="C5" i="74"/>
  <c r="C95" i="9" l="1"/>
  <c r="L67" i="9"/>
  <c r="M67" i="9" s="1"/>
  <c r="L63" i="9"/>
  <c r="M63" i="9" s="1"/>
  <c r="L65" i="9"/>
  <c r="M65" i="9" s="1"/>
  <c r="L66" i="9"/>
  <c r="M66" i="9" s="1"/>
  <c r="L68" i="9"/>
  <c r="M68" i="9" s="1"/>
  <c r="L64" i="9"/>
  <c r="M64" i="9" s="1"/>
  <c r="D123" i="9"/>
  <c r="D9" i="52" s="1"/>
  <c r="D8" i="52"/>
  <c r="D59" i="9"/>
  <c r="M55" i="9" s="1"/>
  <c r="C68" i="9"/>
  <c r="D54" i="9" s="1"/>
  <c r="D15" i="53"/>
  <c r="B31" i="72" s="1"/>
  <c r="C6" i="74"/>
  <c r="C79" i="9"/>
  <c r="C96" i="9"/>
  <c r="E96" i="9" s="1"/>
  <c r="E97" i="9" s="1"/>
  <c r="D14" i="53"/>
  <c r="B32" i="72" s="1"/>
  <c r="B30" i="72"/>
  <c r="C97" i="9" l="1"/>
  <c r="D58" i="9" s="1"/>
  <c r="D56" i="9" s="1"/>
  <c r="M54" i="9" s="1"/>
  <c r="N57" i="9" s="1"/>
  <c r="C80" i="9"/>
  <c r="E80" i="9" s="1"/>
  <c r="E81" i="9" s="1"/>
  <c r="M69" i="9"/>
  <c r="N69"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<sst xmlns="http://schemas.openxmlformats.org/spreadsheetml/2006/main" count="7898" uniqueCount="3472">
  <si>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</si>
  <si>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</si>
  <si>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</si>
  <si>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</si>
  <si>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</si>
  <si>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</si>
  <si>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</si>
  <si>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</si>
  <si>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</si>
  <si>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</si>
  <si>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</si>
  <si>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</si>
  <si>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</si>
  <si>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</si>
  <si>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</si>
  <si>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</si>
  <si>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</si>
  <si>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</si>
  <si>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</si>
  <si>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</si>
  <si>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</si>
  <si>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</si>
  <si>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</si>
  <si>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</si>
  <si>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</si>
  <si>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</si>
  <si>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</si>
  <si>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</si>
  <si>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</si>
  <si>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</si>
  <si>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</si>
  <si>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</si>
  <si>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</si>
  <si>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</si>
  <si>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</si>
  <si>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</si>
  <si>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</si>
  <si>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</si>
  <si>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</si>
  <si>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</si>
  <si>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</si>
  <si>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</si>
  <si>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</si>
  <si>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</si>
  <si>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</si>
  <si>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</si>
  <si>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</si>
  <si>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</si>
  <si>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</si>
  <si>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</si>
  <si>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</si>
  <si>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</si>
  <si>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</si>
  <si>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</si>
  <si>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</si>
  <si>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</si>
  <si>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</si>
  <si>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</si>
  <si>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</si>
  <si>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</si>
  <si>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</si>
  <si>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</si>
  <si>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</si>
  <si>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</si>
  <si>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</si>
  <si>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</si>
  <si>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</si>
  <si>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</si>
  <si>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</si>
  <si>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</si>
  <si>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</si>
  <si>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</si>
  <si>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</si>
  <si>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</si>
  <si>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</si>
  <si>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</si>
  <si>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</si>
  <si>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</si>
  <si>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</si>
  <si>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</si>
  <si>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</si>
  <si>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</si>
  <si>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</si>
  <si>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</si>
  <si>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</si>
  <si>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</si>
  <si>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</si>
  <si>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</si>
  <si>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</si>
  <si>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</si>
  <si>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</si>
  <si>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</si>
  <si>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</si>
  <si>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</si>
  <si>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</si>
  <si>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</si>
  <si>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</si>
  <si>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</si>
  <si>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</si>
  <si>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</si>
  <si>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</si>
  <si>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</si>
  <si>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</si>
  <si>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</si>
  <si>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</si>
  <si>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</si>
  <si>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</si>
  <si>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</si>
  <si>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</si>
  <si>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</si>
  <si>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</si>
  <si>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</si>
  <si>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</si>
  <si>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</si>
  <si>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</si>
  <si>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</si>
  <si>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</si>
  <si>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</si>
  <si>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</si>
  <si>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</si>
  <si>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</si>
  <si>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</si>
  <si>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</si>
  <si>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</si>
  <si>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</si>
  <si>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</si>
  <si>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</si>
  <si>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</si>
  <si>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</si>
  <si>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</si>
  <si>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</si>
  <si>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</si>
  <si>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</si>
  <si>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</si>
  <si>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</si>
  <si>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</si>
  <si>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</si>
  <si>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</si>
  <si>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</si>
  <si>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</si>
  <si>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</si>
  <si>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</si>
  <si>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</si>
  <si>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</si>
  <si>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</si>
  <si>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</si>
  <si>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</si>
  <si>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</si>
  <si>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</si>
  <si>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</si>
  <si>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</si>
  <si>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</si>
  <si>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</si>
  <si>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</si>
  <si>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</si>
  <si>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</si>
  <si>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</si>
  <si>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</si>
  <si>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</si>
  <si>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</si>
  <si>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</si>
  <si>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</si>
  <si>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</si>
  <si>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</si>
  <si>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</si>
  <si>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</si>
  <si>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</si>
  <si>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</si>
  <si>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</si>
  <si>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</si>
  <si>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</si>
  <si>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</si>
  <si>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</si>
  <si>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</si>
  <si>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</si>
  <si>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</si>
  <si>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</si>
  <si>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</si>
  <si>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</si>
  <si>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</si>
  <si>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</si>
  <si>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</si>
  <si>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</si>
  <si>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</si>
  <si>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</si>
  <si>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</si>
  <si>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</si>
  <si>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</si>
  <si>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</si>
  <si>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</si>
  <si>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</si>
  <si>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</si>
  <si>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</si>
  <si>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</si>
  <si>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</si>
  <si>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</si>
  <si>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</si>
  <si>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</si>
  <si>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</si>
  <si>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</si>
  <si>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</si>
  <si>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</si>
  <si>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</si>
  <si>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</si>
  <si>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</si>
  <si>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</si>
  <si>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</si>
  <si>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</si>
  <si>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</si>
  <si>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</si>
  <si>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</si>
  <si>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</si>
  <si>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</si>
  <si>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</si>
  <si>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</si>
  <si>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</si>
  <si>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</si>
  <si>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</si>
  <si>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</si>
  <si>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</si>
  <si>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</si>
  <si>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</si>
  <si>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</si>
  <si>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</si>
  <si>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</si>
  <si>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</si>
  <si>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</si>
  <si>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</si>
  <si>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</si>
  <si>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</si>
  <si>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</si>
  <si>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</si>
  <si>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</si>
  <si>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</si>
  <si>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</si>
  <si>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</si>
  <si>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</si>
  <si>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</si>
  <si>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</si>
  <si>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</si>
  <si>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</si>
  <si>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</si>
  <si>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</si>
  <si>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</si>
  <si>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</si>
  <si>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</si>
  <si>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</si>
  <si>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</si>
  <si>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</si>
  <si>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</si>
  <si>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</si>
  <si>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</si>
  <si>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</si>
  <si>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</si>
  <si>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</si>
  <si>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</si>
  <si>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</si>
  <si>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</si>
  <si>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</si>
  <si>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</si>
  <si>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</si>
  <si>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</si>
  <si>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</si>
  <si>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</si>
  <si>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</si>
  <si>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</si>
  <si>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</si>
  <si>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</si>
  <si>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</si>
  <si>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</si>
  <si>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</si>
  <si>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</si>
  <si>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</si>
  <si>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</si>
  <si>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</si>
  <si>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</si>
  <si>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</si>
  <si>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</si>
  <si>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</si>
  <si>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</si>
  <si>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</si>
  <si>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</si>
  <si>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</si>
  <si>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</si>
  <si>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</si>
  <si>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</si>
  <si>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</si>
  <si>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</si>
  <si>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</si>
  <si>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</si>
  <si>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</si>
  <si>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</si>
  <si>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</si>
  <si>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</si>
  <si>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</si>
  <si>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</si>
  <si>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</si>
  <si>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</si>
  <si>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</si>
  <si>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</si>
  <si>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</si>
  <si>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</si>
  <si>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</si>
  <si>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</si>
  <si>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</si>
  <si>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</si>
  <si>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</si>
  <si>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</si>
  <si>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</si>
  <si>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</si>
  <si>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</si>
  <si>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</si>
  <si>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</si>
  <si>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</si>
  <si>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</si>
  <si>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</si>
  <si>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</si>
  <si>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</si>
  <si>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</si>
  <si>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</si>
  <si>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</si>
  <si>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</si>
  <si>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</si>
  <si>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</si>
  <si>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</si>
  <si>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</si>
  <si>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</si>
  <si>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</si>
  <si>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</si>
  <si>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</si>
  <si>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</si>
  <si>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</si>
  <si>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</si>
  <si>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</si>
  <si>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</si>
  <si>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</si>
  <si>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</si>
  <si>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</si>
  <si>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</si>
  <si>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</si>
  <si>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</si>
  <si>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</si>
  <si>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</si>
  <si>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</si>
  <si>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</si>
  <si>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</si>
  <si>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</si>
  <si>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</si>
  <si>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</si>
  <si>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</si>
  <si>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</si>
  <si>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</si>
  <si>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</si>
  <si>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</si>
  <si>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</si>
  <si>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</si>
  <si>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</si>
  <si>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</si>
  <si>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</si>
  <si>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</si>
  <si>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</si>
  <si>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</si>
  <si>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</si>
  <si>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</si>
  <si>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</si>
  <si>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</si>
  <si>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</si>
  <si>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</si>
  <si>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</si>
  <si>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</si>
  <si>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</si>
  <si>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</si>
  <si>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</si>
  <si>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</si>
  <si>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</si>
  <si>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</si>
  <si>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</si>
  <si>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</si>
  <si>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</si>
  <si>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</si>
  <si>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</si>
  <si>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</si>
  <si>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</si>
  <si>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</si>
  <si>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</si>
  <si>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</si>
  <si>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</si>
  <si>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</si>
  <si>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</si>
  <si>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</si>
  <si>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</si>
  <si>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</si>
  <si>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</si>
  <si>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</si>
  <si>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</si>
  <si>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</si>
  <si>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</si>
  <si>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</si>
  <si>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</si>
  <si>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</si>
  <si>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</si>
  <si>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</si>
  <si>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</si>
  <si>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</si>
  <si>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</si>
  <si>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</si>
  <si>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</si>
  <si>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</si>
  <si>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</si>
  <si>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</si>
  <si>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</si>
  <si>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</si>
  <si>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</si>
  <si>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</si>
  <si>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</si>
  <si>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</si>
  <si>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</si>
  <si>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</si>
  <si>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</si>
  <si>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</si>
  <si>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</si>
  <si>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</si>
  <si>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</si>
  <si>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</si>
  <si>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</si>
  <si>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</si>
  <si>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</si>
  <si>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</si>
  <si>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</si>
  <si>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</si>
  <si>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</si>
  <si>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</si>
  <si>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</si>
  <si>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</si>
  <si>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</si>
  <si>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</si>
  <si>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</si>
  <si>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</si>
  <si>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</si>
  <si>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</si>
  <si>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</si>
  <si>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</si>
  <si>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</si>
  <si>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</si>
  <si>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</si>
  <si>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</si>
  <si>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</si>
  <si>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</si>
  <si>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</si>
  <si>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</si>
  <si>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</si>
  <si>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</si>
  <si>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</si>
  <si>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</si>
  <si>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</si>
  <si>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</si>
  <si>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</si>
  <si>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</si>
  <si>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</si>
  <si>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</si>
  <si>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</si>
  <si>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</si>
  <si>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</si>
  <si>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</si>
  <si>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</si>
  <si>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</si>
  <si>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</si>
  <si>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</si>
  <si>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</si>
  <si>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</si>
  <si>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</si>
  <si>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</si>
  <si>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</si>
  <si>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</si>
  <si>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</si>
  <si>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</si>
  <si>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</si>
  <si>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</si>
  <si>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</si>
  <si>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</si>
  <si>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</si>
  <si>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</si>
  <si>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</si>
  <si>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</si>
  <si>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</si>
  <si>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</si>
  <si>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</si>
  <si>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</si>
  <si>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</si>
  <si>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</si>
  <si>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</si>
  <si>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</si>
  <si>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</si>
  <si>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</si>
  <si>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</si>
  <si>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</si>
  <si>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</si>
  <si>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</si>
  <si>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</si>
  <si>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</si>
  <si>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</si>
  <si>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</si>
  <si>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</si>
  <si>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</si>
  <si>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</si>
  <si>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</si>
  <si>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</si>
  <si>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</si>
  <si>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</si>
  <si>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</si>
  <si>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</si>
  <si>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</si>
  <si>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</si>
  <si>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</si>
  <si>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</si>
  <si>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</si>
  <si>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</si>
  <si>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</si>
  <si>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</si>
  <si>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</si>
  <si>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</si>
  <si>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</si>
  <si>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</si>
  <si>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</si>
  <si>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</si>
  <si>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</si>
  <si>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</si>
  <si>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</si>
  <si>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</si>
  <si>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</si>
  <si>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</si>
  <si>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</si>
  <si>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</si>
  <si>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</si>
  <si>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</si>
  <si>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</si>
  <si>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</si>
  <si>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</si>
  <si>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</si>
  <si>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</si>
  <si>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</si>
  <si>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</si>
  <si>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</si>
  <si>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</si>
  <si>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</si>
  <si>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</si>
  <si>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</si>
  <si>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</si>
  <si>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</si>
  <si>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</si>
  <si>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</si>
  <si>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</si>
  <si>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</si>
  <si>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</si>
  <si>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</si>
  <si>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</si>
  <si>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</si>
  <si>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</si>
  <si>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</si>
  <si>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</si>
  <si>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</si>
  <si>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</si>
  <si>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</si>
  <si>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</si>
  <si>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</si>
  <si>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</si>
  <si>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</si>
  <si>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</si>
  <si>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</si>
  <si>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</si>
  <si>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</si>
  <si>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</si>
  <si>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</si>
  <si>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</si>
  <si>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</si>
  <si>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</si>
  <si>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</si>
  <si>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</si>
  <si>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</si>
  <si>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</si>
  <si>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</si>
  <si>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</si>
  <si>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</si>
  <si>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</si>
  <si>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</si>
  <si>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</si>
  <si>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</si>
  <si>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</si>
  <si>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</si>
  <si>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</si>
  <si>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</si>
  <si>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</si>
  <si>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</si>
  <si>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</si>
  <si>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</si>
  <si>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</si>
  <si>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</si>
  <si>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</si>
  <si>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</si>
  <si>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</si>
  <si>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</si>
  <si>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</si>
  <si>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</si>
  <si>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</si>
  <si>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</si>
  <si>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</si>
  <si>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</si>
  <si>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</si>
  <si>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</si>
  <si>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</si>
  <si>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</si>
  <si>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</si>
  <si>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</si>
  <si>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</si>
  <si>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</si>
  <si>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</si>
  <si>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</si>
  <si>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</si>
  <si>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</si>
  <si>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</si>
  <si>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</si>
  <si>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</si>
  <si>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</si>
  <si>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</si>
  <si>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</si>
  <si>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</si>
  <si>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</si>
  <si>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</si>
  <si>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</si>
  <si>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</si>
  <si>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</si>
  <si>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</si>
  <si>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</si>
  <si>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</si>
  <si>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</si>
  <si>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</si>
  <si>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</si>
  <si>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</si>
  <si>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</si>
  <si>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</si>
  <si>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</si>
  <si>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</si>
  <si>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</si>
  <si>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</si>
  <si>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</si>
  <si>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</si>
  <si>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</si>
  <si>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</si>
  <si>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</si>
  <si>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</si>
  <si>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</si>
  <si>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</si>
  <si>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</si>
  <si>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</si>
  <si>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</si>
  <si>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</si>
  <si>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</si>
  <si>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</si>
  <si>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</si>
  <si>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</si>
  <si>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</si>
  <si>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</si>
  <si>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</si>
  <si>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</si>
  <si>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</si>
  <si>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</si>
  <si>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</si>
  <si>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</si>
  <si>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</si>
  <si>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</si>
  <si>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</si>
  <si>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</si>
  <si>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</si>
  <si>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</si>
  <si>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</si>
  <si>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</si>
  <si>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</si>
  <si>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</si>
  <si>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</si>
  <si>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</si>
  <si>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</si>
  <si>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</si>
  <si>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</si>
  <si>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</si>
  <si>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</si>
  <si>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</si>
  <si>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</si>
  <si>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</si>
  <si>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</si>
  <si>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</si>
  <si>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</si>
  <si>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</si>
  <si>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</si>
  <si>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</si>
  <si>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</si>
  <si>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</si>
  <si>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</si>
  <si>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</si>
  <si>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</si>
  <si>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</si>
  <si>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</si>
  <si>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</si>
  <si>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</si>
  <si>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</si>
  <si>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</si>
  <si>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</si>
  <si>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</si>
  <si>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</si>
  <si>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</si>
  <si>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</si>
  <si>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</si>
  <si>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</si>
  <si>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</si>
  <si>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</si>
  <si>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</si>
  <si>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</si>
  <si>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</si>
  <si>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</si>
  <si>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</si>
  <si>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</si>
  <si>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</si>
  <si>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</si>
  <si>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</si>
  <si>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</si>
  <si>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</si>
  <si>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</si>
  <si>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</si>
  <si>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</si>
  <si>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</si>
  <si>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</si>
  <si>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</si>
  <si>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</si>
  <si>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</si>
  <si>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</si>
  <si>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</si>
  <si>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</si>
  <si>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</si>
  <si>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</si>
  <si>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</si>
  <si>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</si>
  <si>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</si>
  <si>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</si>
  <si>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</si>
  <si>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</si>
  <si>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</si>
  <si>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</si>
  <si>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</si>
  <si>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</si>
  <si>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</si>
  <si>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</si>
  <si>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</si>
  <si>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</si>
  <si>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</si>
  <si>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</si>
  <si>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</si>
  <si>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</si>
  <si>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</si>
  <si>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</si>
  <si>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</si>
  <si>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</si>
  <si>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</si>
  <si>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</si>
  <si>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</si>
  <si>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</si>
  <si>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</si>
  <si>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</si>
  <si>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</si>
  <si>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</si>
  <si>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</si>
  <si>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</si>
  <si>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</si>
  <si>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</si>
  <si>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</si>
  <si>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</si>
  <si>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</si>
  <si>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</si>
  <si>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</si>
  <si>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</si>
  <si>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</si>
  <si>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</si>
  <si>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</si>
  <si>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</si>
  <si>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</si>
  <si>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</si>
  <si>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</si>
  <si>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</si>
  <si>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</si>
  <si>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</si>
  <si>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</si>
  <si>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</si>
  <si>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</si>
  <si>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</si>
  <si>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</si>
  <si>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</si>
  <si>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</si>
  <si>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</si>
  <si>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</si>
  <si>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</si>
  <si>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</si>
  <si>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</si>
  <si>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</si>
  <si>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</si>
  <si>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</si>
  <si>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</si>
  <si>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</si>
  <si>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</si>
  <si>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</si>
  <si>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</si>
  <si>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</si>
  <si>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</si>
  <si>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</si>
  <si>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</si>
  <si>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</si>
  <si>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</si>
  <si>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</si>
  <si>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</si>
  <si>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</si>
  <si>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</si>
  <si>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</si>
  <si>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</si>
  <si>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</si>
  <si>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</si>
  <si>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</si>
  <si>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</si>
  <si>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</si>
  <si>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</si>
  <si>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</si>
  <si>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</si>
  <si>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</si>
  <si>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</si>
  <si>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</si>
  <si>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</si>
  <si>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</si>
  <si>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</si>
  <si>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</si>
  <si>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</si>
  <si>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</si>
  <si>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</si>
  <si>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</si>
  <si>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</si>
  <si>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</si>
  <si>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</si>
  <si>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</si>
  <si>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</si>
  <si>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</si>
  <si>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</si>
  <si>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</si>
  <si>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</si>
  <si>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</si>
  <si>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</si>
  <si>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</si>
  <si>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</si>
  <si>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</si>
  <si>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</si>
  <si>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</si>
  <si>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</si>
  <si>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</si>
  <si>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</si>
  <si>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</si>
  <si>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</si>
  <si>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</si>
  <si>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</si>
  <si>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</si>
  <si>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</si>
  <si>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</si>
  <si>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</si>
  <si>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</si>
  <si>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</si>
  <si>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</si>
  <si>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</si>
  <si>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</si>
  <si>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</si>
  <si>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</si>
  <si>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</si>
  <si>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</si>
  <si>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</si>
  <si>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</si>
  <si>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</si>
  <si>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</si>
  <si>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</si>
  <si>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</si>
  <si>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</si>
  <si>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</si>
  <si>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</si>
  <si>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</si>
  <si>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</si>
  <si>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</si>
  <si>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</si>
  <si>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</si>
  <si>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</si>
  <si>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</si>
  <si>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</si>
  <si>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</si>
  <si>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</si>
  <si>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</si>
  <si>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</si>
  <si>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</si>
  <si>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</si>
  <si>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</si>
  <si>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</si>
  <si>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</si>
  <si>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</si>
  <si>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</si>
  <si>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</si>
  <si>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</si>
  <si>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</si>
  <si>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</si>
  <si>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</si>
  <si>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</si>
  <si>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</si>
  <si>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</si>
  <si>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</si>
  <si>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</si>
  <si>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</si>
  <si>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</si>
  <si>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</si>
  <si>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</si>
  <si>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</si>
  <si>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</si>
  <si>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</si>
  <si>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</si>
  <si>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</si>
  <si>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</si>
  <si>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</si>
  <si>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</si>
  <si>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</si>
  <si>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</si>
  <si>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</si>
  <si>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</si>
  <si>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</si>
  <si>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</si>
  <si>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</si>
  <si>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</si>
  <si>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</si>
  <si>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</si>
  <si>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</si>
  <si>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</si>
  <si>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</si>
  <si>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</si>
  <si>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</si>
  <si>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</si>
  <si>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</si>
  <si>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</si>
  <si>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</si>
  <si>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</si>
  <si>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</si>
  <si>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</si>
  <si>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</si>
  <si>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</si>
  <si>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</si>
  <si>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</si>
  <si>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</si>
  <si>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</si>
  <si>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</si>
  <si>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</si>
  <si>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</si>
  <si>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</si>
  <si>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</si>
  <si>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</si>
  <si>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</si>
  <si>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</si>
  <si>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</si>
  <si>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</si>
  <si>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</si>
  <si>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</si>
  <si>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</si>
  <si>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</si>
  <si>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</si>
  <si>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</si>
  <si>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</si>
  <si>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</si>
  <si>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</si>
  <si>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</si>
  <si>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</si>
  <si>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</si>
  <si>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</si>
  <si>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</si>
  <si>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</si>
  <si>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</si>
  <si>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</si>
  <si>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</si>
  <si>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</si>
  <si>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</si>
  <si>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</si>
  <si>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</si>
  <si>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</si>
  <si>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</si>
  <si>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</si>
  <si>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</si>
  <si>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</si>
  <si>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</si>
  <si>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</si>
  <si>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</si>
  <si>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</si>
  <si>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</si>
  <si>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</si>
  <si>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</si>
  <si>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</si>
  <si>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</si>
  <si>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</si>
  <si>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</si>
  <si>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</si>
  <si>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</si>
  <si>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</si>
  <si>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</si>
  <si>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</si>
  <si>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</si>
  <si>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</si>
  <si>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</si>
  <si>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</si>
  <si>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</si>
  <si>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</si>
  <si>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</si>
  <si>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</si>
  <si>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</si>
  <si>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</si>
  <si>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</si>
  <si>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</si>
  <si>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</si>
  <si>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</si>
  <si>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</si>
  <si>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</si>
  <si>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</si>
  <si>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</si>
  <si>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</si>
  <si>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</si>
  <si>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</si>
  <si>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</si>
  <si>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</si>
  <si>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</si>
  <si>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</si>
  <si>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</si>
  <si>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</si>
  <si>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</si>
  <si>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</si>
  <si>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</si>
  <si>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</si>
  <si>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</si>
  <si>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</si>
  <si>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</si>
  <si>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</si>
  <si>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</si>
  <si>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</si>
  <si>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</si>
  <si>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</si>
  <si>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</si>
  <si>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</si>
  <si>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</si>
  <si>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</si>
  <si>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</si>
  <si>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</si>
  <si>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</si>
  <si>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</si>
  <si>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</si>
  <si>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</si>
  <si>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</si>
  <si>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</si>
  <si>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</si>
  <si>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</si>
  <si>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</si>
  <si>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</si>
  <si>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</si>
  <si>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</si>
  <si>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</si>
  <si>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</si>
  <si>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</si>
  <si>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</si>
  <si>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</si>
  <si>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</si>
  <si>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</si>
  <si>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</si>
  <si>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</si>
  <si>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</si>
  <si>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</si>
  <si>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</si>
  <si>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</si>
  <si>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</si>
  <si>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</si>
  <si>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</si>
  <si>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</si>
  <si>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</si>
  <si>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</si>
  <si>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</si>
  <si>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</si>
  <si>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</si>
  <si>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</si>
  <si>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</si>
  <si>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</si>
  <si>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</si>
  <si>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</si>
  <si>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</si>
  <si>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</si>
  <si>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</si>
  <si>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</si>
  <si>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</si>
  <si>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</si>
  <si>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</si>
  <si>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</si>
  <si>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</si>
  <si>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</si>
  <si>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</si>
  <si>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</si>
  <si>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</si>
  <si>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</si>
  <si>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</si>
  <si>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</si>
  <si>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</si>
  <si>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</si>
  <si>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</si>
  <si>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</si>
  <si>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</si>
  <si>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</si>
  <si>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</si>
  <si>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</si>
  <si>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</si>
  <si>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</si>
  <si>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</si>
  <si>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</si>
  <si>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</si>
  <si>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</si>
  <si>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</si>
  <si>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</si>
  <si>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</si>
  <si>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</si>
  <si>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</si>
  <si>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</si>
  <si>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</si>
  <si>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</si>
  <si>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</si>
  <si>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</si>
  <si>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</si>
  <si>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</si>
  <si>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</si>
  <si>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</si>
  <si>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</si>
  <si>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</si>
  <si>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</si>
  <si>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</si>
  <si>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</si>
  <si>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</si>
  <si>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</si>
  <si>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</si>
  <si>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</si>
  <si>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</si>
  <si>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</si>
  <si>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</si>
  <si>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</si>
  <si>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</si>
  <si>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</si>
  <si>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</si>
  <si>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</si>
  <si>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</si>
  <si>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</si>
  <si>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</si>
  <si>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</si>
  <si>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</si>
  <si>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</si>
  <si>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</si>
  <si>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</si>
  <si>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</si>
  <si>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</si>
  <si>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</si>
  <si>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</si>
  <si>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</si>
  <si>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</si>
  <si>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</si>
  <si>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</si>
  <si>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</si>
  <si>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</si>
  <si>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</si>
  <si>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</si>
  <si>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</si>
  <si>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</si>
  <si>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</si>
  <si>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</si>
  <si>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</si>
  <si>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</si>
  <si>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</si>
  <si>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</si>
  <si>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</si>
  <si>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</si>
  <si>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</si>
  <si>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</si>
  <si>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</si>
  <si>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</si>
  <si>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</si>
  <si>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</si>
  <si>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</si>
  <si>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</si>
  <si>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</si>
  <si>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</si>
  <si>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</si>
  <si>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</si>
  <si>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</si>
  <si>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</si>
  <si>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</si>
  <si>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</si>
  <si>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</si>
  <si>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</si>
  <si>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</si>
  <si>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</si>
  <si>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</si>
  <si>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</si>
  <si>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</si>
  <si>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</si>
  <si>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</si>
  <si>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</si>
  <si>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</si>
  <si>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</si>
  <si>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</si>
  <si>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</si>
  <si>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</si>
  <si>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</si>
  <si>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</si>
  <si>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</si>
  <si>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</si>
  <si>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</si>
  <si>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</si>
  <si>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</si>
  <si>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</si>
  <si>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</si>
  <si>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</si>
  <si>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</si>
  <si>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</si>
  <si>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</si>
  <si>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</si>
  <si>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</si>
  <si>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</si>
  <si>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</si>
  <si>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</si>
  <si>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</si>
  <si>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</si>
  <si>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</si>
  <si>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</si>
  <si>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</si>
  <si>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</si>
  <si>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</si>
  <si>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</si>
  <si>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</si>
  <si>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</si>
  <si>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</si>
  <si>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</si>
  <si>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</si>
  <si>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</si>
  <si>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</si>
  <si>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</si>
  <si>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</si>
  <si>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</si>
  <si>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</si>
  <si>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</si>
  <si>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</si>
  <si>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</si>
  <si>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</si>
  <si>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</si>
  <si>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</si>
  <si>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</si>
  <si>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</si>
  <si>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</si>
  <si>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</si>
  <si>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</si>
  <si>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</si>
  <si>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</si>
  <si>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</si>
  <si>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</si>
  <si>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</si>
  <si>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</si>
  <si>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</si>
  <si>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</si>
  <si>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</si>
  <si>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</si>
  <si>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</si>
  <si>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</si>
  <si>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</si>
  <si>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</si>
  <si>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</si>
  <si>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</si>
  <si>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</si>
  <si>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</si>
  <si>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</si>
  <si>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</si>
  <si>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</si>
  <si>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</si>
  <si>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</si>
  <si>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</si>
  <si>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</si>
  <si>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</si>
  <si>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</si>
  <si>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</si>
  <si>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</si>
  <si>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</si>
  <si>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</si>
  <si>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</si>
  <si>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</si>
  <si>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</si>
  <si>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</si>
  <si>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</si>
  <si>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</si>
  <si>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</si>
  <si>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</si>
  <si>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</si>
  <si>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</si>
  <si>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</si>
  <si>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</si>
  <si>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</si>
  <si>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</si>
  <si>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</si>
  <si>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</si>
  <si>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</si>
  <si>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</si>
  <si>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</si>
  <si>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</si>
  <si>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</si>
  <si>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</si>
  <si>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</si>
  <si>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</si>
  <si>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</si>
  <si>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</si>
  <si>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</si>
  <si>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</si>
  <si>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</si>
  <si>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</si>
  <si>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</si>
  <si>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</si>
  <si>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</si>
  <si>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</si>
  <si>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</si>
  <si>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</si>
  <si>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</si>
  <si>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</si>
  <si>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</si>
  <si>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</si>
  <si>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</si>
  <si>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</si>
  <si>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</si>
  <si>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</si>
  <si>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</si>
  <si>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</si>
  <si>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</si>
  <si>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</si>
  <si>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</si>
  <si>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</si>
  <si>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</si>
  <si>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</si>
  <si>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</si>
  <si>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</si>
  <si>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</si>
  <si>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</si>
  <si>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</si>
  <si>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</si>
  <si>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</si>
  <si>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</si>
  <si>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</si>
  <si>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</si>
  <si>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</si>
  <si>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</si>
  <si>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</si>
  <si>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</si>
  <si>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</si>
  <si>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</si>
  <si>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</si>
  <si>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</si>
  <si>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</si>
  <si>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</si>
  <si>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</si>
  <si>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</si>
  <si>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</si>
  <si>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</si>
  <si>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</si>
  <si>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</si>
  <si>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</si>
  <si>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</si>
  <si>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</si>
  <si>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</si>
  <si>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</si>
  <si>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</si>
  <si>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</si>
  <si>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</si>
  <si>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</si>
  <si>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</si>
  <si>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</si>
  <si>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</si>
  <si>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</si>
  <si>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</si>
  <si>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</si>
  <si>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</si>
  <si>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</si>
  <si>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</si>
  <si>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</si>
  <si>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</si>
  <si>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</si>
  <si>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</si>
  <si>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</si>
  <si>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</si>
  <si>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</si>
  <si>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</si>
  <si>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</si>
  <si>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</si>
  <si>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</si>
  <si>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</si>
  <si>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</si>
  <si>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</si>
  <si>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</si>
  <si>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</si>
  <si>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</si>
  <si>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</si>
  <si>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</si>
  <si>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</si>
  <si>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</si>
  <si>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</si>
  <si>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</si>
  <si>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</si>
  <si>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</si>
  <si>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</si>
  <si>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</si>
  <si>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</si>
  <si>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</si>
  <si>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</si>
  <si>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</si>
  <si>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</si>
  <si>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</si>
  <si>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</si>
  <si>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</si>
  <si>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</si>
  <si>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</si>
  <si>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</si>
  <si>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</si>
  <si>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</si>
  <si>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</si>
  <si>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</si>
  <si>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</si>
  <si>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</si>
  <si>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</si>
  <si>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</si>
  <si>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</si>
  <si>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</si>
  <si>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</si>
  <si>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</si>
  <si>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</si>
  <si>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</si>
  <si>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</si>
  <si>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</si>
  <si>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</si>
  <si>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</si>
  <si>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</si>
  <si>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</si>
  <si>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</si>
  <si>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</si>
  <si>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</si>
  <si>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</si>
  <si>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</si>
  <si>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</si>
  <si>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</si>
  <si>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</si>
  <si>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</si>
  <si>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</si>
  <si>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</si>
  <si>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</si>
  <si>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</si>
  <si>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</si>
  <si>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</si>
  <si>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</si>
  <si>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</si>
  <si>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</si>
  <si>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</si>
  <si>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</si>
  <si>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</si>
  <si>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</si>
  <si>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</si>
  <si>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</si>
  <si>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</si>
  <si>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</si>
  <si>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</si>
  <si>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</si>
  <si>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</si>
  <si>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</si>
  <si>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</si>
  <si>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</si>
  <si>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</si>
  <si>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</si>
  <si>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</si>
  <si>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</si>
  <si>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</si>
  <si>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</si>
  <si>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</si>
  <si>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</si>
  <si>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</si>
  <si>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</si>
  <si>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</si>
  <si>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</si>
  <si>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</si>
  <si>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</si>
  <si>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</si>
  <si>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</si>
  <si>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</si>
  <si>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</si>
  <si>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</si>
  <si>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</si>
  <si>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</si>
  <si>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</si>
  <si>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</si>
  <si>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</si>
  <si>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</si>
  <si>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</si>
  <si>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</si>
  <si>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</si>
  <si>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</si>
  <si>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</si>
  <si>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</si>
  <si>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</si>
  <si>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</si>
  <si>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</si>
  <si>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</si>
  <si>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</si>
  <si>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</si>
  <si>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</si>
  <si>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</si>
  <si>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</si>
  <si>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</si>
  <si>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</si>
  <si>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</si>
  <si>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</si>
  <si>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</si>
  <si>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</si>
  <si>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</si>
  <si>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</si>
  <si>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</si>
  <si>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</si>
  <si>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</si>
  <si>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</si>
  <si>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</si>
  <si>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</si>
  <si>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</si>
  <si>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</si>
  <si>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</si>
  <si>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</si>
  <si>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</si>
  <si>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</si>
  <si>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</si>
  <si>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</si>
  <si>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</si>
  <si>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</si>
  <si>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</si>
  <si>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</si>
  <si>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</si>
  <si>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</si>
  <si>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</si>
  <si>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</si>
  <si>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</si>
  <si>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</si>
  <si>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</si>
  <si>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</si>
  <si>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</si>
  <si>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</si>
  <si>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</si>
  <si>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</si>
  <si>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</si>
  <si>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</si>
  <si>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</si>
  <si>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</si>
  <si>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</si>
  <si>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</si>
  <si>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</si>
  <si>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</si>
  <si>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</si>
  <si>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</si>
  <si>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</si>
  <si>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</si>
  <si>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</si>
  <si>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</si>
  <si>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</si>
  <si>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</si>
  <si>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</si>
  <si>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</si>
  <si>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</si>
  <si>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</si>
  <si>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</si>
  <si>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</si>
  <si>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</si>
  <si>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</si>
  <si>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</si>
  <si>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</si>
  <si>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</si>
  <si>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</si>
  <si>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</si>
  <si>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</si>
  <si>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</si>
  <si>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</si>
  <si>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</si>
  <si>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</si>
  <si>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</si>
  <si>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</si>
  <si>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</si>
  <si>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</si>
  <si>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</si>
  <si>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</si>
  <si>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</si>
  <si>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</si>
  <si>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</si>
  <si>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</si>
  <si>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</si>
  <si>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</si>
  <si>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</si>
  <si>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</si>
  <si>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</si>
  <si>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</si>
  <si>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</si>
  <si>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</si>
  <si>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</si>
  <si>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</si>
  <si>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</si>
  <si>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</si>
  <si>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</si>
  <si>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</si>
  <si>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</si>
  <si>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</si>
  <si>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</si>
  <si>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</si>
  <si>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</si>
  <si>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</si>
  <si>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</si>
  <si>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</si>
  <si>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</si>
  <si>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</si>
  <si>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</si>
  <si>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</si>
  <si>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</si>
  <si>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</si>
  <si>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</si>
  <si>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</si>
  <si>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</si>
  <si>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</si>
  <si>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</si>
  <si>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</si>
  <si>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</si>
  <si>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</si>
  <si>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</si>
  <si>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</si>
  <si>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</si>
  <si>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</si>
  <si>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</si>
  <si>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</si>
  <si>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</si>
  <si>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</si>
  <si>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</si>
  <si>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</si>
  <si>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</si>
  <si>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</si>
  <si>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</si>
  <si>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</si>
  <si>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</si>
  <si>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</si>
  <si>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</si>
  <si>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</si>
  <si>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</si>
  <si>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</si>
  <si>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</si>
  <si>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</si>
  <si>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</si>
  <si>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</si>
  <si>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</si>
  <si>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</si>
  <si>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</si>
  <si>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</si>
  <si>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</si>
  <si>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</si>
  <si>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</si>
  <si>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</si>
  <si>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</si>
  <si>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</si>
  <si>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</si>
  <si>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</si>
  <si>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</si>
  <si>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</si>
  <si>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</si>
  <si>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</si>
  <si>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</si>
  <si>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</si>
  <si>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</si>
  <si>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</si>
  <si>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</si>
  <si>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</si>
  <si>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</si>
  <si>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</si>
  <si>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</si>
  <si>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</si>
  <si>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</si>
  <si>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</si>
  <si>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</si>
  <si>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</si>
  <si>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</si>
  <si>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</si>
  <si>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</si>
  <si>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</si>
  <si>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</si>
  <si>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</si>
  <si>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</si>
  <si>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</si>
  <si>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</si>
  <si>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</si>
  <si>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</si>
  <si>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</si>
  <si>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</si>
  <si>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</si>
  <si>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</si>
  <si>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</si>
  <si>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</si>
  <si>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</si>
  <si>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</si>
  <si>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</si>
  <si>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</si>
  <si>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</si>
  <si>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</si>
  <si>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</si>
  <si>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</si>
  <si>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</si>
  <si>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</si>
  <si>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</si>
  <si>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</si>
  <si>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</si>
  <si>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</si>
  <si>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</si>
  <si>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</si>
  <si>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</si>
  <si>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</si>
  <si>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</si>
  <si>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</si>
  <si>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</si>
  <si>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</si>
  <si>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</si>
  <si>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</si>
  <si>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</si>
  <si>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</si>
  <si>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</si>
  <si>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</si>
  <si>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</si>
  <si>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</si>
  <si>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</si>
  <si>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</si>
  <si>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</si>
  <si>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</si>
  <si>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</si>
  <si>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</si>
  <si>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</si>
  <si>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</si>
  <si>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</si>
  <si>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</si>
  <si>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</si>
  <si>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</si>
  <si>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</si>
  <si>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</si>
  <si>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</si>
  <si>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</si>
  <si>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</si>
  <si>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</si>
  <si>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</si>
  <si>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</si>
  <si>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</si>
  <si>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</si>
  <si>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</si>
  <si>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</si>
  <si>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</si>
  <si>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</si>
  <si>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</si>
  <si>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</si>
  <si>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</si>
  <si>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</si>
  <si>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</si>
  <si>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</si>
  <si>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</si>
  <si>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</si>
  <si>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</si>
  <si>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</si>
  <si>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</si>
  <si>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</si>
  <si>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</si>
  <si>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</si>
  <si>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</si>
  <si>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</si>
  <si>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</si>
  <si>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</si>
  <si>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</si>
  <si>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</si>
  <si>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</si>
  <si>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</si>
  <si>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</si>
  <si>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</si>
  <si>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</si>
  <si>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</si>
  <si>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</si>
  <si>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</si>
  <si>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</si>
  <si>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</si>
  <si>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</si>
  <si>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</si>
  <si>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</si>
  <si>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</si>
  <si>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</si>
  <si>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</si>
  <si>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</si>
  <si>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</si>
  <si>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</si>
  <si>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</si>
  <si>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</si>
  <si>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</si>
  <si>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</si>
  <si>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</si>
  <si>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</si>
  <si>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</si>
  <si>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</si>
  <si>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</si>
  <si>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</si>
  <si>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</si>
  <si>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</si>
  <si>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</si>
  <si>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</si>
  <si>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</si>
  <si>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</si>
  <si>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</si>
  <si>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</si>
  <si>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</si>
  <si>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</si>
  <si>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</si>
  <si>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</si>
  <si>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</si>
  <si>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</si>
  <si>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</si>
  <si>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</si>
  <si>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</si>
  <si>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</si>
  <si>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</si>
  <si>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</si>
  <si>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</si>
  <si>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</si>
  <si>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</si>
  <si>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</si>
  <si>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</si>
  <si>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</si>
  <si>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</si>
  <si>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</si>
  <si>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</si>
  <si>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</si>
  <si>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</si>
  <si>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</si>
  <si>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</si>
  <si>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</si>
  <si>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</si>
  <si>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</si>
  <si>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</si>
  <si>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</si>
  <si>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</si>
  <si>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</si>
  <si>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</si>
  <si>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</si>
  <si>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</si>
  <si>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</si>
  <si>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</si>
  <si>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</si>
  <si>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</si>
  <si>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</si>
  <si>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</si>
  <si>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</si>
  <si>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</si>
  <si>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</si>
  <si>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</si>
  <si>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</si>
  <si>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</si>
  <si>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</si>
  <si>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</si>
  <si>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</si>
  <si>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</si>
  <si>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</si>
  <si>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</si>
  <si>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</si>
  <si>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</si>
  <si>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</si>
  <si>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</si>
  <si>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</si>
  <si>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</si>
  <si>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</si>
  <si>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</si>
  <si>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</si>
  <si>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</si>
  <si>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</si>
  <si>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</si>
  <si>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</si>
  <si>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</si>
  <si>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</si>
  <si>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</si>
  <si>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</si>
  <si>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</si>
  <si>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</si>
  <si>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</si>
  <si>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</si>
  <si>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</si>
  <si>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</si>
  <si>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</si>
  <si>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</si>
  <si>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</si>
  <si>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</si>
  <si>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</si>
  <si>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</si>
  <si>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</si>
  <si>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</si>
  <si>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</si>
  <si>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</si>
  <si>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</si>
  <si>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</si>
  <si>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</si>
  <si>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</si>
  <si>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</si>
  <si>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</si>
  <si>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</si>
  <si>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</si>
  <si>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</si>
  <si>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</si>
  <si>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</si>
  <si>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</si>
  <si>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</si>
  <si>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</si>
  <si>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</si>
  <si>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</si>
  <si>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</si>
  <si>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</si>
  <si>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</si>
  <si>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</si>
  <si>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</si>
  <si>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</si>
  <si>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</si>
  <si>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</si>
  <si>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</si>
  <si>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</si>
  <si>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</si>
  <si>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</si>
  <si>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</si>
  <si>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</si>
  <si>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</si>
  <si>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</si>
  <si>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</si>
  <si>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</si>
  <si>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</si>
  <si>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</si>
  <si>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</si>
  <si>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</si>
  <si>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</si>
  <si>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</si>
  <si>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</si>
  <si>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</si>
  <si>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</si>
  <si>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</si>
  <si>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</si>
  <si>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</si>
  <si>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</si>
  <si>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</si>
  <si>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</si>
  <si>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</si>
  <si>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</si>
  <si>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</si>
  <si>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</si>
  <si>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</si>
  <si>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</si>
  <si>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</si>
  <si>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</si>
  <si>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</si>
  <si>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</si>
  <si>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</si>
  <si>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</si>
  <si>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</si>
  <si>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</si>
  <si>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</si>
  <si>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</si>
  <si>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</si>
  <si>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</si>
  <si>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</si>
  <si>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</si>
  <si>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</si>
  <si>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</si>
  <si>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</si>
  <si>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</si>
  <si>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</si>
  <si>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</si>
  <si>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</si>
  <si>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</si>
  <si>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</si>
  <si>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</si>
  <si>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</si>
  <si>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</si>
  <si>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</si>
  <si>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</si>
  <si>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</si>
  <si>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</si>
  <si>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</si>
  <si>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</si>
  <si>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</si>
  <si>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</si>
  <si>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</si>
  <si>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</si>
  <si>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</si>
  <si>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</si>
  <si>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</si>
  <si>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</si>
  <si>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</si>
  <si>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</si>
  <si>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</si>
  <si>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</si>
  <si>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</si>
  <si>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</si>
  <si>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</si>
  <si>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</si>
  <si>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</si>
  <si>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</si>
  <si>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</si>
  <si>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</si>
  <si>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</si>
  <si>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</si>
  <si>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</si>
  <si>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</si>
  <si>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</si>
  <si>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</si>
  <si>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</si>
  <si>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</si>
  <si>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</si>
  <si>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</si>
  <si>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</si>
  <si>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</si>
  <si>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</si>
  <si>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</si>
  <si>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</si>
  <si>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</si>
  <si>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</si>
  <si>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</si>
  <si>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</si>
  <si>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</si>
  <si>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</si>
  <si>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</si>
  <si>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</si>
  <si>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</si>
  <si>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</si>
  <si>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</si>
  <si>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</si>
  <si>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</si>
  <si>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</si>
  <si>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</si>
  <si>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</si>
  <si>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</si>
  <si>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</si>
  <si>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</si>
  <si>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</si>
  <si>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</si>
  <si>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</si>
  <si>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</si>
  <si>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</si>
  <si>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</si>
  <si>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</si>
  <si>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</si>
  <si>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</si>
  <si>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</si>
  <si>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</si>
  <si>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</si>
  <si>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</si>
  <si>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</si>
  <si>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</si>
  <si>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</si>
  <si>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</si>
  <si>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</si>
  <si>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</si>
  <si>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</si>
  <si>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</si>
  <si>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</si>
  <si>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</si>
  <si>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</si>
  <si>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</si>
  <si>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</si>
  <si>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</si>
  <si>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</si>
  <si>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</si>
  <si>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</si>
  <si>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</si>
  <si>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</si>
  <si>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</si>
  <si>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</si>
  <si>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</si>
  <si>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</si>
  <si>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</si>
  <si>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</si>
  <si>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</si>
  <si>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</si>
  <si>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</si>
  <si>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</si>
  <si>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</si>
  <si>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</si>
  <si>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</si>
  <si>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</si>
  <si>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</si>
  <si>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</si>
  <si>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</si>
  <si>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</si>
  <si>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</si>
  <si>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</si>
  <si>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</si>
  <si>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</si>
  <si>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</si>
  <si>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</si>
  <si>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</si>
  <si>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</si>
  <si>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</si>
  <si>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</si>
  <si>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</si>
  <si>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</si>
  <si>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</si>
  <si>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</si>
  <si>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</si>
  <si>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</si>
  <si>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</si>
  <si>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</si>
  <si>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</si>
  <si>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</si>
  <si>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</si>
  <si>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</si>
  <si>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</si>
  <si>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</si>
  <si>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</si>
  <si>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</si>
  <si>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</si>
  <si>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</si>
  <si>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</si>
  <si>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</si>
  <si>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</si>
  <si>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</si>
  <si>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</si>
  <si>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</si>
  <si>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</si>
  <si>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</si>
  <si>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</si>
  <si>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</si>
  <si>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</si>
  <si>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</si>
  <si>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</si>
  <si>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</si>
  <si>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</si>
  <si>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</si>
  <si>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</si>
  <si>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</si>
  <si>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</si>
  <si>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</si>
  <si>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</si>
  <si>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</si>
  <si>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</si>
  <si>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</si>
  <si>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</si>
  <si>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</si>
  <si>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</si>
  <si>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</si>
  <si>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</si>
  <si>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</si>
  <si>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</si>
  <si>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</si>
  <si>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</si>
  <si>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</si>
  <si>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</si>
  <si>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</si>
  <si>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</si>
  <si>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</si>
  <si>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</si>
  <si>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</si>
  <si>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</si>
  <si>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</si>
  <si>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</si>
  <si>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</si>
  <si>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</si>
  <si>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</si>
  <si>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</si>
  <si>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</si>
  <si>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</si>
  <si>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</si>
  <si>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</si>
  <si>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</si>
  <si>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</si>
  <si>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</si>
  <si>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</si>
  <si>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</si>
  <si>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</si>
  <si>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</si>
  <si>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</si>
  <si>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</si>
  <si>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</si>
  <si>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</si>
  <si>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</si>
  <si>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</si>
  <si>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</si>
  <si>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</si>
  <si>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</si>
  <si>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</si>
  <si>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</si>
  <si>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</si>
  <si>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</si>
  <si>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</si>
  <si>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</si>
  <si>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</si>
  <si>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</si>
  <si>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</si>
  <si>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</si>
  <si>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</si>
  <si>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</si>
  <si>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</si>
  <si>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</si>
  <si>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</si>
  <si>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</si>
  <si>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</si>
  <si>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</si>
  <si>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</si>
  <si>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</si>
  <si>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</si>
  <si>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</si>
  <si>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</si>
  <si>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</si>
  <si>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</si>
  <si>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</si>
  <si>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</si>
  <si>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</si>
  <si>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</si>
  <si>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</si>
  <si>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</si>
  <si>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</si>
  <si>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</si>
  <si>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</si>
  <si>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</si>
  <si>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</si>
  <si>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</si>
  <si>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</si>
  <si>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</si>
  <si>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</si>
  <si>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</si>
  <si>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</si>
  <si>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</si>
  <si>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</si>
  <si>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</si>
  <si>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</si>
  <si>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</si>
  <si>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</si>
  <si>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</si>
  <si>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</si>
  <si>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</si>
  <si>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</si>
  <si>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</si>
  <si>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</si>
  <si>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</si>
  <si>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</si>
  <si>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</si>
  <si>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</si>
  <si>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</si>
  <si>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</si>
  <si>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</si>
  <si>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</si>
  <si>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</si>
  <si>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</si>
  <si>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</si>
  <si>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</si>
  <si>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</si>
  <si>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</si>
  <si>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</si>
  <si>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</si>
  <si>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</si>
  <si>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</si>
  <si>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</si>
  <si>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</si>
  <si>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</si>
  <si>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</si>
  <si>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</si>
  <si>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</si>
  <si>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</si>
  <si>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</si>
  <si>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</si>
  <si>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</si>
  <si>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</si>
  <si>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</si>
  <si>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</si>
  <si>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</si>
  <si>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</si>
  <si>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</si>
  <si>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</si>
  <si>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</si>
  <si>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</si>
  <si>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</si>
  <si>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</si>
  <si>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</si>
  <si>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</si>
  <si>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</si>
  <si>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</si>
  <si>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</si>
  <si>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</si>
  <si>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</si>
  <si>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</si>
  <si>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</si>
  <si>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</si>
  <si>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</si>
  <si>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</si>
  <si>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</si>
  <si>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</si>
  <si>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</si>
  <si>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</si>
  <si>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</si>
  <si>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</si>
  <si>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</si>
  <si>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</si>
  <si>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</si>
  <si>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</si>
  <si>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</si>
  <si>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</si>
  <si>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</si>
  <si>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</si>
  <si>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</si>
  <si>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</si>
  <si>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</si>
  <si>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</si>
  <si>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</si>
  <si>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</si>
  <si>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</si>
  <si>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</si>
  <si>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</si>
  <si>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</si>
  <si>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</si>
  <si>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</si>
  <si>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</si>
  <si>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</si>
  <si>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</si>
  <si>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</si>
  <si>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</si>
  <si>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</si>
  <si>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</si>
  <si>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</si>
  <si>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</si>
  <si>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</si>
  <si>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</si>
  <si>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</si>
  <si>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</si>
  <si>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</si>
  <si>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</si>
  <si>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</si>
  <si>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</si>
  <si>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</si>
  <si>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</si>
  <si>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</si>
  <si>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</si>
  <si>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</si>
  <si>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</si>
  <si>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</si>
  <si>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</si>
  <si>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</si>
  <si>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</si>
  <si>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</si>
  <si>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</si>
  <si>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</si>
  <si>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</si>
  <si>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</si>
  <si>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</si>
  <si>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</si>
  <si>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</si>
  <si>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</si>
  <si>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</si>
  <si>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</si>
  <si>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</si>
  <si>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</si>
  <si>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</si>
  <si>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</si>
  <si>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</si>
  <si>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</si>
  <si>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</si>
  <si>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</si>
  <si>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</si>
  <si>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</si>
  <si>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</si>
  <si>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</si>
  <si>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</si>
  <si>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</si>
  <si>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</si>
  <si>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</si>
  <si>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</si>
  <si>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</si>
  <si>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</si>
  <si>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</si>
  <si>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</si>
  <si>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</si>
  <si>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</si>
  <si>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</si>
  <si>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</si>
  <si>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</si>
  <si>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</si>
  <si>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</si>
  <si>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</si>
  <si>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</si>
  <si>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</si>
  <si>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</si>
  <si>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</si>
  <si>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</si>
  <si>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</si>
  <si>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</si>
  <si>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</si>
  <si>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</si>
  <si>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</si>
  <si>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</si>
  <si>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</si>
  <si>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</si>
  <si>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</si>
  <si>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</si>
  <si>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</si>
  <si>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</si>
  <si>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</si>
  <si>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</si>
  <si>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</si>
  <si>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</si>
  <si>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</si>
  <si>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</si>
  <si>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</si>
  <si>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</si>
  <si>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</si>
  <si>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</si>
  <si>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</si>
  <si>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</si>
  <si>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</si>
  <si>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</si>
  <si>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</si>
  <si>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</si>
  <si>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</si>
  <si>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</si>
  <si>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</si>
  <si>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</si>
  <si>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</si>
  <si>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</si>
  <si>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</si>
  <si>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</si>
  <si>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</si>
  <si>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</si>
  <si>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</si>
  <si>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</si>
  <si>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</si>
  <si>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</si>
  <si>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</si>
  <si>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</si>
  <si>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</si>
  <si>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</si>
  <si>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</si>
  <si>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</si>
  <si>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</si>
  <si>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</si>
  <si>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</si>
  <si>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</si>
  <si>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</si>
  <si>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</si>
  <si>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</si>
  <si>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</si>
  <si>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</si>
  <si>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</si>
  <si>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</si>
  <si>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</si>
  <si>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</si>
  <si>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</si>
  <si>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</si>
  <si>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</si>
  <si>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</si>
  <si>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</si>
  <si>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</si>
  <si>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</si>
  <si>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</si>
  <si>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</si>
  <si>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</si>
  <si>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</si>
  <si>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</si>
  <si>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</si>
  <si>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</si>
  <si>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</si>
  <si>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</si>
  <si>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</si>
  <si>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</si>
  <si>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</si>
  <si>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</si>
  <si>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</si>
  <si>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</si>
  <si>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</si>
  <si>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</si>
  <si>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</si>
  <si>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</si>
  <si>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</si>
  <si>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</si>
  <si>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</si>
  <si>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</si>
  <si>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</si>
  <si>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</si>
  <si>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</si>
  <si>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</si>
  <si>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</si>
  <si>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</si>
  <si>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</si>
  <si>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</si>
  <si>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</si>
  <si>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</si>
  <si>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</si>
  <si>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</si>
  <si>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</si>
  <si>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</si>
  <si>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</si>
  <si>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</si>
  <si>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</si>
  <si>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</si>
  <si>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</si>
  <si>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</si>
  <si>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</si>
  <si>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</si>
  <si>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</si>
  <si>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</si>
  <si>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</si>
  <si>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</si>
  <si>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</si>
  <si>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</si>
  <si>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</si>
  <si>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</si>
  <si>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</si>
  <si>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</si>
  <si>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</si>
  <si>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</si>
  <si>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</si>
  <si>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</si>
  <si>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</si>
  <si>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</si>
  <si>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</si>
  <si>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</si>
  <si>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</si>
  <si>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</si>
  <si>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</si>
  <si>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</si>
  <si>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</si>
  <si>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</si>
  <si>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</si>
  <si>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</si>
  <si>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</si>
  <si>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</si>
  <si>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</si>
  <si>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</si>
  <si>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</si>
  <si>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</si>
  <si>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</si>
  <si>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</si>
  <si>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</si>
  <si>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</si>
  <si>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</si>
  <si>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</si>
  <si>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</si>
  <si>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</si>
  <si>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</si>
  <si>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</si>
  <si>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</si>
  <si>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</si>
  <si>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</si>
  <si>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</si>
  <si>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</si>
  <si>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</si>
  <si>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</si>
  <si>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</si>
  <si>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</si>
  <si>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</si>
  <si>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</si>
  <si>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</si>
  <si>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</si>
  <si>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</si>
  <si>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</si>
  <si>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</si>
  <si>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</si>
  <si>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</si>
  <si>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</si>
  <si>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</si>
  <si>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</si>
  <si>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</si>
  <si>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</si>
  <si>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</si>
  <si>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</si>
  <si>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</si>
  <si>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</si>
  <si>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</si>
  <si>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</si>
  <si>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</si>
  <si>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</si>
  <si>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</si>
  <si>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</si>
  <si>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</si>
  <si>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</si>
  <si>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</si>
  <si>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</si>
  <si>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</si>
  <si>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</si>
  <si>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</si>
  <si>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</si>
  <si>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</si>
  <si>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</si>
  <si>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</si>
  <si>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</si>
  <si>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</si>
  <si>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</si>
  <si>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</si>
  <si>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</si>
  <si>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</si>
  <si>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</si>
  <si>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</si>
  <si>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</si>
  <si>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</si>
  <si>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</si>
  <si>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</si>
  <si>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</si>
  <si>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</si>
  <si>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</si>
  <si>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</si>
  <si>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</si>
  <si>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</si>
  <si>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</si>
  <si>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</si>
  <si>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</si>
  <si>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</si>
  <si>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</si>
  <si>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</si>
  <si>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</si>
  <si>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</si>
  <si>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</si>
  <si>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</si>
  <si>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</si>
  <si>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</si>
  <si>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</si>
  <si>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</si>
  <si>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</si>
  <si>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</si>
  <si>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</si>
  <si>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</si>
  <si>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</si>
  <si>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</si>
  <si>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</si>
  <si>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</si>
  <si>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</si>
  <si>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</si>
  <si>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</si>
  <si>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</si>
  <si>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</si>
  <si>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</si>
  <si>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</si>
  <si>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</si>
  <si>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</si>
  <si>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</si>
  <si>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</si>
  <si>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</si>
  <si>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</si>
  <si>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</si>
  <si>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</si>
  <si>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</si>
  <si>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</si>
  <si>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</si>
  <si>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</si>
  <si>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</si>
  <si>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</si>
  <si>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</si>
  <si>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</si>
  <si>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</si>
  <si>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</si>
  <si>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</si>
  <si>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</si>
  <si>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</si>
  <si>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</si>
  <si>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</si>
  <si>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</si>
  <si>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</si>
  <si>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</si>
  <si>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</si>
  <si>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</si>
  <si>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</si>
  <si>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</si>
  <si>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</si>
  <si>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</si>
  <si>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</si>
  <si>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</si>
  <si>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</si>
  <si>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</si>
  <si>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</si>
  <si>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</si>
  <si>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</si>
  <si>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</si>
  <si>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</si>
  <si>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</si>
  <si>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</si>
  <si>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</si>
  <si>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</si>
  <si>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</si>
  <si>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</si>
  <si>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</si>
  <si>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</si>
  <si>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</si>
  <si>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</si>
  <si>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</si>
  <si>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</si>
  <si>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</si>
  <si>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</si>
  <si>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</si>
  <si>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</si>
  <si>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</si>
  <si>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</si>
  <si>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</si>
  <si>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</si>
  <si>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</si>
  <si>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</si>
  <si>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</si>
  <si>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</si>
  <si>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</si>
  <si>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</si>
  <si>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</si>
  <si>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</si>
  <si>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</si>
  <si>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</si>
  <si>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</si>
  <si>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</si>
  <si>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</si>
  <si>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</si>
  <si>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</si>
  <si>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</si>
  <si>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</si>
  <si>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</si>
  <si>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</si>
  <si>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</si>
  <si>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</si>
  <si>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</si>
  <si>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</si>
  <si>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</si>
  <si>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</si>
  <si>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</si>
  <si>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</si>
  <si>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</si>
  <si>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</si>
  <si>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</si>
  <si>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</si>
  <si>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</si>
  <si>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</si>
  <si>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</si>
  <si>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</si>
  <si>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</si>
  <si>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</si>
  <si>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</si>
  <si>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</si>
  <si>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</si>
  <si>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</si>
  <si>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</si>
  <si>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</si>
  <si>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</si>
  <si>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</si>
  <si>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</si>
  <si>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</si>
  <si>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</si>
  <si>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</si>
  <si>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</si>
  <si>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</si>
  <si>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</si>
  <si>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</si>
  <si>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</si>
  <si>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</si>
  <si>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</si>
  <si>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</si>
  <si>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</si>
  <si>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</si>
  <si>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</si>
  <si>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</si>
  <si>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</si>
  <si>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</si>
  <si>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</si>
  <si>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</si>
  <si>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</si>
  <si>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</si>
  <si>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</si>
  <si>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</si>
  <si>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</si>
  <si>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</si>
  <si>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</si>
  <si>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</si>
  <si>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</si>
  <si>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</si>
  <si>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</si>
  <si>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</si>
  <si>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</si>
  <si>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</si>
  <si>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</si>
  <si>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</si>
  <si>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</si>
  <si>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</si>
  <si>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</si>
  <si>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</si>
  <si>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</si>
  <si>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</si>
  <si>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</si>
  <si>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</si>
  <si>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</si>
  <si>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</si>
  <si>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</si>
  <si>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</si>
  <si>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</si>
  <si>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</si>
  <si>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</si>
  <si>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</si>
  <si>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</si>
  <si>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</si>
  <si>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</si>
  <si>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</si>
  <si>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</si>
  <si>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</si>
  <si>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</si>
  <si>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</si>
  <si>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</si>
  <si>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</si>
  <si>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</si>
  <si>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</si>
  <si>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</si>
  <si>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</si>
  <si>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</si>
  <si>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</si>
  <si>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</si>
  <si>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</si>
  <si>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</si>
  <si>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</si>
  <si>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</si>
  <si>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</si>
  <si>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</si>
  <si>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</si>
  <si>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</si>
  <si>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</si>
  <si>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</si>
  <si>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</si>
  <si>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</si>
  <si>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</si>
  <si>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</si>
  <si>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</si>
  <si>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</si>
  <si>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</si>
  <si>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</si>
  <si>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</si>
  <si>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</si>
  <si>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</si>
  <si>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</si>
  <si>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</si>
  <si>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</si>
  <si>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</si>
  <si>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</si>
  <si>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</si>
  <si>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</si>
  <si>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</si>
  <si>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</si>
  <si>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</si>
  <si>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</si>
  <si>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</si>
  <si>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</si>
  <si>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</si>
  <si>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</si>
  <si>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</si>
  <si>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</si>
  <si>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</si>
  <si>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</si>
  <si>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</si>
  <si>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</si>
  <si>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</si>
  <si>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</si>
  <si>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</si>
  <si>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</si>
  <si>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</si>
  <si>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</si>
  <si>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</si>
  <si>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</si>
  <si>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</si>
  <si>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</si>
  <si>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</si>
  <si>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</si>
  <si>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</si>
  <si>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</si>
  <si>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</si>
  <si>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</si>
  <si>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</si>
  <si>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</si>
  <si>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</si>
  <si>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</si>
  <si>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</si>
  <si>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</si>
  <si>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</si>
  <si>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</si>
  <si>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</si>
  <si>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</si>
  <si>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</si>
  <si>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</si>
  <si>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</si>
  <si>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</si>
  <si>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</si>
  <si>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</si>
  <si>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</si>
  <si>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</si>
  <si>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</si>
  <si>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</si>
  <si>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</si>
  <si>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</si>
  <si>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</si>
  <si>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</si>
  <si>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</si>
  <si>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</si>
  <si>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</si>
  <si>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</si>
  <si>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</si>
  <si>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</si>
  <si>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</si>
  <si>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</si>
  <si>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</si>
  <si>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</si>
  <si>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</si>
  <si>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</si>
  <si>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</si>
  <si>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</si>
  <si>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</si>
  <si>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</si>
  <si>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</si>
  <si>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</si>
  <si>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</si>
  <si>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</si>
  <si>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</si>
  <si>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</si>
  <si>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</si>
  <si>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</si>
  <si>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</si>
  <si>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</si>
  <si>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</si>
  <si>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</si>
  <si>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</si>
  <si>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</si>
  <si>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</si>
  <si>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</si>
  <si>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</si>
  <si>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</si>
  <si>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</si>
  <si>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</si>
  <si>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</si>
  <si>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</si>
  <si>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</si>
  <si>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</si>
  <si>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</si>
  <si>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</si>
  <si>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</si>
  <si>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</si>
  <si>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</si>
  <si>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</si>
  <si>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</si>
  <si>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</si>
  <si>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</si>
  <si>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</si>
  <si>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</si>
  <si>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</si>
  <si>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</si>
  <si>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</si>
  <si>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</si>
  <si>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</si>
  <si>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</si>
  <si>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</si>
  <si>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</si>
  <si>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</si>
  <si>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</si>
  <si>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</si>
  <si>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</si>
  <si>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</si>
  <si>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</si>
  <si>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</si>
  <si>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</si>
  <si>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</si>
  <si>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</si>
  <si>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</si>
  <si>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</si>
  <si>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</si>
  <si>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</si>
  <si>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</si>
  <si>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</si>
  <si>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</si>
  <si>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</si>
  <si>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</si>
  <si>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</si>
  <si>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</si>
  <si>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</si>
  <si>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</si>
  <si>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</si>
  <si>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</si>
  <si>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</si>
  <si>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</si>
  <si>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</si>
  <si>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</si>
  <si>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</si>
  <si>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</si>
  <si>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</si>
  <si>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</si>
  <si>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</si>
  <si>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</si>
  <si>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</si>
  <si>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</si>
  <si>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</si>
  <si>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</si>
  <si>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</si>
  <si>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</si>
  <si>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</si>
  <si>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</si>
  <si>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</si>
  <si>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</si>
  <si>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</si>
  <si>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</si>
  <si>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</si>
  <si>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</si>
  <si>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</si>
  <si>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</si>
  <si>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</si>
  <si>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</si>
  <si>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</si>
  <si>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</si>
  <si>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</si>
  <si>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</si>
  <si>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</si>
  <si>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</si>
  <si>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</si>
  <si>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</si>
  <si>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</si>
  <si>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</si>
  <si>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</si>
  <si>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</si>
  <si>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</si>
  <si>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</si>
  <si>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</si>
  <si>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</si>
  <si>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</si>
  <si>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</si>
  <si>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</si>
  <si>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</si>
  <si>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</si>
  <si>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</si>
  <si>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</si>
  <si>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</si>
  <si>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</si>
  <si>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</si>
  <si>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</si>
  <si>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</si>
  <si>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</si>
  <si>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</si>
  <si>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</si>
  <si>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</si>
  <si>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</si>
  <si>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</si>
  <si>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</si>
  <si>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</si>
  <si>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</si>
  <si>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</si>
  <si>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</si>
  <si>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</si>
  <si>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</si>
  <si>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</si>
  <si>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</si>
  <si>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</si>
  <si>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</si>
  <si>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</si>
  <si>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</si>
  <si>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</si>
  <si>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</si>
  <si>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</si>
  <si>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</si>
  <si>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</si>
  <si>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</si>
  <si>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</si>
  <si>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</si>
  <si>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</si>
  <si>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</si>
  <si>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</si>
  <si>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</si>
  <si>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</si>
  <si>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</si>
  <si>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</si>
  <si>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</si>
  <si>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</si>
  <si>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</si>
  <si>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</si>
  <si>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</si>
  <si>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</si>
  <si>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</si>
  <si>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</si>
  <si>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</si>
  <si>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</si>
  <si>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</si>
  <si>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</si>
  <si>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</si>
  <si>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</si>
  <si>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</si>
  <si>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</si>
  <si>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</si>
  <si>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</si>
  <si>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</si>
  <si>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</si>
  <si>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</si>
  <si>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</si>
  <si>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</si>
  <si>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</si>
  <si>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</si>
  <si>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</si>
  <si>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</si>
  <si>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</si>
  <si>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</si>
  <si>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</si>
  <si>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</si>
  <si>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</si>
  <si>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</si>
  <si>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</si>
  <si>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</si>
  <si>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</si>
  <si>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</si>
  <si>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</si>
  <si>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</si>
  <si>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</si>
  <si>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</si>
  <si>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</si>
  <si>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</si>
  <si>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</si>
  <si>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</si>
  <si>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</si>
  <si>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</si>
  <si>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</si>
  <si>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</si>
  <si>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</si>
  <si>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</si>
  <si>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</si>
  <si>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</si>
  <si>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</si>
  <si>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</si>
  <si>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</si>
  <si>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</si>
  <si>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</si>
  <si>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</si>
  <si>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</si>
  <si>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</si>
  <si>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</si>
  <si>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</si>
  <si>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</si>
  <si>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</si>
  <si>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</si>
  <si>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</si>
  <si>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</si>
  <si>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</si>
  <si>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</si>
  <si>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</si>
  <si>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</si>
  <si>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</si>
  <si>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</si>
  <si>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</si>
  <si>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</si>
  <si>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</si>
  <si>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</si>
  <si>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</si>
  <si>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</si>
  <si>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</si>
  <si>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</si>
  <si>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</si>
  <si>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</si>
  <si>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</si>
  <si>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</si>
  <si>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</si>
  <si>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</si>
  <si>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</si>
  <si>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</si>
  <si>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</si>
  <si>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</si>
  <si>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</si>
  <si>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</si>
  <si>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</si>
  <si>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</si>
  <si>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</si>
  <si>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</si>
  <si>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</si>
  <si>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</si>
  <si>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</si>
  <si>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</si>
  <si>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</si>
  <si>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</si>
  <si>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</si>
  <si>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</si>
  <si>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</si>
  <si>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</si>
  <si>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</si>
  <si>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</si>
  <si>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</si>
  <si>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</si>
  <si>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</si>
  <si>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</si>
  <si>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</si>
  <si>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</si>
  <si>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</si>
  <si>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</si>
  <si>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</si>
  <si>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</si>
  <si>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</si>
  <si>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</si>
  <si>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</si>
  <si>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</si>
  <si>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</si>
  <si>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</si>
  <si>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</si>
  <si>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</si>
  <si>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</si>
  <si>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</si>
  <si>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</si>
  <si>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</si>
  <si>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</si>
  <si>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</si>
  <si>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</si>
  <si>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</si>
  <si>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</si>
  <si>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</si>
  <si>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</si>
  <si>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</si>
  <si>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</si>
  <si>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</si>
  <si>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</si>
  <si>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</si>
  <si>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</si>
  <si>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</si>
  <si>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</si>
  <si>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</si>
  <si>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</si>
  <si>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</si>
  <si>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</si>
  <si>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</si>
  <si>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</si>
  <si>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</si>
  <si>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</si>
  <si>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</si>
  <si>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</si>
  <si>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</si>
  <si>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</si>
  <si>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</si>
  <si>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</si>
  <si>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</si>
  <si>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</si>
  <si>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</si>
  <si>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</si>
  <si>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</si>
  <si>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</si>
  <si>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</si>
  <si>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</si>
  <si>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</si>
  <si>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</si>
  <si>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</si>
  <si>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</si>
  <si>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</si>
  <si>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</si>
  <si>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</si>
  <si>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</si>
  <si>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</si>
  <si>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</si>
  <si>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</si>
  <si>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</si>
  <si>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</si>
  <si>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</si>
  <si>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</si>
  <si>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</si>
  <si>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</si>
  <si>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</si>
  <si>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</si>
  <si>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</si>
  <si>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</si>
  <si>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</si>
  <si>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</si>
  <si>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</si>
  <si>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</si>
  <si>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</si>
  <si>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</si>
  <si>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</si>
  <si>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</si>
  <si>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</si>
  <si>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</si>
  <si>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</si>
  <si>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</si>
  <si>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</si>
  <si>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</si>
  <si>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</si>
  <si>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</si>
  <si>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</si>
  <si>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</si>
  <si>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</si>
  <si>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</si>
  <si>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</si>
  <si>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</si>
  <si>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</si>
  <si>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</si>
  <si>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</si>
  <si>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</si>
  <si>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</si>
  <si>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</si>
  <si>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</si>
  <si>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</si>
  <si>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</si>
  <si>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</si>
  <si>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</si>
  <si>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</si>
  <si>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</si>
  <si>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</si>
  <si>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</si>
  <si>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</si>
  <si>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</si>
  <si>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</si>
  <si>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</si>
  <si>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</si>
  <si>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</si>
  <si>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</si>
  <si>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</si>
  <si>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</si>
  <si>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</si>
  <si>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</si>
  <si>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</si>
  <si>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</si>
  <si>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</si>
  <si>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</si>
  <si>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</si>
  <si>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</si>
  <si>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</si>
  <si>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</si>
  <si>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</si>
  <si>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</si>
  <si>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</si>
  <si>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</si>
  <si>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</si>
  <si>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</si>
  <si>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</si>
  <si>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</si>
  <si>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</si>
  <si>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</si>
  <si>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</si>
  <si>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</si>
  <si>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</si>
  <si>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</si>
  <si>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</si>
  <si>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</si>
  <si>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</si>
  <si>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</si>
  <si>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</si>
  <si>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</si>
  <si>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</si>
  <si>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</si>
  <si>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</si>
  <si>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</si>
  <si>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</si>
  <si>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</si>
  <si>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</si>
  <si>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</si>
  <si>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</si>
  <si>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</si>
  <si>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</si>
  <si>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</si>
  <si>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</si>
  <si>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</si>
  <si>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</si>
  <si>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</si>
  <si>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</si>
  <si>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</si>
  <si>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</si>
  <si>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</si>
  <si>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</si>
  <si>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</si>
  <si>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</si>
  <si>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</si>
  <si>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</si>
  <si>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</si>
  <si>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</si>
  <si>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</si>
  <si>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</si>
  <si>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</si>
  <si>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</si>
  <si>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</si>
  <si>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</si>
  <si>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</si>
  <si>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</si>
  <si>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</si>
  <si>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</si>
  <si>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</si>
  <si>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</si>
  <si>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</si>
  <si>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</si>
  <si>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</si>
  <si>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</si>
  <si>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</si>
  <si>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</si>
  <si>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</si>
  <si>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</si>
  <si>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</si>
  <si>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</si>
  <si>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办公</t>
    <phoneticPr fontId="3" type="noConversion"/>
  </si>
  <si>
    <t>是</t>
  </si>
  <si>
    <t>地上</t>
  </si>
  <si>
    <t>办公</t>
    <phoneticPr fontId="7" type="noConversion"/>
  </si>
  <si>
    <t>成新度</t>
  </si>
  <si>
    <t>直线</t>
    <phoneticPr fontId="3" type="noConversion"/>
  </si>
  <si>
    <t>综合</t>
    <phoneticPr fontId="3" type="noConversion"/>
  </si>
  <si>
    <t>收益法 (元)</t>
  </si>
  <si>
    <t>Ⅸ-房1</t>
  </si>
  <si>
    <t>商务金融用地</t>
  </si>
  <si>
    <t>估价对象容积率</t>
  </si>
  <si>
    <t>与级别开发程度一致</t>
  </si>
  <si>
    <t>中心城区以外</t>
  </si>
  <si>
    <t>较差</t>
  </si>
  <si>
    <t>一般</t>
  </si>
  <si>
    <t>未包含在土地购买价格中</t>
  </si>
  <si>
    <t>已包含在土地取得成本中</t>
  </si>
  <si>
    <t>押一</t>
  </si>
  <si>
    <t>钢混</t>
  </si>
  <si>
    <t>非生产用房</t>
  </si>
  <si>
    <t>否</t>
  </si>
  <si>
    <t>现房</t>
  </si>
  <si>
    <t>项目全部</t>
  </si>
  <si>
    <t>成本法 (元)</t>
  </si>
  <si>
    <t>观察</t>
    <phoneticPr fontId="3" type="noConversion"/>
  </si>
  <si>
    <t xml:space="preserve"> 北京大兴宾馆有限责任公司  </t>
  </si>
  <si>
    <t>2021-12-23 15:00</t>
  </si>
  <si>
    <t xml:space="preserve"> 已成交</t>
  </si>
  <si>
    <t xml:space="preserve">2021年第3批次 </t>
  </si>
  <si>
    <t xml:space="preserve"> B14旅馆用地</t>
  </si>
  <si>
    <t xml:space="preserve"> 商业/办公用地</t>
  </si>
  <si>
    <t>京土整储挂(兴)[2021]089号</t>
  </si>
  <si>
    <t>北京市大兴区黄村镇DX00-0201-6001地块B14旅馆用地</t>
  </si>
  <si>
    <t xml:space="preserve"> 中国太平洋人寿保险股份有限公司  </t>
  </si>
  <si>
    <t xml:space="preserve">-- </t>
  </si>
  <si>
    <t xml:space="preserve"> F3其他类多功能用地</t>
  </si>
  <si>
    <t>京土整储挂(开)[2021]099号</t>
  </si>
  <si>
    <t>北京经济技术开发区亦庄新城0902街区JG01-07地块F3其他类多功能用地</t>
  </si>
  <si>
    <t xml:space="preserve"> 北京新航城建设实业发展有限公司  </t>
  </si>
  <si>
    <t xml:space="preserve"> B4综合性商业金融服务业用地</t>
  </si>
  <si>
    <t>京土储挂(兴临空)[2022]019号</t>
  </si>
  <si>
    <t>北京大兴国际机场临空经济区(北京部分)0205街区DX09-0103-0205地块B4综合性商业金融服务业用地</t>
  </si>
  <si>
    <t>2022-05-02 15:00</t>
  </si>
  <si>
    <t xml:space="preserve"> ≤2.2</t>
  </si>
  <si>
    <t>京土储挂(兴临空)[2022]020号</t>
  </si>
  <si>
    <t>北京大兴国际机场临空经济区 DX12-0105-6006、6009 地块F3其他类多功能用地</t>
  </si>
  <si>
    <t xml:space="preserve"> 北京京东昆岳科技产业创新发展有限公司  </t>
  </si>
  <si>
    <t>2022-06-23 15:00</t>
  </si>
  <si>
    <t xml:space="preserve"> ≤5.0</t>
  </si>
  <si>
    <t>京土储挂(开)[2022]039号</t>
  </si>
  <si>
    <t>北京经济技术开发区亦庄新城0303街区C14C-3地块F3其他类多功能用地</t>
  </si>
  <si>
    <t xml:space="preserve"> 空气(北京)氢能科技有限公司  </t>
  </si>
  <si>
    <t>2023-01-19 15:00</t>
  </si>
  <si>
    <t xml:space="preserve"> S5加油加气站(加氢站)用地</t>
  </si>
  <si>
    <t xml:space="preserve"> ≤0.4</t>
  </si>
  <si>
    <t>京土储挂(兴临空)[2022]072号</t>
  </si>
  <si>
    <t>北京大兴国际机场临空经济区DX12-0105-6103地块S5加油加气站(加氢站)用地</t>
  </si>
  <si>
    <t xml:space="preserve"> 电建智汇(北京)运营管理有限公司  </t>
  </si>
  <si>
    <t xml:space="preserve"> F81集体产业用地</t>
  </si>
  <si>
    <t>京规自集使挂(兴)[2023]002号</t>
  </si>
  <si>
    <t>大兴区西红门镇集体经营性建设用地2号地2-002A地块</t>
  </si>
  <si>
    <t xml:space="preserve"> 北京京东方医院有限公司  </t>
  </si>
  <si>
    <t xml:space="preserve"> fs00-dd06-0018、0019容积率1.6;0023、0024容积率2.5</t>
  </si>
  <si>
    <t>京土储挂(房)[2023]013号</t>
  </si>
  <si>
    <t>北京市房山区窦店镇高端制造业基地06街区01地块FS00-DD06-0018、0019、0023、0024地块F3其他类多功能用地</t>
  </si>
  <si>
    <t>受让单位</t>
  </si>
  <si>
    <t>溢价率(%)</t>
  </si>
  <si>
    <t>成交楼面价(元/㎡)</t>
  </si>
  <si>
    <t>成交每亩价(万元/亩)</t>
  </si>
  <si>
    <t>成交价(万元)</t>
  </si>
  <si>
    <t>保证金截止时间</t>
  </si>
  <si>
    <t>保证金(万元)</t>
  </si>
  <si>
    <t>起始价(万元)</t>
  </si>
  <si>
    <t>成交状态</t>
  </si>
  <si>
    <t>成交时间</t>
  </si>
  <si>
    <t>截止时间</t>
  </si>
  <si>
    <t>集中供地</t>
  </si>
  <si>
    <t>详细规划</t>
  </si>
  <si>
    <t>容积率</t>
  </si>
  <si>
    <t>规划建筑面积(㎡)</t>
  </si>
  <si>
    <t>建设用地面积(㎡)</t>
  </si>
  <si>
    <t>用地性质</t>
  </si>
  <si>
    <t>地块编号</t>
  </si>
  <si>
    <t>地块名称</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</si>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</sst>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07" fillId="0" borderId="0" xfId="19" applyNumberFormat="1" applyFont="1" applyAlignment="1">
      <alignment horizontal="left" vertical="center"/>
    </xf>
    <xf numFmtId="14" fontId="113" fillId="0" borderId="13"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70" fillId="0" borderId="0" xfId="19" applyNumberFormat="1" applyFont="1" applyAlignment="1">
      <alignment horizontal="left" vertical="center"/>
    </xf>
    <xf numFmtId="14" fontId="107" fillId="0" borderId="0" xfId="19" applyNumberFormat="1" applyFont="1" applyAlignment="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474726</xdr:colOff>
      <xdr:row>39</xdr:row>
      <xdr:rowOff>106829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75926" cy="67933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估价对象为北京市房地产，为所有。根据《国有土地使用证》[]，估价对象（分摊）出让国有建设用地使用权面积为964.84平方米，建筑面积为3131.3平方米。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估价对象为北京市房地产,为开发建设的，该项目尚在开发建设中。根据《国有土地使用证》[]，估价对象（分摊）出让国有建设用地使用权面积为964.84平方米，规划建筑面积为3131.3平方米。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2024年3月5日（评估专业人员实地查勘之日）</v>
      </c>
    </row>
    <row r="13" spans="1:2" s="1203" customFormat="1">
      <c r="A13" s="1201" t="s">
        <v>529</v>
      </c>
      <c r="B13" s="1202" t="str">
        <f>'预评函-1'!A18</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2066</v>
      </c>
    </row>
    <row r="21" spans="1:2" s="1203" customFormat="1">
      <c r="A21" s="1201" t="s">
        <v>537</v>
      </c>
      <c r="B21" s="1202">
        <f ca="1">'预评函-2'!D7</f>
        <v>6598</v>
      </c>
    </row>
    <row r="22" spans="1:2" s="1203" customFormat="1">
      <c r="A22" s="1201" t="s">
        <v>538</v>
      </c>
      <c r="B22" s="1202" t="str">
        <f ca="1">'预评函-2'!D6</f>
        <v>贰仟零陆拾陆万元整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2066</v>
      </c>
    </row>
    <row r="31" spans="1:2" s="1203" customFormat="1">
      <c r="A31" s="1201" t="s">
        <v>576</v>
      </c>
      <c r="B31" s="1202">
        <f ca="1">'预评函-2'!D15</f>
        <v>6598</v>
      </c>
    </row>
    <row r="32" spans="1:2" s="1203" customFormat="1">
      <c r="A32" s="1201" t="s">
        <v>543</v>
      </c>
      <c r="B32" s="1202" t="str">
        <f ca="1">'预评函-2'!D14</f>
        <v>贰仟零陆拾陆万元整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3131.3</v>
      </c>
    </row>
    <row r="44" spans="1:2" s="1203" customFormat="1">
      <c r="A44" s="1201" t="s">
        <v>575</v>
      </c>
      <c r="B44" s="1202" t="str">
        <f>'预评函-3'!C2</f>
        <v>(分摊)土地面积</v>
      </c>
    </row>
    <row r="45" spans="1:2" s="1203" customFormat="1">
      <c r="A45" s="1201" t="s">
        <v>547</v>
      </c>
      <c r="B45" s="1202">
        <f>'预评函-3'!C4</f>
        <v>964.84</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45356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2.79</v>
      </c>
      <c r="D5" s="3025">
        <f>IF(ISERROR(ROUND(POWER(1+E5,A5-C5)*(POWER(1+E5,C5)-1)/(POWER(1+E5,A5)-1),3)),0,ROUND(POWER(1+E5,A5-C5)*(POWER(1+E5,C5)-1)/(POWER(1+E5,A5)-1),4))</f>
        <v>0.13089999999999999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v>
      </c>
      <c r="D6" s="3025">
        <f>IF(ISERROR(ROUND(POWER(1+E6,A6-C6)*(POWER(1+E6,C6)-1)/(POWER(1+E6,A6)-1),3)),0,ROUND(POWER(1+E6,A6-C6)*(POWER(1+E6,C6)-1)/(POWER(1+E6,A6)-1),4))</f>
        <v>0.45929999999999999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32.81</v>
      </c>
      <c r="D7" s="3025">
        <f>IF(ISERROR(ROUND(POWER(1+E7,A7-C7)*(POWER(1+E7,C7)-1)/(POWER(1+E7,A7)-1),3)),0,ROUND(POWER(1+E7,A7-C7)*(POWER(1+E7,C7)-1)/(POWER(1+E7,A7)-1),4))</f>
        <v>0.77349999999999997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3" sqref="D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3452">
        <v>45356</v>
      </c>
      <c r="C3" s="2374" t="s">
        <v>2171</v>
      </c>
      <c r="D3" s="2373">
        <f>B3</f>
        <v>45356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6"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507"/>
      <c r="E9" s="2394" t="s">
        <v>43</v>
      </c>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c r="E13" s="856">
        <v>54563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25.22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3131.3</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964.84</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3394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41" sqref="J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964.84</v>
      </c>
      <c r="B3" s="11">
        <f>IF(C3="否",G5-AT5,G5)</f>
        <v>3131.3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3131.3</v>
      </c>
      <c r="H5" s="13">
        <f t="shared" ref="H5:AT5" si="0">SUM(H13:H656)</f>
        <v>3131.3</v>
      </c>
      <c r="I5" s="13">
        <f t="shared" si="0"/>
        <v>3131.3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3131.3</v>
      </c>
      <c r="BA5" s="15">
        <f t="shared" si="1"/>
        <v>3131.3</v>
      </c>
      <c r="BB5" s="15">
        <f t="shared" si="1"/>
        <v>3131.3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964.84</v>
      </c>
      <c r="F6" s="13" t="s">
        <v>0</v>
      </c>
      <c r="G6" s="13" t="s">
        <v>1</v>
      </c>
      <c r="H6" s="17">
        <f>SUMIF(I$12:AB$12,"总值",I6:AB6)</f>
        <v>964.84</v>
      </c>
      <c r="I6" s="13">
        <f t="shared" ref="I6:AB6" si="2">ROUND($A$3*I5/$B$3,2)</f>
        <v>964.84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964.84</v>
      </c>
      <c r="AZ6" s="13" t="s">
        <v>2</v>
      </c>
      <c r="BA6" s="13">
        <f>ROUND($AY$6*BA5/$AZ$5,2)</f>
        <v>964.84</v>
      </c>
      <c r="BB6" s="13">
        <f>ROUND($AY$6*BB5/$AZ$5,2)</f>
        <v>964.84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3386</v>
      </c>
      <c r="D13" s="1625" t="s">
        <v>3387</v>
      </c>
      <c r="E13" s="13">
        <f>IF($C$3="是",ROUND($A$3*G13/$B$3,2),ROUND($A$3*(G13-AT13)/$B$3,2))</f>
        <v>964.84</v>
      </c>
      <c r="F13" s="29"/>
      <c r="G13" s="30">
        <f>H13+AC13+AT13</f>
        <v>3131.3</v>
      </c>
      <c r="H13" s="17">
        <f>SUMIF(I$12:AB$12,"总值",I13:AB13)</f>
        <v>3131.3</v>
      </c>
      <c r="I13" s="1626">
        <v>3131.3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办公</v>
      </c>
      <c r="AY13" s="1349">
        <f>ROUND($AY$6*AZ13/$AZ$5,2)</f>
        <v>964.84</v>
      </c>
      <c r="AZ13" s="13">
        <f>BA13+BL13</f>
        <v>3131.3</v>
      </c>
      <c r="BA13" s="13">
        <f>SUM(BB13:BK13)</f>
        <v>3131.3</v>
      </c>
      <c r="BB13" s="13">
        <f>IF($D13="是",I13-J13,0)</f>
        <v>3131.3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964.84</v>
      </c>
      <c r="E3" s="43">
        <f>'数据-基础表'!AZ5</f>
        <v>3131.3</v>
      </c>
      <c r="F3" s="2659"/>
      <c r="G3" s="1145"/>
      <c r="H3" s="1026" t="s">
        <v>1106</v>
      </c>
      <c r="I3" s="855">
        <f>ROUND('数据-基础表'!B3/'数据-基础表'!A3,2)</f>
        <v>3.25</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3.25</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3.25</v>
      </c>
      <c r="J5" s="2659"/>
      <c r="K5" s="2659"/>
      <c r="L5" s="2659"/>
      <c r="M5" s="2659"/>
      <c r="N5" s="2659"/>
      <c r="O5" s="2659"/>
      <c r="P5" s="2659"/>
    </row>
    <row r="6" spans="1:16" ht="15" thickBot="1">
      <c r="A6" s="1644"/>
      <c r="B6" s="3539" t="s">
        <v>1111</v>
      </c>
      <c r="C6" s="3539"/>
      <c r="D6" s="45">
        <f>ROUND($D$3*E6/$E$3,2)</f>
        <v>964.84</v>
      </c>
      <c r="E6" s="46">
        <f>E3-E5</f>
        <v>3131.3</v>
      </c>
      <c r="F6" s="2659"/>
      <c r="G6" s="2653" t="s">
        <v>1112</v>
      </c>
      <c r="H6" s="1146" t="s">
        <v>1113</v>
      </c>
      <c r="I6" s="2654">
        <f>ROUND(F31/D31,2)</f>
        <v>3.25</v>
      </c>
      <c r="J6" s="2659"/>
      <c r="K6" s="2659"/>
      <c r="L6" s="2659"/>
      <c r="M6" s="2659"/>
      <c r="N6" s="2659"/>
      <c r="O6" s="2659"/>
      <c r="P6" s="2659"/>
    </row>
    <row r="7" spans="1:16" ht="15.75" thickBot="1">
      <c r="A7" s="3531"/>
      <c r="B7" s="3532"/>
      <c r="C7" s="353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964.84</v>
      </c>
      <c r="E8" s="48">
        <f>SUMIF('数据-基础表'!BB10:BK10,"地上",'数据-基础表'!BB5:BK5)</f>
        <v>3131.3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964.84</v>
      </c>
      <c r="E16" s="50">
        <f>SUM(E8:E15)</f>
        <v>3131.3</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3389</v>
      </c>
      <c r="D19" s="45">
        <f>ROUND($D$3*E19/$E$3,2)</f>
        <v>964.84</v>
      </c>
      <c r="E19" s="53">
        <f t="shared" ref="E19:E26" si="1">SUM(F19:G19)</f>
        <v>3131.3</v>
      </c>
      <c r="F19" s="2795">
        <f>'数据-基础表'!I13</f>
        <v>3131.3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964.84</v>
      </c>
      <c r="S19" s="1027">
        <f t="shared" si="5"/>
        <v>3131.3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964.84</v>
      </c>
      <c r="E27" s="1141">
        <f>IF(SUM(E19:E26)='数据-基础表'!BA5,SUM(E19:E26),IF(F27="地上面积有误","面积有误","地下面积有误"))</f>
        <v>3131.3</v>
      </c>
      <c r="F27" s="1140">
        <f>IF(SUM(F19:F26)=E8,SUM(F19:F26),"地上面积有误")</f>
        <v>3131.3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964.84</v>
      </c>
      <c r="S27" s="1026">
        <f>IF(SUM(S19:S26)=$E$3,SUM(S19:S26),SUM(S19:S26)&amp;"误差"&amp;ROUND(SUM(S19:S26)-E3,2))</f>
        <v>3131.3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964.84</v>
      </c>
      <c r="E31" s="676">
        <f>E27+E30</f>
        <v>3131.3</v>
      </c>
      <c r="F31" s="677">
        <f>F27+F30</f>
        <v>3131.3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9" sqref="I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54563</v>
      </c>
      <c r="F6" s="64">
        <f>SUMIF(项目基本情况!C$12:I$12,C6,项目基本情况!C$15:I$15)</f>
        <v>25.22</v>
      </c>
      <c r="G6" s="65">
        <f>IF(ISERROR(ROUND(POWER(1+H6,D6-F6)*(POWER(1+H6,F6)-1)/(POWER(1+H6,D6)-1),3)),0,ROUND(POWER(1+H6,D6-F6)*(POWER(1+H6,F6)-1)/(POWER(1+H6,D6)-1),3))</f>
        <v>0.754</v>
      </c>
      <c r="H6" s="732">
        <v>4.4999999999999998E-2</v>
      </c>
      <c r="I6" s="732">
        <v>0.05</v>
      </c>
      <c r="J6" s="66">
        <v>7.0000000000000007E-2</v>
      </c>
      <c r="K6" s="1030">
        <f>SUMIF('数据-汇总表'!C$19:C$33,A6,'数据-汇总表'!E$19:E$33)</f>
        <v>3131.3</v>
      </c>
      <c r="L6" s="733">
        <v>3000</v>
      </c>
      <c r="M6" s="67">
        <f t="shared" ref="M6:M14" si="0">ROUND(K6*L6/10000,0)</f>
        <v>939</v>
      </c>
      <c r="N6" s="731">
        <f>N21</f>
        <v>0.61499999999999999</v>
      </c>
      <c r="O6" s="67" t="str">
        <f>IF($N$5="成新度","——",ROUND(M6*N6,0))</f>
        <v>——</v>
      </c>
      <c r="P6" s="68" t="str">
        <f>IF($N$5="成新度","——",M6-O6)</f>
        <v>——</v>
      </c>
      <c r="Q6" s="734">
        <v>0.1</v>
      </c>
      <c r="R6" s="69">
        <f ca="1">SUMIF('数据-汇总表'!C$19:C$33,A6,'数据-汇总表'!R$19:R$27)</f>
        <v>964.84</v>
      </c>
      <c r="S6" s="51">
        <f>IF('数据-汇总表'!$I$17="按面积比例",SUMIF('数据-汇总表'!C$19:C$33,A6,'数据-汇总表'!K$19:K$33),SUMIF('数据-汇总表'!C$19:C$33,A6,'数据-汇总表'!N$19:N$33))</f>
        <v>0</v>
      </c>
      <c r="T6" s="1172">
        <f>ROUND($L$14*S6/10000,0)</f>
        <v>0</v>
      </c>
      <c r="U6" s="3428">
        <v>1.2</v>
      </c>
      <c r="V6" s="70">
        <v>0.02</v>
      </c>
      <c r="W6" s="70">
        <v>0.15</v>
      </c>
      <c r="X6" s="1040"/>
      <c r="Y6" s="71">
        <f>N6</f>
        <v>0.61499999999999999</v>
      </c>
      <c r="Z6" s="72"/>
      <c r="AA6" s="66"/>
      <c r="AB6" s="66"/>
      <c r="AC6" s="1040"/>
      <c r="AD6" s="73"/>
      <c r="AE6" s="1041">
        <f ca="1">IF(AN6="",0,SUMIF(INDIRECT("'"&amp;AN6&amp;"'"&amp;"!E:E"),$AE$5,INDIRECT("'"&amp;AN6&amp;"'"&amp;"!F:F")))</f>
        <v>25.22</v>
      </c>
      <c r="AF6" s="1348"/>
      <c r="AG6" s="138">
        <f>IF(AF6="",0,AE6-AF6)</f>
        <v>0</v>
      </c>
      <c r="AH6" s="74"/>
      <c r="AI6" s="76">
        <v>365</v>
      </c>
      <c r="AJ6" s="77"/>
      <c r="AK6" s="78">
        <v>5.0000000000000001E-3</v>
      </c>
      <c r="AL6" s="79">
        <v>1E-3</v>
      </c>
      <c r="AM6" s="80">
        <v>0.01</v>
      </c>
      <c r="AN6" s="1715" t="s">
        <v>3393</v>
      </c>
      <c r="AO6" s="52">
        <f ca="1">SUMIF(INDIRECT("'"&amp;AN6&amp;"'"&amp;"!A:A"),"总价",INDIRECT("'"&amp;AN6&amp;"'"&amp;"!B:B"))</f>
        <v>1725.4811999999999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hidden="1">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0.754</v>
      </c>
      <c r="H16" s="90">
        <f>ROUND(SUMPRODUCT(H6:H13,K6:K13)/SUMPRODUCT((H6:H13&gt;0)*(K6:K13)),3)</f>
        <v>4.4999999999999998E-2</v>
      </c>
      <c r="I16" s="91"/>
      <c r="J16" s="91"/>
      <c r="K16" s="92">
        <f>SUM(K6:K15)</f>
        <v>3131.3</v>
      </c>
      <c r="L16" s="93">
        <f>ROUND(M16*10000/SUM(K6:K14),0)</f>
        <v>2999</v>
      </c>
      <c r="M16" s="93">
        <f>SUM(M6:M14)</f>
        <v>939</v>
      </c>
      <c r="N16" s="94">
        <f>ROUND(SUMPRODUCT(M6:M14,N6:N14)/M16,3)</f>
        <v>0.61499999999999999</v>
      </c>
      <c r="O16" s="93">
        <f>SUM(O6:O14)</f>
        <v>0</v>
      </c>
      <c r="P16" s="93">
        <f>SUM(P6:P14)</f>
        <v>0</v>
      </c>
      <c r="Q16" s="95">
        <f>ROUND(SUMPRODUCT(Q6:Q13,K6:K13)/SUMPRODUCT((Q6:Q13&gt;0)*(K6:K13)),2)</f>
        <v>0.1</v>
      </c>
      <c r="R16" s="1034">
        <f ca="1">SUM(R6:R13)</f>
        <v>964.84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0" t="s">
        <v>3391</v>
      </c>
      <c r="N19" s="2671">
        <f>ROUND(1-(2024-1993)/60,2)</f>
        <v>0.48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3450" t="s">
        <v>3410</v>
      </c>
      <c r="N20" s="2671">
        <v>0.75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3450" t="s">
        <v>3392</v>
      </c>
      <c r="N21" s="2671">
        <f>(N19+N20)/2</f>
        <v>0.61499999999999999</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62.625999999999998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33" sqref="M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3131.3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45356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2066</v>
      </c>
      <c r="C5" s="2512">
        <f ca="1">IF(B5=D14,结果表!H102,ROUND(B5*10000/$B$1,0))</f>
        <v>6598</v>
      </c>
      <c r="D5" s="2512" t="e">
        <f ca="1">ROUND(B5*10000/$B$2,0)</f>
        <v>#DIV/0!</v>
      </c>
      <c r="E5" s="2686"/>
      <c r="F5" s="2687"/>
      <c r="G5" s="2687"/>
      <c r="H5" s="2688"/>
      <c r="I5" s="2688"/>
      <c r="J5" s="2688"/>
      <c r="K5" s="2688"/>
    </row>
    <row r="6" spans="1:11" ht="16.5">
      <c r="A6" s="2512" t="s">
        <v>656</v>
      </c>
      <c r="B6" s="2512">
        <f ca="1">SUM(G14:G23)</f>
        <v>2066</v>
      </c>
      <c r="C6" s="2512">
        <f ca="1">IF(B6=G14,结果表!H108,ROUND(B6*10000/$B$1,0))</f>
        <v>6598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3131.3</v>
      </c>
      <c r="C14" s="2518"/>
      <c r="D14" s="2518">
        <f ca="1">结果表!G19</f>
        <v>2066</v>
      </c>
      <c r="E14" s="2518">
        <f ca="1">ROUND(D14*10000/B14,0)</f>
        <v>6598</v>
      </c>
      <c r="F14" s="2518" t="e">
        <f ca="1">ROUND(D14*10000/C14,0)</f>
        <v>#DIV/0!</v>
      </c>
      <c r="G14" s="2518">
        <f ca="1">D14</f>
        <v>2066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37" sqref="G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3407</v>
      </c>
      <c r="H1" s="1750" t="str">
        <f>IF(G1="现房","——","估价对象范围")</f>
        <v>——</v>
      </c>
      <c r="I1" s="1751" t="s">
        <v>3408</v>
      </c>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3409</v>
      </c>
      <c r="D4" s="1756" t="s">
        <v>3393</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6</v>
      </c>
      <c r="D14" s="3579">
        <v>4</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6" t="s">
        <v>2131</v>
      </c>
      <c r="F18" s="3567"/>
      <c r="G18" s="3567"/>
      <c r="H18" s="3567"/>
      <c r="I18" s="3567"/>
      <c r="K18" s="302" t="s">
        <v>1289</v>
      </c>
      <c r="L18" s="302">
        <f>IF(C1="",'数据-汇总表'!E3,SUMIF(项目类型,C1,'数据-汇总表'!E17:E26)+SUMIF(项目类型,C1,'数据-汇总表'!I17:I26))</f>
        <v>3131.3</v>
      </c>
      <c r="M18" s="302">
        <f>IF(C1="",'数据-汇总表'!E3,SUMIF(项目类型,C1,'数据-汇总表'!E17:E26))</f>
        <v>3131.3</v>
      </c>
    </row>
    <row r="19" spans="1:36" ht="15">
      <c r="A19" s="1761" t="s">
        <v>1290</v>
      </c>
      <c r="B19" s="1762" t="s">
        <v>1291</v>
      </c>
      <c r="C19" s="134">
        <f ca="1">SUMIF(INDIRECT("'"&amp;C4&amp;"'"&amp;"!A:A"),结果表!B19,INDIRECT("'"&amp;C4&amp;"'"&amp;"!B:B"))</f>
        <v>2293.3724000000002</v>
      </c>
      <c r="D19" s="135">
        <f ca="1">SUMIF(INDIRECT("'"&amp;D4&amp;"'"&amp;"!A:A"),结果表!B19,INDIRECT("'"&amp;D4&amp;"'"&amp;"!B:B"))</f>
        <v>1725.4811999999999</v>
      </c>
      <c r="E19" s="1761" t="s">
        <v>1292</v>
      </c>
      <c r="F19" s="1762" t="s">
        <v>1291</v>
      </c>
      <c r="G19" s="136">
        <f ca="1">ROUND(C19*$C$18+D19*$D$18,0)</f>
        <v>2066</v>
      </c>
      <c r="H19" s="1763" t="s">
        <v>1293</v>
      </c>
      <c r="I19" s="129"/>
      <c r="K19" s="302" t="s">
        <v>1294</v>
      </c>
      <c r="L19" s="302">
        <f>IF(C1="",'数据-汇总表'!D3,SUMIF(项目类型,C1,'数据-汇总表'!D17:D26)+SUMIF(项目类型,C1,'数据-汇总表'!H17:H27))</f>
        <v>964.84</v>
      </c>
      <c r="M19" s="302">
        <f>IF(C1="",'数据-汇总表'!D3,SUMIF(项目类型,C1,'数据-汇总表'!D17:D26))</f>
        <v>964.84</v>
      </c>
    </row>
    <row r="20" spans="1:36" ht="15">
      <c r="A20" s="1764"/>
      <c r="B20" s="1026" t="s">
        <v>1295</v>
      </c>
      <c r="C20" s="137">
        <f ca="1">SUMIF(INDIRECT("'"&amp;C4&amp;"'"&amp;"!A:A"),结果表!B20,INDIRECT("'"&amp;C4&amp;"'"&amp;"!B:B"))</f>
        <v>7324</v>
      </c>
      <c r="D20" s="138">
        <f ca="1">SUMIF(INDIRECT("'"&amp;D4&amp;"'"&amp;"!A:A"),结果表!B20,INDIRECT("'"&amp;D4&amp;"'"&amp;"!B:B"))</f>
        <v>5510</v>
      </c>
      <c r="E20" s="1764"/>
      <c r="F20" s="1026" t="s">
        <v>1295</v>
      </c>
      <c r="G20" s="139">
        <f ca="1">ROUND(C20*$C$18+D20*$D$18,0)</f>
        <v>6598</v>
      </c>
      <c r="H20" s="808" t="s">
        <v>1296</v>
      </c>
      <c r="I20" s="129"/>
    </row>
    <row r="21" spans="1:36" ht="15" customHeight="1" thickBot="1">
      <c r="A21" s="828"/>
      <c r="B21" s="1765" t="s">
        <v>1297</v>
      </c>
      <c r="C21" s="719">
        <f ca="1">ROUND(C19*10000/L19,0)</f>
        <v>23769</v>
      </c>
      <c r="D21" s="720">
        <f ca="1">ROUND(D19*10000/L19,0)</f>
        <v>17884</v>
      </c>
      <c r="E21" s="828"/>
      <c r="F21" s="1765" t="s">
        <v>1297</v>
      </c>
      <c r="G21" s="140">
        <f ca="1">ROUND(G19*10000/L19,0)</f>
        <v>21413</v>
      </c>
      <c r="H21" s="1766" t="s">
        <v>1296</v>
      </c>
      <c r="I21" s="129"/>
    </row>
    <row r="22" spans="1:36" ht="15" thickBot="1">
      <c r="A22" s="1688" t="s">
        <v>1298</v>
      </c>
      <c r="B22" s="1767"/>
      <c r="C22" s="1768"/>
      <c r="D22" s="721">
        <f ca="1">IF(C19&lt;D19,D19/C19-1,C19/D19-1)</f>
        <v>0.32912047955086399</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2066</v>
      </c>
      <c r="D32" s="1775" t="s">
        <v>3470</v>
      </c>
      <c r="E32" s="129"/>
      <c r="F32" s="129"/>
      <c r="G32" s="129"/>
      <c r="H32" s="129"/>
      <c r="I32" s="129"/>
    </row>
    <row r="33" spans="1:15" ht="15">
      <c r="A33" s="786" t="s">
        <v>1306</v>
      </c>
      <c r="B33" s="1776"/>
      <c r="C33" s="1777" t="s">
        <v>3471</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2066</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45356</v>
      </c>
      <c r="N47" s="3627"/>
      <c r="O47" s="3627"/>
    </row>
    <row r="48" spans="1:15" ht="25.5">
      <c r="A48" s="3575" t="s">
        <v>1338</v>
      </c>
      <c r="B48" s="3558"/>
      <c r="C48" s="355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6" t="s">
        <v>1340</v>
      </c>
      <c r="L48" s="3606"/>
      <c r="M48" s="3628">
        <f ca="1">H101</f>
        <v>2066</v>
      </c>
      <c r="N48" s="3628"/>
      <c r="O48" s="3628"/>
    </row>
    <row r="49" spans="1:35" ht="25.5" customHeight="1">
      <c r="A49" s="2333" t="s">
        <v>1341</v>
      </c>
      <c r="B49" s="3542" t="s">
        <v>1342</v>
      </c>
      <c r="C49" s="3542"/>
      <c r="D49" s="1590">
        <v>0</v>
      </c>
      <c r="E49" s="324" t="s">
        <v>1343</v>
      </c>
      <c r="F49" s="2424" t="s">
        <v>28</v>
      </c>
      <c r="G49" s="3612"/>
      <c r="H49" s="2310" t="s">
        <v>2134</v>
      </c>
      <c r="I49" s="2311"/>
      <c r="J49" s="2523">
        <v>4</v>
      </c>
      <c r="K49" s="3606" t="str">
        <f>IF(项目基本情况!E8="房地产抵押价值","房地产抵押价值","抵押担保权已注销时的房地产抵押价值")</f>
        <v>房地产抵押价值</v>
      </c>
      <c r="L49" s="3606"/>
      <c r="M49" s="3628">
        <f ca="1">IF(项目基本情况!E8="房地产抵押价值",H107,H109)</f>
        <v>2066</v>
      </c>
      <c r="N49" s="3628"/>
      <c r="O49" s="3628"/>
    </row>
    <row r="50" spans="1:35" ht="25.5" customHeight="1">
      <c r="A50" s="2551"/>
      <c r="B50" s="3542" t="s">
        <v>1344</v>
      </c>
      <c r="C50" s="3542"/>
      <c r="D50" s="2552"/>
      <c r="E50" s="332"/>
      <c r="F50" s="2424"/>
      <c r="G50" s="3613"/>
      <c r="H50" s="2312" t="s">
        <v>2135</v>
      </c>
      <c r="I50" s="2311"/>
      <c r="J50" s="3625" t="s">
        <v>1345</v>
      </c>
      <c r="K50" s="3625"/>
      <c r="L50" s="3625"/>
      <c r="M50" s="3625"/>
      <c r="N50" s="3625"/>
      <c r="O50" s="3625"/>
    </row>
    <row r="51" spans="1:35" ht="20.45" customHeight="1">
      <c r="A51" s="2553"/>
      <c r="B51" s="3542" t="s">
        <v>1346</v>
      </c>
      <c r="C51" s="3542"/>
      <c r="D51" s="1087"/>
      <c r="E51" s="327"/>
      <c r="F51" s="2424"/>
      <c r="G51" s="3614"/>
      <c r="H51" s="2312" t="s">
        <v>2136</v>
      </c>
      <c r="I51" s="2311"/>
      <c r="J51" s="2524" t="s">
        <v>1347</v>
      </c>
      <c r="K51" s="3606" t="s">
        <v>1348</v>
      </c>
      <c r="L51" s="3606"/>
      <c r="M51" s="2524" t="s">
        <v>1349</v>
      </c>
      <c r="N51" s="2524" t="s">
        <v>1350</v>
      </c>
      <c r="O51" s="2524" t="s">
        <v>1351</v>
      </c>
    </row>
    <row r="52" spans="1:35" ht="24" customHeight="1">
      <c r="A52" s="2335" t="s">
        <v>1352</v>
      </c>
      <c r="B52" s="3542" t="s">
        <v>1353</v>
      </c>
      <c r="C52" s="3542"/>
      <c r="D52" s="1087">
        <f ca="1">ROUND(D45*'数据-取费表'!B41/(1+'数据-取费表'!C42),0)</f>
        <v>108</v>
      </c>
      <c r="E52" s="2334" t="s">
        <v>1354</v>
      </c>
      <c r="F52" s="2554">
        <f>'数据-取费表'!B41</f>
        <v>5.5000000000000007E-2</v>
      </c>
      <c r="G52" s="2555"/>
      <c r="H52" s="2544"/>
      <c r="I52" s="1807"/>
      <c r="J52" s="2523">
        <v>1</v>
      </c>
      <c r="K52" s="3607" t="s">
        <v>1355</v>
      </c>
      <c r="L52" s="3607"/>
      <c r="M52" s="2525" t="b">
        <f>D48</f>
        <v>0</v>
      </c>
      <c r="N52" s="2523" t="str">
        <f>E48</f>
        <v>销售额×税（费）率</v>
      </c>
      <c r="O52" s="2526">
        <f>F48</f>
        <v>5.5000000000000007E-2</v>
      </c>
    </row>
    <row r="53" spans="1:35" ht="12" customHeight="1">
      <c r="A53" s="2335" t="s">
        <v>1356</v>
      </c>
      <c r="B53" s="3568" t="s">
        <v>2291</v>
      </c>
      <c r="C53" s="3569"/>
      <c r="D53" s="1087">
        <f ca="1">ROUND(D45*'数据-取费表'!B41/(1+'数据-取费表'!C42),0)</f>
        <v>108</v>
      </c>
      <c r="E53" s="2334" t="s">
        <v>1354</v>
      </c>
      <c r="F53" s="2554">
        <f>'数据-取费表'!B41</f>
        <v>5.5000000000000007E-2</v>
      </c>
      <c r="G53" s="2555"/>
      <c r="H53" s="2544"/>
      <c r="I53" s="1807"/>
      <c r="J53" s="2523">
        <v>2</v>
      </c>
      <c r="K53" s="3607" t="s">
        <v>1357</v>
      </c>
      <c r="L53" s="3607"/>
      <c r="M53" s="2525">
        <f t="shared" ref="M53:O54" ca="1" si="0">D55</f>
        <v>1</v>
      </c>
      <c r="N53" s="2523" t="str">
        <f t="shared" si="0"/>
        <v>销售额×税（费）率</v>
      </c>
      <c r="O53" s="2526" t="str">
        <f t="shared" si="0"/>
        <v>免征</v>
      </c>
    </row>
    <row r="54" spans="1:35" ht="12" customHeight="1">
      <c r="A54" s="2335" t="s">
        <v>1358</v>
      </c>
      <c r="B54" s="3568" t="s">
        <v>2292</v>
      </c>
      <c r="C54" s="3569"/>
      <c r="D54" s="1087">
        <f ca="1">C68</f>
        <v>108</v>
      </c>
      <c r="E54" s="327" t="s">
        <v>1359</v>
      </c>
      <c r="F54" s="2554">
        <f>'数据-取费表'!B41</f>
        <v>5.5000000000000007E-2</v>
      </c>
      <c r="G54" s="2555"/>
      <c r="H54" s="2556"/>
      <c r="I54" s="1807"/>
      <c r="J54" s="2523">
        <v>3</v>
      </c>
      <c r="K54" s="3607" t="s">
        <v>1360</v>
      </c>
      <c r="L54" s="3607"/>
      <c r="M54" s="2525">
        <f t="shared" ca="1" si="0"/>
        <v>1171</v>
      </c>
      <c r="N54" s="2523" t="str">
        <f t="shared" si="0"/>
        <v>增值额×税（费）率</v>
      </c>
      <c r="O54" s="2527" t="str">
        <f t="shared" si="0"/>
        <v>免征</v>
      </c>
    </row>
    <row r="55" spans="1:35" ht="24" customHeight="1">
      <c r="A55" s="3557" t="s">
        <v>1361</v>
      </c>
      <c r="B55" s="3558"/>
      <c r="C55" s="3558"/>
      <c r="D55" s="2324">
        <f ca="1">IF(H55="个人住宅",0,ROUND(D45*I55,0))</f>
        <v>1</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f ca="1">D59</f>
        <v>20</v>
      </c>
      <c r="N55" s="2040" t="str">
        <f>E59</f>
        <v>差额计税</v>
      </c>
      <c r="O55" s="2529">
        <f>F59</f>
        <v>0.01</v>
      </c>
    </row>
    <row r="56" spans="1:35" ht="24.75">
      <c r="A56" s="3557" t="s">
        <v>1363</v>
      </c>
      <c r="B56" s="3558"/>
      <c r="C56" s="3558"/>
      <c r="D56" s="2324">
        <f ca="1">IF(H56="个人住宅",D57,D58)</f>
        <v>1171</v>
      </c>
      <c r="E56" s="2334" t="s">
        <v>1364</v>
      </c>
      <c r="F56" s="2554" t="str">
        <f>IF(H56="正常",F58,"免征")</f>
        <v>免征</v>
      </c>
      <c r="G56" s="2557" t="s">
        <v>1365</v>
      </c>
      <c r="H56" s="2558"/>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1192</v>
      </c>
      <c r="O57" s="2533"/>
      <c r="P57" s="2690">
        <f ca="1">N57/M49</f>
        <v>0.57696030977734758</v>
      </c>
    </row>
    <row r="58" spans="1:35" ht="24.75">
      <c r="A58" s="2335" t="s">
        <v>1352</v>
      </c>
      <c r="B58" s="3568" t="s">
        <v>1369</v>
      </c>
      <c r="C58" s="3542"/>
      <c r="D58" s="2324">
        <f ca="1">IF(H58="转让取得",C81,C97)</f>
        <v>1171</v>
      </c>
      <c r="E58" s="2334" t="s">
        <v>1364</v>
      </c>
      <c r="F58" s="302" t="s">
        <v>28</v>
      </c>
      <c r="G58" s="2555"/>
      <c r="H58" s="2558"/>
      <c r="I58" s="1808"/>
      <c r="J58" s="3607"/>
      <c r="K58" s="3607"/>
      <c r="L58" s="2530" t="s">
        <v>1370</v>
      </c>
      <c r="M58" s="2534"/>
      <c r="N58" s="2535" t="str">
        <f ca="1">NUMBERSTRING(INT(N57*10000),2)&amp;"元整"</f>
        <v>壹仟壹佰玖拾贰万元整</v>
      </c>
      <c r="O58" s="2536"/>
    </row>
    <row r="59" spans="1:35" ht="24.75" thickBot="1">
      <c r="A59" s="3610" t="s">
        <v>1371</v>
      </c>
      <c r="B59" s="3611"/>
      <c r="C59" s="3611"/>
      <c r="D59" s="2560">
        <f ca="1">IF(H59="非个人房产","——",IF(H59="个人住宅（满五唯一有凭证）",0,IF(H59="个人其他（无凭证）",ROUND(D45*F59,0),ROUND(C67*F59,0))))</f>
        <v>20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8">
        <f>J57+1</f>
        <v>6</v>
      </c>
      <c r="K59" s="3607" t="s">
        <v>1372</v>
      </c>
      <c r="L59" s="2523" t="s">
        <v>1368</v>
      </c>
      <c r="M59" s="2537"/>
      <c r="N59" s="2538">
        <f ca="1">M49-N57</f>
        <v>874</v>
      </c>
      <c r="O59" s="2539"/>
    </row>
    <row r="60" spans="1:35" ht="12" customHeight="1">
      <c r="A60" s="1809"/>
      <c r="B60" s="1747"/>
      <c r="C60" s="1747"/>
      <c r="D60" s="1747"/>
      <c r="E60" s="1578"/>
      <c r="F60" s="1808"/>
      <c r="G60" s="1808"/>
      <c r="H60" s="1810"/>
      <c r="I60" s="129"/>
      <c r="J60" s="3609"/>
      <c r="K60" s="3607"/>
      <c r="L60" s="2530" t="s">
        <v>1370</v>
      </c>
      <c r="M60" s="2534"/>
      <c r="N60" s="2535" t="str">
        <f ca="1">NUMBERSTRING(INT(N59*10000),2)&amp;"元整"</f>
        <v>捌佰柒拾肆万元整</v>
      </c>
      <c r="O60" s="2536"/>
    </row>
    <row r="61" spans="1:35" ht="13.5" thickBot="1">
      <c r="A61" s="3555" t="s">
        <v>1373</v>
      </c>
      <c r="B61" s="3555"/>
      <c r="C61" s="3555"/>
      <c r="D61" s="3555"/>
      <c r="E61" s="3555"/>
      <c r="F61" s="1808"/>
      <c r="G61" s="1808"/>
      <c r="H61" s="1810"/>
      <c r="I61" s="129"/>
      <c r="J61" s="2523">
        <f>J59+1</f>
        <v>7</v>
      </c>
      <c r="K61" s="3607" t="s">
        <v>1374</v>
      </c>
      <c r="L61" s="3607"/>
      <c r="M61" s="2540"/>
      <c r="N61" s="2541">
        <f ca="1">ROUND(N59*10000/'数据-汇总表'!E3,0)</f>
        <v>2791</v>
      </c>
      <c r="O61" s="2542"/>
    </row>
    <row r="62" spans="1:35" ht="12.75">
      <c r="A62" s="3573" t="s">
        <v>1375</v>
      </c>
      <c r="B62" s="3574"/>
      <c r="C62" s="2021"/>
      <c r="D62" s="2021" t="s">
        <v>1376</v>
      </c>
      <c r="E62" s="166" t="s">
        <v>1377</v>
      </c>
      <c r="F62" s="1808"/>
      <c r="G62" s="1808"/>
      <c r="H62" s="1810"/>
      <c r="I62" s="129"/>
    </row>
    <row r="63" spans="1:35" ht="12.75">
      <c r="A63" s="173" t="s">
        <v>330</v>
      </c>
      <c r="B63" s="167" t="s">
        <v>1378</v>
      </c>
      <c r="C63" s="2564">
        <f ca="1">ROUND((C64+C65)/(1+'数据-取费表'!C42),0)</f>
        <v>1968</v>
      </c>
      <c r="D63" s="167"/>
      <c r="E63" s="168"/>
      <c r="F63" s="1808"/>
      <c r="G63" s="1808"/>
      <c r="H63" s="1810"/>
      <c r="I63" s="129"/>
      <c r="J63" s="3632" t="s">
        <v>1379</v>
      </c>
      <c r="K63" s="1332" t="s">
        <v>1380</v>
      </c>
      <c r="L63" s="1332">
        <f ca="1">IF(M49&gt;10000,M49*0.5%,IF(AND(M49&gt;1000,M49&lt;=10000),M49*1%,IF(AND(M49&gt;100,M49&lt;=1000),M49*3%,IF(AND(M49&gt;10,M49&lt;=100),M49*5%,M49*8%))))</f>
        <v>20.66</v>
      </c>
      <c r="M63" s="302">
        <f ca="1">ROUND(L63,1)</f>
        <v>20.7</v>
      </c>
      <c r="N63" s="2543"/>
      <c r="Z63" s="1752"/>
      <c r="AI63" s="1753"/>
    </row>
    <row r="64" spans="1:35" ht="14.25" customHeight="1">
      <c r="A64" s="169" t="s">
        <v>325</v>
      </c>
      <c r="B64" s="170" t="s">
        <v>1381</v>
      </c>
      <c r="C64" s="2565">
        <f ca="1">D45</f>
        <v>2066</v>
      </c>
      <c r="D64" s="170" t="s">
        <v>26</v>
      </c>
      <c r="E64" s="172"/>
      <c r="F64" s="1808"/>
      <c r="G64" s="1808"/>
      <c r="H64" s="1810"/>
      <c r="I64" s="129"/>
      <c r="J64" s="3632"/>
      <c r="K64" s="1332" t="s">
        <v>1382</v>
      </c>
      <c r="L64" s="1332">
        <f ca="1">IF(M49&gt;2000,M49*0.5%,IF(AND(M49&gt;1000,M49&lt;=2000),M49*0.6%,IF(AND(M49&gt;500,M49&lt;=1000),M49*0.7%,IF(AND(M49&gt;200,M49&lt;=500),M49*0.8%,IF(AND(M49&gt;100,M49&lt;=200),M49*0.9%,IF(AND(M49&gt;50,M49&lt;=100),M49*1%,IF(AND(M49&gt;20,M49&lt;=50),M49*1.5%,IF(AND(M49&gt;10,M49&lt;=20),M49*2%,IF(AND(M49&gt;1,M49&lt;=10),M49*2.5%)))))))))</f>
        <v>10.33</v>
      </c>
      <c r="M64" s="302">
        <f t="shared" ref="M64:M65" ca="1" si="1">ROUND(L64,1)</f>
        <v>10.3</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f ca="1">IF(M49&gt;1000,M49*0.1%,IF(AND(M49&gt;500,M49&lt;=1000),M49*0.5%,IF(AND(M49&gt;50,M49&lt;=500),M49*1%,IF(AND(M49&gt;1,M49&lt;=50),M49*1.5%))))</f>
        <v>2.0659999999999998</v>
      </c>
      <c r="M65" s="302">
        <f t="shared" ca="1" si="1"/>
        <v>2.1</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f ca="1">M49*0.5%</f>
        <v>10.33</v>
      </c>
      <c r="M66" s="302">
        <f ca="1">IF(L66&gt;0.5,0.5,ROUND(L66,0))</f>
        <v>0.5</v>
      </c>
      <c r="N66" s="2544" t="s">
        <v>1388</v>
      </c>
      <c r="Z66" s="1752"/>
      <c r="AI66" s="1753"/>
    </row>
    <row r="67" spans="1:35" ht="14.25" customHeight="1">
      <c r="A67" s="173" t="s">
        <v>328</v>
      </c>
      <c r="B67" s="174" t="s">
        <v>1389</v>
      </c>
      <c r="C67" s="2568">
        <f ca="1">C63-C66</f>
        <v>1968</v>
      </c>
      <c r="D67" s="170" t="s">
        <v>26</v>
      </c>
      <c r="E67" s="172"/>
      <c r="F67" s="1808"/>
      <c r="G67" s="1808"/>
      <c r="H67" s="1810"/>
      <c r="I67" s="129"/>
      <c r="J67" s="3632"/>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108</v>
      </c>
      <c r="D68" s="2570">
        <f>'数据-取费表'!B41</f>
        <v>5.5000000000000007E-2</v>
      </c>
      <c r="E68" s="178"/>
      <c r="F68" s="1808"/>
      <c r="G68" s="1808"/>
      <c r="H68" s="1810"/>
      <c r="I68" s="129"/>
      <c r="J68" s="3632"/>
      <c r="K68" s="1332" t="s">
        <v>1392</v>
      </c>
      <c r="L68" s="1332">
        <f ca="1">IF(M49&gt;10000,M49*0.5%,IF(AND(M49&gt;5000,M49&lt;=10000),M49*1%,IF(AND(M49&gt;1000,M49&lt;=5000),M49*2%,IF(AND(M49&gt;200,M49&lt;=1000),M49*3%,M49*5%))))</f>
        <v>41.32</v>
      </c>
      <c r="M68" s="302">
        <f ca="1">ROUND(L68,1)</f>
        <v>41.3</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f ca="1">ROUND(SUM(M63:M68),0)</f>
        <v>77</v>
      </c>
      <c r="N69" s="2545">
        <f ca="1">M69/M49</f>
        <v>3.7270087124878996E-2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1968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v>
      </c>
      <c r="D78" s="2577">
        <f>'数据-取费表'!B43</f>
        <v>5.000000000000001E-3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1958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1171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1968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4" t="s">
        <v>2129</v>
      </c>
      <c r="H90" s="36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2" t="s">
        <v>1422</v>
      </c>
      <c r="F92" s="3553"/>
      <c r="G92" s="3553"/>
      <c r="H92" s="35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v>
      </c>
      <c r="D93" s="2577">
        <f>'数据-取费表'!B43</f>
        <v>5.000000000000001E-3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1958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1171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 (元)</v>
      </c>
      <c r="D101" s="2586" t="str">
        <f>D4</f>
        <v>收益法 (元)</v>
      </c>
      <c r="E101" s="3629" t="s">
        <v>1431</v>
      </c>
      <c r="F101" s="3586"/>
      <c r="G101" s="1827" t="s">
        <v>1432</v>
      </c>
      <c r="H101" s="2595">
        <f ca="1">H118</f>
        <v>2066</v>
      </c>
      <c r="I101" s="129"/>
    </row>
    <row r="102" spans="1:35" ht="18.75" customHeight="1">
      <c r="A102" s="3588" t="s">
        <v>1433</v>
      </c>
      <c r="B102" s="2584" t="s">
        <v>1432</v>
      </c>
      <c r="C102" s="2585">
        <f ca="1">IF(D32="楼面单价",ROUND(C19,0),C19)</f>
        <v>2293.3724000000002</v>
      </c>
      <c r="D102" s="2586">
        <f ca="1">IF(D32="楼面单价",ROUND(D19,0),D19)</f>
        <v>1725.4811999999999</v>
      </c>
      <c r="E102" s="3629"/>
      <c r="F102" s="3586"/>
      <c r="G102" s="1827" t="s">
        <v>1434</v>
      </c>
      <c r="H102" s="2555">
        <f ca="1">I118</f>
        <v>6598</v>
      </c>
      <c r="I102" s="129"/>
    </row>
    <row r="103" spans="1:35" ht="42.75" customHeight="1">
      <c r="A103" s="3588"/>
      <c r="B103" s="2584" t="s">
        <v>1434</v>
      </c>
      <c r="C103" s="2587">
        <f ca="1">C20</f>
        <v>7324</v>
      </c>
      <c r="D103" s="2588">
        <f ca="1">D20</f>
        <v>5510</v>
      </c>
      <c r="E103" s="3623" t="s">
        <v>1435</v>
      </c>
      <c r="F103" s="3624"/>
      <c r="G103" s="1828" t="s">
        <v>1436</v>
      </c>
      <c r="H103" s="2595">
        <f>IF(D36="正常操作",H104+H105+H106,H105+H106)</f>
        <v>0</v>
      </c>
      <c r="I103" s="129"/>
    </row>
    <row r="104" spans="1:35" ht="18.75" customHeight="1">
      <c r="A104" s="3588" t="s">
        <v>1437</v>
      </c>
      <c r="B104" s="2589" t="s">
        <v>1432</v>
      </c>
      <c r="C104" s="2590">
        <f ca="1">H118</f>
        <v>2066</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6598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f ca="1">IF(E107="——","——",H101-H103)</f>
        <v>2066</v>
      </c>
      <c r="I107" s="129"/>
    </row>
    <row r="108" spans="1:35" ht="18.75" customHeight="1">
      <c r="A108" s="129"/>
      <c r="B108" s="129"/>
      <c r="C108" s="129"/>
      <c r="D108" s="129"/>
      <c r="E108" s="3585"/>
      <c r="F108" s="3586"/>
      <c r="G108" s="1827" t="s">
        <v>1434</v>
      </c>
      <c r="H108" s="2555">
        <f ca="1">IF(H107=H101,H102,ROUND(H107*10000/'数据-汇总表'!E3,0))</f>
        <v>6598</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3131.3</v>
      </c>
      <c r="C118" s="2329">
        <f>M19</f>
        <v>964.84</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2066</v>
      </c>
      <c r="I118" s="2329">
        <f ca="1">ROUND(IF(D32="楼面单价",C32,H118*10000/B118),0)</f>
        <v>6598</v>
      </c>
    </row>
    <row r="119" spans="1:27" ht="18.75" customHeight="1">
      <c r="A119" s="3556" t="s">
        <v>1452</v>
      </c>
      <c r="B119" s="3556"/>
      <c r="C119" s="3556"/>
      <c r="D119" s="3596" t="str">
        <f>NUMBERSTRING(INT(D118*10000),2)&amp;"元整"</f>
        <v>零元整</v>
      </c>
      <c r="E119" s="3598"/>
      <c r="F119" s="3596" t="str">
        <f>NUMBERSTRING(INT(F118*10000),2)&amp;"元整"</f>
        <v>零元整</v>
      </c>
      <c r="G119" s="3598"/>
      <c r="H119" s="3596" t="str">
        <f ca="1">NUMBERSTRING(INT(H118*10000),2)&amp;"元整"</f>
        <v>贰仟零陆拾陆万元整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2066</v>
      </c>
      <c r="E122" s="3621"/>
      <c r="F122" s="3621"/>
      <c r="G122" s="3621"/>
      <c r="H122" s="3621"/>
      <c r="I122" s="3622"/>
      <c r="AA122" s="725"/>
    </row>
    <row r="123" spans="1:27" ht="18.75" customHeight="1">
      <c r="A123" s="3556" t="s">
        <v>1452</v>
      </c>
      <c r="B123" s="3556"/>
      <c r="C123" s="3556"/>
      <c r="D123" s="3596" t="str">
        <f ca="1">NUMBERSTRING(INT(D122*10000),2)&amp;"元整"</f>
        <v>贰仟零陆拾陆万元整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948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62.625999999999998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62.625999999999998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63</v>
      </c>
      <c r="D10" s="845">
        <f ca="1">IF(B1="",'数据-汇总表'!E6,IF(INDIRECT("'数据-取费表'!c"&amp;$G$1)="住宅",INDIRECT("'数据-取费表'!s"&amp;$G$1),INDIRECT("'数据-取费表'!k"&amp;$G$1)+INDIRECT("'数据-取费表'!s"&amp;$G$1)))</f>
        <v>3131.3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63</v>
      </c>
      <c r="D19" s="849">
        <f ca="1">D9+D10</f>
        <v>3131.3</v>
      </c>
      <c r="E19" s="211">
        <f>'数据-取费表'!B31</f>
        <v>200</v>
      </c>
      <c r="F19" s="231"/>
      <c r="G19" s="1856"/>
    </row>
    <row r="20" spans="1:7" s="214" customFormat="1" ht="13.5" customHeight="1">
      <c r="A20" s="255" t="s">
        <v>1493</v>
      </c>
      <c r="B20" s="210" t="s">
        <v>1494</v>
      </c>
      <c r="C20" s="232">
        <f ca="1">ROUND((C5+C19)*F20,0)</f>
        <v>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1044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939</v>
      </c>
      <c r="D34" s="217"/>
      <c r="E34" s="220"/>
      <c r="F34" s="257">
        <f ca="1">IF('数据-取费表'!B24=0,1,IF(B1="",'数据-取费表'!N16,INDIRECT("'数据-取费表'!n"&amp;$G$1)))</f>
        <v>1</v>
      </c>
      <c r="G34" s="219" t="s">
        <v>1526</v>
      </c>
    </row>
    <row r="35" spans="1:7" ht="13.5" customHeight="1">
      <c r="A35" s="780" t="s">
        <v>351</v>
      </c>
      <c r="B35" s="215" t="s">
        <v>1527</v>
      </c>
      <c r="C35" s="220">
        <f ca="1">ROUND(C34*F35,0)</f>
        <v>28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63</v>
      </c>
      <c r="D37" s="217">
        <f ca="1">D19</f>
        <v>3131.3</v>
      </c>
      <c r="E37" s="249">
        <f>'数据-取费表'!B35</f>
        <v>200</v>
      </c>
      <c r="F37" s="259"/>
      <c r="G37" s="261" t="s">
        <v>1532</v>
      </c>
    </row>
    <row r="38" spans="1:7" ht="13.5" customHeight="1">
      <c r="A38" s="780" t="s">
        <v>354</v>
      </c>
      <c r="B38" s="215" t="s">
        <v>1533</v>
      </c>
      <c r="C38" s="220">
        <f ca="1">ROUND(C34*F38,0)</f>
        <v>14</v>
      </c>
      <c r="D38" s="220"/>
      <c r="E38" s="220"/>
      <c r="F38" s="259">
        <f>'数据-取费表'!B36</f>
        <v>1.4999999999999999E-2</v>
      </c>
      <c r="G38" s="219" t="s">
        <v>1528</v>
      </c>
    </row>
    <row r="39" spans="1:7" s="214" customFormat="1" ht="13.5" customHeight="1">
      <c r="A39" s="255" t="s">
        <v>1534</v>
      </c>
      <c r="B39" s="210" t="s">
        <v>1535</v>
      </c>
      <c r="C39" s="232">
        <f ca="1">ROUND(C33*F20,0)</f>
        <v>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18</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2.9999999999999997E-4</v>
      </c>
      <c r="D44" s="238"/>
      <c r="E44" s="238"/>
      <c r="F44" s="239"/>
      <c r="G44" s="3638"/>
    </row>
    <row r="45" spans="1:7" s="214" customFormat="1" ht="13.5" customHeight="1">
      <c r="A45" s="255" t="s">
        <v>1547</v>
      </c>
      <c r="B45" s="244" t="s">
        <v>1513</v>
      </c>
      <c r="C45" s="245">
        <f ca="1">C46</f>
        <v>107</v>
      </c>
      <c r="D45" s="235">
        <f ca="1">C47</f>
        <v>2E-3</v>
      </c>
      <c r="E45" s="236" t="s">
        <v>1539</v>
      </c>
      <c r="F45" s="246">
        <f ca="1">F27</f>
        <v>0.1</v>
      </c>
      <c r="G45" s="247" t="s">
        <v>1548</v>
      </c>
    </row>
    <row r="46" spans="1:7" s="214" customFormat="1" ht="13.5" customHeight="1">
      <c r="A46" s="780" t="s">
        <v>346</v>
      </c>
      <c r="B46" s="248" t="s">
        <v>1549</v>
      </c>
      <c r="C46" s="249">
        <f ca="1">ROUND((C33+C39)*F27,0)</f>
        <v>107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1286</v>
      </c>
      <c r="D49" s="232"/>
      <c r="E49" s="232"/>
      <c r="F49" s="264"/>
      <c r="G49" s="234" t="s">
        <v>1554</v>
      </c>
    </row>
    <row r="50" spans="1:7" s="258" customFormat="1" ht="24">
      <c r="A50" s="255" t="s">
        <v>1555</v>
      </c>
      <c r="B50" s="210" t="s">
        <v>1556</v>
      </c>
      <c r="C50" s="232"/>
      <c r="D50" s="232"/>
      <c r="E50" s="232"/>
      <c r="F50" s="264">
        <f>IF('数据-取费表'!B24=0,'数据-取费表'!N16,1)</f>
        <v>0.61499999999999999</v>
      </c>
      <c r="G50" s="247" t="s">
        <v>1557</v>
      </c>
    </row>
    <row r="51" spans="1:7" ht="16.5" customHeight="1">
      <c r="A51" s="255" t="s">
        <v>1558</v>
      </c>
      <c r="B51" s="210" t="s">
        <v>1559</v>
      </c>
      <c r="C51" s="232">
        <f ca="1">ROUND(C49*F50,0)</f>
        <v>791</v>
      </c>
      <c r="D51" s="232"/>
      <c r="E51" s="232"/>
      <c r="F51" s="264"/>
      <c r="G51" s="234" t="s">
        <v>1560</v>
      </c>
    </row>
    <row r="52" spans="1:7" s="208" customFormat="1" ht="16.5" thickBot="1">
      <c r="A52" s="265" t="s">
        <v>1561</v>
      </c>
      <c r="B52" s="266"/>
      <c r="C52" s="267">
        <f ca="1">C31+C51</f>
        <v>948</v>
      </c>
      <c r="D52" s="266"/>
      <c r="E52" s="266"/>
      <c r="F52" s="266"/>
      <c r="G52" s="268"/>
    </row>
    <row r="55" spans="1:7" ht="15">
      <c r="B55" s="270" t="s">
        <v>1562</v>
      </c>
      <c r="C55" s="271"/>
    </row>
    <row r="56" spans="1:7">
      <c r="B56" s="273" t="s">
        <v>802</v>
      </c>
      <c r="C56" s="275">
        <f ca="1">1-C57</f>
        <v>0.16600000000000004</v>
      </c>
    </row>
    <row r="57" spans="1:7">
      <c r="B57" s="273" t="s">
        <v>803</v>
      </c>
      <c r="C57" s="274">
        <f ca="1">ROUND(C51/C52,3)</f>
        <v>0.83399999999999996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2293.3724000000002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7324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12016880</v>
      </c>
      <c r="D5" s="211" t="s">
        <v>1469</v>
      </c>
      <c r="E5" s="212" t="s">
        <v>1470</v>
      </c>
      <c r="F5" s="212" t="s">
        <v>1471</v>
      </c>
      <c r="G5" s="213"/>
    </row>
    <row r="6" spans="1:8" s="214" customFormat="1" ht="13.5" customHeight="1">
      <c r="A6" s="778" t="s">
        <v>1472</v>
      </c>
      <c r="B6" s="215" t="s">
        <v>1473</v>
      </c>
      <c r="C6" s="216">
        <f>基准地价修正!C33*基准地价修正!D33</f>
        <v>11053489</v>
      </c>
      <c r="D6" s="217"/>
      <c r="E6" s="218"/>
      <c r="F6" s="218"/>
      <c r="G6" s="219"/>
    </row>
    <row r="7" spans="1:8" s="214" customFormat="1" ht="13.5" customHeight="1">
      <c r="A7" s="778" t="s">
        <v>1474</v>
      </c>
      <c r="B7" s="215" t="s">
        <v>1475</v>
      </c>
      <c r="C7" s="220">
        <f>ROUND(C6*F7,0)</f>
        <v>337131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626260</v>
      </c>
      <c r="D8" s="222"/>
      <c r="E8" s="220"/>
      <c r="F8" s="221"/>
      <c r="G8" s="1856" t="s">
        <v>3401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626260</v>
      </c>
      <c r="D10" s="845">
        <f ca="1">IF(B1="",'数据-汇总表'!E6,IF(INDIRECT("'数据-取费表'!c"&amp;$G$1)="住宅",INDIRECT("'数据-取费表'!s"&amp;$G$1),INDIRECT("'数据-取费表'!k"&amp;$G$1)+INDIRECT("'数据-取费表'!s"&amp;$G$1)))</f>
        <v>3131.3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3131.3</v>
      </c>
      <c r="E19" s="211">
        <f>'数据-取费表'!B31</f>
        <v>200</v>
      </c>
      <c r="F19" s="231"/>
      <c r="G19" s="1856" t="s">
        <v>3402</v>
      </c>
    </row>
    <row r="20" spans="1:7" s="214" customFormat="1" ht="13.5" customHeight="1">
      <c r="A20" s="255" t="s">
        <v>1574</v>
      </c>
      <c r="B20" s="210" t="s">
        <v>1575</v>
      </c>
      <c r="C20" s="232">
        <f ca="1">ROUND((C5+C19)*F20,0)</f>
        <v>240338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418728</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414582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4146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1225722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1225722</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15023958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10442886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9393900</v>
      </c>
      <c r="D34" s="217"/>
      <c r="E34" s="220"/>
      <c r="F34" s="257"/>
      <c r="G34" s="219"/>
    </row>
    <row r="35" spans="1:7" ht="13.5" customHeight="1">
      <c r="A35" s="780" t="s">
        <v>351</v>
      </c>
      <c r="B35" s="215" t="s">
        <v>1527</v>
      </c>
      <c r="C35" s="220">
        <f ca="1">ROUND(C34*F35,0)</f>
        <v>281817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626260</v>
      </c>
      <c r="D37" s="217">
        <f ca="1">D19</f>
        <v>3131.3</v>
      </c>
      <c r="E37" s="249">
        <f>'数据-取费表'!B35</f>
        <v>200</v>
      </c>
      <c r="F37" s="259"/>
      <c r="G37" s="261"/>
    </row>
    <row r="38" spans="1:7" ht="13.5" customHeight="1">
      <c r="A38" s="780" t="s">
        <v>354</v>
      </c>
      <c r="B38" s="215" t="s">
        <v>1533</v>
      </c>
      <c r="C38" s="220">
        <f ca="1">ROUND(C34*F38,0)</f>
        <v>140909</v>
      </c>
      <c r="D38" s="220"/>
      <c r="E38" s="220"/>
      <c r="F38" s="259">
        <f>'数据-取费表'!B36</f>
        <v>1.4999999999999999E-2</v>
      </c>
      <c r="G38" s="219" t="s">
        <v>1528</v>
      </c>
    </row>
    <row r="39" spans="1:7" s="214" customFormat="1" ht="13.5" customHeight="1">
      <c r="A39" s="255" t="s">
        <v>1534</v>
      </c>
      <c r="B39" s="210" t="s">
        <v>1535</v>
      </c>
      <c r="C39" s="232">
        <f ca="1">ROUND(C33*F20,0)</f>
        <v>208858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183743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180140</v>
      </c>
      <c r="D42" s="238"/>
      <c r="E42" s="238"/>
      <c r="F42" s="239"/>
      <c r="G42" s="3636" t="s">
        <v>1591</v>
      </c>
    </row>
    <row r="43" spans="1:7" ht="13.5" customHeight="1">
      <c r="A43" s="780" t="s">
        <v>347</v>
      </c>
      <c r="B43" s="215" t="s">
        <v>1545</v>
      </c>
      <c r="C43" s="238">
        <f ca="1">ROUND(IF('数据-取费表'!B22&lt;=1,C39*F22*'数据-取费表'!B20/2,C39*(POWER((1+F22),'数据-取费表'!B20/2)-1)),0)</f>
        <v>3603</v>
      </c>
      <c r="D43" s="238"/>
      <c r="E43" s="238"/>
      <c r="F43" s="239"/>
      <c r="G43" s="3637"/>
    </row>
    <row r="44" spans="1:7" ht="13.5" customHeight="1">
      <c r="A44" s="780" t="s">
        <v>348</v>
      </c>
      <c r="B44" s="215" t="s">
        <v>1546</v>
      </c>
      <c r="C44" s="238">
        <f ca="1">ROUND(IF('数据-取费表'!B22&lt;=1,C40*F22*'数据-取费表'!B20/2,C40*(POWER((1+F22),'数据-取费表'!B20/2)-1)),4)</f>
        <v>2.9999999999999997E-4</v>
      </c>
      <c r="D44" s="238"/>
      <c r="E44" s="238"/>
      <c r="F44" s="239"/>
      <c r="G44" s="3638"/>
    </row>
    <row r="45" spans="1:7" s="214" customFormat="1" ht="13.5" customHeight="1">
      <c r="A45" s="255" t="s">
        <v>1547</v>
      </c>
      <c r="B45" s="244" t="s">
        <v>1513</v>
      </c>
      <c r="C45" s="245">
        <f ca="1">C46</f>
        <v>1065174</v>
      </c>
      <c r="D45" s="235">
        <f ca="1">C47</f>
        <v>2E-3</v>
      </c>
      <c r="E45" s="236" t="s">
        <v>1539</v>
      </c>
      <c r="F45" s="246">
        <f ca="1">F27</f>
        <v>0.1</v>
      </c>
      <c r="G45" s="247" t="s">
        <v>1548</v>
      </c>
    </row>
    <row r="46" spans="1:7" s="214" customFormat="1" ht="13.5" customHeight="1">
      <c r="A46" s="780" t="s">
        <v>346</v>
      </c>
      <c r="B46" s="248" t="s">
        <v>1549</v>
      </c>
      <c r="C46" s="249">
        <f ca="1">ROUND((C33+C39)*F27,0)</f>
        <v>1065174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12861408</v>
      </c>
      <c r="D49" s="232"/>
      <c r="E49" s="232"/>
      <c r="F49" s="264"/>
      <c r="G49" s="234" t="s">
        <v>1554</v>
      </c>
    </row>
    <row r="50" spans="1:7" s="258" customFormat="1">
      <c r="A50" s="255" t="s">
        <v>1555</v>
      </c>
      <c r="B50" s="210" t="s">
        <v>1556</v>
      </c>
      <c r="C50" s="232"/>
      <c r="D50" s="232"/>
      <c r="E50" s="232"/>
      <c r="F50" s="264">
        <f>IF('数据-取费表'!B24=0,'数据-取费表'!N16,1)</f>
        <v>0.61499999999999999</v>
      </c>
      <c r="G50" s="247"/>
    </row>
    <row r="51" spans="1:7" ht="16.5" customHeight="1">
      <c r="A51" s="255" t="s">
        <v>1558</v>
      </c>
      <c r="B51" s="210" t="s">
        <v>1593</v>
      </c>
      <c r="C51" s="232">
        <f ca="1">ROUND(C49*F50,0)</f>
        <v>7909766</v>
      </c>
      <c r="D51" s="232"/>
      <c r="E51" s="232"/>
      <c r="F51" s="264"/>
      <c r="G51" s="234" t="s">
        <v>1560</v>
      </c>
    </row>
    <row r="52" spans="1:7" s="208" customFormat="1" ht="16.5" thickBot="1">
      <c r="A52" s="265" t="s">
        <v>1561</v>
      </c>
      <c r="B52" s="266"/>
      <c r="C52" s="267">
        <f ca="1">C31+C51</f>
        <v>22933724</v>
      </c>
      <c r="D52" s="266"/>
      <c r="E52" s="266"/>
      <c r="F52" s="266"/>
      <c r="G52" s="268"/>
    </row>
    <row r="55" spans="1:7" ht="15">
      <c r="B55" s="270" t="s">
        <v>1562</v>
      </c>
      <c r="C55" s="271"/>
    </row>
    <row r="56" spans="1:7">
      <c r="B56" s="273" t="s">
        <v>802</v>
      </c>
      <c r="C56" s="275">
        <f ca="1">1-C57</f>
        <v>0.65500000000000003</v>
      </c>
    </row>
    <row r="57" spans="1:7">
      <c r="B57" s="273" t="s">
        <v>803</v>
      </c>
      <c r="C57" s="274">
        <f ca="1">ROUND(C51/C52,3)</f>
        <v>0.34499999999999997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3131.3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3131.3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0.37400000000000233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63</v>
      </c>
      <c r="D20" s="846">
        <f ca="1">IF(C1="",'数据-汇总表'!E6,IF(INDIRECT("'数据-取费表'!c"&amp;$K$1)="住宅",INDIRECT("'数据-取费表'!s"&amp;$K$1),INDIRECT("'数据-取费表'!k"&amp;$K$1)+INDIRECT("'数据-取费表'!s"&amp;$K$1)))</f>
        <v>3131.3</v>
      </c>
      <c r="E20" s="21">
        <f>'数据-取费表'!B28</f>
        <v>200</v>
      </c>
      <c r="F20" s="804"/>
      <c r="G20" s="12"/>
      <c r="H20" s="809"/>
      <c r="I20" s="809"/>
      <c r="J20" s="809"/>
      <c r="K20" s="810"/>
    </row>
    <row r="21" spans="1:33" s="803" customFormat="1" ht="13.5" customHeight="1">
      <c r="A21" s="790" t="s">
        <v>357</v>
      </c>
      <c r="B21" s="813" t="s">
        <v>1628</v>
      </c>
      <c r="C21" s="814">
        <f ca="1">C16+C17+C18</f>
        <v>0.37400000000000233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0</v>
      </c>
      <c r="D6" s="155" t="s">
        <v>2109</v>
      </c>
      <c r="E6" s="302" t="s">
        <v>696</v>
      </c>
      <c r="F6" s="303">
        <f ca="1">INDIRECT("'数据-取费表'!u"&amp;$G$1)</f>
        <v>0</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25.22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1725.4811999999999</v>
      </c>
      <c r="C2" s="1387" t="s">
        <v>879</v>
      </c>
      <c r="D2" s="1471">
        <f ca="1">C40+J29+L46</f>
        <v>17254812</v>
      </c>
      <c r="E2" s="1388" t="s">
        <v>880</v>
      </c>
      <c r="F2" s="1389"/>
      <c r="G2" s="2706"/>
      <c r="H2" s="2695"/>
      <c r="I2" s="2695"/>
      <c r="J2" s="2695"/>
      <c r="K2" s="2696"/>
      <c r="L2" s="2695"/>
      <c r="M2" s="2695"/>
    </row>
    <row r="3" spans="1:37" ht="18" customHeight="1" thickBot="1">
      <c r="A3" s="1390" t="s">
        <v>881</v>
      </c>
      <c r="B3" s="1391">
        <f ca="1">IF(ISERROR(D2/F43),0,ROUND(D2/F43,0))</f>
        <v>5510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1167240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1165783</v>
      </c>
      <c r="D6" s="155" t="s">
        <v>2106</v>
      </c>
      <c r="E6" s="302" t="s">
        <v>696</v>
      </c>
      <c r="F6" s="303">
        <f ca="1">INDIRECT("'数据-取费表'!u"&amp;$G$1)</f>
        <v>1.2</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3131.3</v>
      </c>
      <c r="G7" s="1384"/>
      <c r="H7" s="304"/>
      <c r="I7" s="3642"/>
      <c r="J7" s="306"/>
      <c r="K7" s="307"/>
      <c r="L7" s="302" t="s">
        <v>697</v>
      </c>
      <c r="M7" s="303">
        <f ca="1">F7</f>
        <v>3131.3</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1457</v>
      </c>
      <c r="D10" s="1366" t="s">
        <v>2116</v>
      </c>
      <c r="E10" s="313" t="s">
        <v>701</v>
      </c>
      <c r="F10" s="1116" t="s">
        <v>3403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7909766</v>
      </c>
      <c r="D13" s="1081" t="s">
        <v>705</v>
      </c>
      <c r="E13" s="1081" t="s">
        <v>706</v>
      </c>
      <c r="F13" s="1082">
        <f ca="1">INDIRECT("'数据-取费表'!y"&amp;$G$1)</f>
        <v>0.61499999999999999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9393900</v>
      </c>
      <c r="D14" s="1345" t="s">
        <v>708</v>
      </c>
      <c r="E14" s="1342"/>
      <c r="F14" s="319"/>
      <c r="G14" s="1384"/>
      <c r="H14" s="982" t="s">
        <v>398</v>
      </c>
      <c r="I14" s="302" t="s">
        <v>709</v>
      </c>
      <c r="J14" s="21">
        <f ca="1">C29</f>
        <v>12861408</v>
      </c>
      <c r="K14" s="12"/>
      <c r="L14" s="807"/>
      <c r="M14" s="808"/>
    </row>
    <row r="15" spans="1:37" s="1397" customFormat="1" ht="18" customHeight="1" thickBot="1">
      <c r="A15" s="982" t="s">
        <v>399</v>
      </c>
      <c r="B15" s="302" t="s">
        <v>710</v>
      </c>
      <c r="C15" s="21">
        <f ca="1">ROUND(C14*F15,0)</f>
        <v>281817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64307</v>
      </c>
      <c r="K16" s="1087" t="s">
        <v>715</v>
      </c>
      <c r="L16" s="1088"/>
      <c r="M16" s="1072"/>
    </row>
    <row r="17" spans="1:37" s="1397" customFormat="1" ht="18" customHeight="1">
      <c r="A17" s="982" t="s">
        <v>681</v>
      </c>
      <c r="B17" s="302" t="s">
        <v>716</v>
      </c>
      <c r="C17" s="21">
        <f ca="1">ROUND(F17*(F43+INDIRECT("'数据-取费表'!S"&amp;$G$1)),0)</f>
        <v>626260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140909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10442886</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208858</v>
      </c>
      <c r="D20" s="323" t="s">
        <v>729</v>
      </c>
      <c r="E20" s="302" t="s">
        <v>712</v>
      </c>
      <c r="F20" s="322">
        <f>'数据-取费表'!B37</f>
        <v>0.02</v>
      </c>
      <c r="G20" s="1396"/>
      <c r="H20" s="982" t="s">
        <v>680</v>
      </c>
      <c r="I20" s="155" t="s">
        <v>730</v>
      </c>
      <c r="J20" s="22">
        <f ca="1">ROUND(M20*M21,0)</f>
        <v>1447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964.84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64307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183743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-64307</v>
      </c>
      <c r="K25" s="1095" t="s">
        <v>753</v>
      </c>
      <c r="L25" s="1096"/>
      <c r="M25" s="1097"/>
    </row>
    <row r="26" spans="1:37" ht="18" customHeight="1">
      <c r="A26" s="982" t="s">
        <v>397</v>
      </c>
      <c r="B26" s="302" t="s">
        <v>754</v>
      </c>
      <c r="C26" s="21">
        <f ca="1">ROUND((C19+C20)*F26,0)</f>
        <v>1065174</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12861408</v>
      </c>
      <c r="D29" s="1092"/>
      <c r="E29" s="1090"/>
      <c r="F29" s="1093"/>
      <c r="G29" s="1396"/>
      <c r="H29" s="334" t="s">
        <v>396</v>
      </c>
      <c r="I29" s="335" t="s">
        <v>768</v>
      </c>
      <c r="J29" s="336">
        <f ca="1">ROUND(J26/(1+F40)^F41,0)</f>
        <v>0</v>
      </c>
      <c r="K29" s="337" t="s">
        <v>769</v>
      </c>
      <c r="L29" s="338"/>
      <c r="M29" s="339">
        <f ca="1">INDIRECT("'数据-取费表'!k"&amp;$G$1)</f>
        <v>3131.3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217121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133232</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964.84</v>
      </c>
      <c r="G35" s="1384"/>
      <c r="H35" s="2697"/>
      <c r="I35" s="1398"/>
      <c r="J35" s="1399"/>
      <c r="K35" s="2701"/>
      <c r="L35" s="2700"/>
      <c r="M35" s="2700"/>
    </row>
    <row r="36" spans="1:18" ht="18" customHeight="1">
      <c r="A36" s="1102" t="s">
        <v>402</v>
      </c>
      <c r="B36" s="302" t="s">
        <v>738</v>
      </c>
      <c r="C36" s="21">
        <f ca="1">ROUND(C29*F36,0)</f>
        <v>64307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7910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11672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950119</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16424527</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25.22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5245</v>
      </c>
      <c r="D43" s="337" t="s">
        <v>777</v>
      </c>
      <c r="E43" s="338" t="s">
        <v>778</v>
      </c>
      <c r="F43" s="339">
        <f ca="1">INDIRECT("'数据-取费表'!k"&amp;$G$1)</f>
        <v>3131.3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-1744.6903</v>
      </c>
      <c r="D45" s="3432" t="s">
        <v>3356</v>
      </c>
      <c r="E45" s="1400"/>
      <c r="F45" s="1400"/>
      <c r="O45" s="1403" t="s">
        <v>808</v>
      </c>
      <c r="P45" s="1461"/>
      <c r="Q45" s="1461"/>
      <c r="R45" s="1461"/>
    </row>
    <row r="46" spans="1:18" s="1384" customFormat="1" ht="13.5" thickBot="1">
      <c r="A46" s="1404" t="s">
        <v>809</v>
      </c>
      <c r="C46" s="1405">
        <f ca="1">ROUND(C45,0)</f>
        <v>-1745</v>
      </c>
      <c r="D46" s="1406" t="str">
        <f>C2</f>
        <v>万元</v>
      </c>
      <c r="I46" s="1407" t="s">
        <v>810</v>
      </c>
      <c r="J46" s="1408"/>
      <c r="K46" s="1409"/>
      <c r="L46" s="1410">
        <f ca="1">IF(M47="住宅",0,IF(L48&gt;J51,L60,J60))</f>
        <v>830285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16424527</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25.22</v>
      </c>
      <c r="O48" s="1418" t="s">
        <v>404</v>
      </c>
      <c r="P48" s="1419" t="s">
        <v>821</v>
      </c>
      <c r="Q48" s="1420">
        <f ca="1">J60</f>
        <v>830285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1993</v>
      </c>
      <c r="K49" s="1423" t="s">
        <v>824</v>
      </c>
      <c r="L49" s="1427"/>
      <c r="O49" s="1428" t="s">
        <v>405</v>
      </c>
      <c r="P49" s="1419" t="s">
        <v>825</v>
      </c>
      <c r="Q49" s="1420">
        <f ca="1">C29</f>
        <v>12861408</v>
      </c>
      <c r="R49" s="1420" t="s">
        <v>818</v>
      </c>
    </row>
    <row r="50" spans="1:18" s="1384" customFormat="1" ht="13.5" thickBot="1">
      <c r="A50" s="976"/>
      <c r="B50" s="979"/>
      <c r="C50" s="980"/>
      <c r="D50" s="953"/>
      <c r="E50" s="1056" t="s">
        <v>697</v>
      </c>
      <c r="F50" s="1057">
        <f ca="1">F7</f>
        <v>3131.3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29</v>
      </c>
      <c r="K51" s="1434" t="s">
        <v>830</v>
      </c>
      <c r="L51" s="1435">
        <f ca="1">ROUND(-PV(INDIRECT("'数据-取费表'!h"&amp;$G$1),J51,(C39-C13*C76),0),0)</f>
        <v>6351643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25.22</v>
      </c>
      <c r="K53" s="3639" t="s">
        <v>837</v>
      </c>
      <c r="L53" s="3640"/>
      <c r="O53" s="1418" t="s">
        <v>409</v>
      </c>
      <c r="P53" s="1419" t="s">
        <v>838</v>
      </c>
      <c r="Q53" s="1420">
        <f ca="1">Q47+Q48</f>
        <v>17254812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6.3E-2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7909766</v>
      </c>
      <c r="D56" s="1447"/>
      <c r="E56" s="1448"/>
      <c r="F56" s="1440"/>
      <c r="I56" s="1449" t="s">
        <v>842</v>
      </c>
      <c r="J56" s="1450" t="s">
        <v>3406</v>
      </c>
      <c r="K56" s="1421" t="s">
        <v>843</v>
      </c>
      <c r="L56" s="1424" t="str">
        <f ca="1">IF(L48&lt;J51,"——",L48-J51)</f>
        <v>——</v>
      </c>
      <c r="O56" s="1418" t="s">
        <v>403</v>
      </c>
      <c r="P56" s="1419" t="s">
        <v>817</v>
      </c>
      <c r="Q56" s="1420">
        <f ca="1">C40+J29</f>
        <v>16424527</v>
      </c>
      <c r="R56" s="1420" t="s">
        <v>818</v>
      </c>
    </row>
    <row r="57" spans="1:18" s="1384" customFormat="1" ht="24.75" thickBot="1">
      <c r="A57" s="1451"/>
      <c r="B57" s="950" t="s">
        <v>767</v>
      </c>
      <c r="C57" s="238">
        <f ca="1">C29</f>
        <v>12861408</v>
      </c>
      <c r="D57" s="1452"/>
      <c r="E57" s="1453"/>
      <c r="F57" s="1454"/>
      <c r="I57" s="1455" t="s">
        <v>844</v>
      </c>
      <c r="J57" s="1456">
        <f ca="1">IF(OR(M47="住宅",J51&lt;L48,J56="是"),"——",J51-L48)</f>
        <v>3.7800000000000011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72217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5144563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830285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16424527</v>
      </c>
      <c r="R62" s="1420" t="s">
        <v>410</v>
      </c>
    </row>
    <row r="63" spans="1:18" s="1384" customFormat="1" ht="13.5" thickBot="1">
      <c r="A63" s="326"/>
      <c r="B63" s="956"/>
      <c r="C63" s="26"/>
      <c r="D63" s="966"/>
      <c r="E63" s="950" t="s">
        <v>788</v>
      </c>
      <c r="F63" s="303">
        <f t="shared" ca="1" si="0"/>
        <v>964.84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64307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7910</v>
      </c>
      <c r="D65" s="964" t="s">
        <v>743</v>
      </c>
      <c r="E65" s="950" t="s">
        <v>744</v>
      </c>
      <c r="F65" s="330">
        <f t="shared" ca="1" si="0"/>
        <v>1E-3</v>
      </c>
      <c r="I65" s="1462" t="s">
        <v>867</v>
      </c>
      <c r="J65" s="1463">
        <v>40</v>
      </c>
      <c r="K65" s="1463">
        <v>30</v>
      </c>
      <c r="L65" s="1463">
        <v>50</v>
      </c>
      <c r="M65" s="1465">
        <v>0.02</v>
      </c>
      <c r="O65" s="1418" t="s">
        <v>403</v>
      </c>
      <c r="P65" s="1419" t="s">
        <v>868</v>
      </c>
      <c r="Q65" s="1420">
        <f ca="1">C40+J29</f>
        <v>16424527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-72217</v>
      </c>
      <c r="D67" s="963" t="s">
        <v>753</v>
      </c>
      <c r="E67" s="968"/>
      <c r="F67" s="969"/>
      <c r="O67" s="1428" t="s">
        <v>405</v>
      </c>
      <c r="P67" s="1419" t="s">
        <v>850</v>
      </c>
      <c r="Q67" s="1466">
        <f ca="1">L51</f>
        <v>6351643</v>
      </c>
      <c r="R67" s="1420" t="s">
        <v>870</v>
      </c>
    </row>
    <row r="68" spans="1:18" s="1384" customFormat="1" ht="16.5" thickBot="1">
      <c r="A68" s="947" t="s">
        <v>395</v>
      </c>
      <c r="B68" s="948" t="s">
        <v>774</v>
      </c>
      <c r="C68" s="301">
        <f ca="1">ROUND(C67*(1-((1+F70)/(1+F68))^F69)/(F68-F70),0)</f>
        <v>-1022376</v>
      </c>
      <c r="D68" s="965" t="s">
        <v>758</v>
      </c>
      <c r="E68" s="950" t="s">
        <v>759</v>
      </c>
      <c r="F68" s="312">
        <f ca="1">F40</f>
        <v>0.05</v>
      </c>
      <c r="O68" s="1428" t="s">
        <v>406</v>
      </c>
      <c r="P68" s="1467" t="s">
        <v>871</v>
      </c>
      <c r="Q68" s="1420">
        <f ca="1">ROUND(Q69-Q70*Q71,0)</f>
        <v>396435</v>
      </c>
      <c r="R68" s="1420" t="s">
        <v>414</v>
      </c>
    </row>
    <row r="69" spans="1:18" s="1384" customFormat="1" ht="13.5" thickBot="1">
      <c r="A69" s="951"/>
      <c r="B69" s="952"/>
      <c r="C69" s="306"/>
      <c r="D69" s="970" t="s">
        <v>762</v>
      </c>
      <c r="E69" s="950" t="s">
        <v>763</v>
      </c>
      <c r="F69" s="333">
        <f ca="1">F41</f>
        <v>25.22</v>
      </c>
      <c r="O69" s="1428" t="s">
        <v>411</v>
      </c>
      <c r="P69" s="1467" t="s">
        <v>872</v>
      </c>
      <c r="Q69" s="1420">
        <f ca="1">C39</f>
        <v>950119</v>
      </c>
      <c r="R69" s="1420" t="s">
        <v>818</v>
      </c>
    </row>
    <row r="70" spans="1:18" s="1384" customFormat="1" ht="13.5" thickBot="1">
      <c r="A70" s="954"/>
      <c r="B70" s="955"/>
      <c r="C70" s="310"/>
      <c r="D70" s="966"/>
      <c r="E70" s="950" t="s">
        <v>766</v>
      </c>
      <c r="F70" s="1054"/>
      <c r="O70" s="1428" t="s">
        <v>412</v>
      </c>
      <c r="P70" s="1467" t="s">
        <v>873</v>
      </c>
      <c r="Q70" s="1420">
        <f ca="1">C13</f>
        <v>7909766</v>
      </c>
      <c r="R70" s="1420" t="s">
        <v>818</v>
      </c>
    </row>
    <row r="71" spans="1:18" s="1384" customFormat="1" ht="13.5" thickBot="1">
      <c r="A71" s="971" t="s">
        <v>396</v>
      </c>
      <c r="B71" s="972" t="s">
        <v>776</v>
      </c>
      <c r="C71" s="336">
        <f ca="1">ROUND(C68/F71,0)</f>
        <v>-327</v>
      </c>
      <c r="D71" s="973" t="s">
        <v>777</v>
      </c>
      <c r="E71" s="974" t="s">
        <v>778</v>
      </c>
      <c r="F71" s="339">
        <f ca="1">F43</f>
        <v>3131.3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553684</v>
      </c>
      <c r="D75" s="1384"/>
      <c r="E75" s="1384"/>
      <c r="F75" s="1384"/>
      <c r="K75" s="1402"/>
      <c r="L75" s="1384"/>
      <c r="O75" s="1418" t="s">
        <v>409</v>
      </c>
      <c r="P75" s="1419" t="s">
        <v>838</v>
      </c>
      <c r="Q75" s="1420">
        <f ca="1">Q65+Q66</f>
        <v>16424527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0.41700000000000004</v>
      </c>
    </row>
    <row r="80" spans="1:18">
      <c r="B80" s="340" t="s">
        <v>800</v>
      </c>
      <c r="C80" s="274">
        <f ca="1">ROUND(C75/C39,3)</f>
        <v>0.58299999999999996</v>
      </c>
    </row>
    <row r="81" spans="2:3">
      <c r="B81" s="270" t="s">
        <v>801</v>
      </c>
      <c r="C81" s="238"/>
    </row>
    <row r="82" spans="2:3">
      <c r="B82" s="273" t="s">
        <v>802</v>
      </c>
      <c r="C82" s="275">
        <f ca="1">1-C83</f>
        <v>0.51800000000000002</v>
      </c>
    </row>
    <row r="83" spans="2:3">
      <c r="B83" s="273" t="s">
        <v>803</v>
      </c>
      <c r="C83" s="274">
        <f ca="1">ROUND(C13/C40,3)</f>
        <v>0.48199999999999998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50" t="s">
        <v>2321</v>
      </c>
      <c r="K2" s="365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2" t="s">
        <v>2331</v>
      </c>
      <c r="K3" s="365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2" t="s">
        <v>2333</v>
      </c>
      <c r="K4" s="365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8" t="s">
        <v>2337</v>
      </c>
      <c r="B6" s="3659"/>
      <c r="C6" s="3660"/>
      <c r="D6" s="2870"/>
      <c r="E6" s="2871"/>
      <c r="F6" s="2872"/>
      <c r="G6" s="2873"/>
      <c r="H6" s="2848"/>
      <c r="I6" s="2849"/>
      <c r="J6" s="3644">
        <v>1</v>
      </c>
      <c r="K6" s="3645"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4"/>
      <c r="K7" s="3646"/>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1" t="s">
        <v>2351</v>
      </c>
      <c r="C8" s="3662"/>
      <c r="D8" s="2889" t="s">
        <v>2352</v>
      </c>
      <c r="E8" s="2890" t="s">
        <v>2353</v>
      </c>
      <c r="F8" s="2891" t="s">
        <v>2354</v>
      </c>
      <c r="G8" s="2892"/>
      <c r="H8" s="2848"/>
      <c r="I8" s="2849"/>
      <c r="J8" s="3644"/>
      <c r="K8" s="3646"/>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1" t="s">
        <v>2357</v>
      </c>
      <c r="C9" s="3662"/>
      <c r="D9" s="2889">
        <f>ROUND(D6*E9,0)</f>
        <v>0</v>
      </c>
      <c r="E9" s="2893"/>
      <c r="F9" s="2894" t="s">
        <v>2358</v>
      </c>
      <c r="G9" s="2873"/>
      <c r="H9" s="2848"/>
      <c r="I9" s="2849"/>
      <c r="J9" s="3644"/>
      <c r="K9" s="3646"/>
      <c r="L9" s="2883" t="s">
        <v>2359</v>
      </c>
      <c r="M9" s="2884"/>
      <c r="N9" s="2860"/>
      <c r="O9" s="2885"/>
      <c r="P9" s="2885"/>
      <c r="Q9" s="2886">
        <v>365</v>
      </c>
      <c r="R9" s="2887">
        <f t="shared" si="0"/>
        <v>0</v>
      </c>
      <c r="S9" s="2841"/>
      <c r="T9" s="2841"/>
      <c r="U9" s="2841"/>
      <c r="V9" s="2849"/>
    </row>
    <row r="10" spans="1:22" s="2853" customFormat="1" ht="13.15" customHeight="1">
      <c r="A10" s="2888">
        <v>2</v>
      </c>
      <c r="B10" s="3661" t="s">
        <v>2360</v>
      </c>
      <c r="C10" s="3662"/>
      <c r="D10" s="2889">
        <f>ROUND(D6*E10,0)</f>
        <v>0</v>
      </c>
      <c r="E10" s="2893"/>
      <c r="F10" s="2894" t="s">
        <v>2361</v>
      </c>
      <c r="G10" s="2873"/>
      <c r="H10" s="2848"/>
      <c r="I10" s="2849"/>
      <c r="J10" s="3644"/>
      <c r="K10" s="3646"/>
      <c r="L10" s="2883" t="s">
        <v>2362</v>
      </c>
      <c r="M10" s="2884"/>
      <c r="N10" s="2860"/>
      <c r="O10" s="2885"/>
      <c r="P10" s="2885"/>
      <c r="Q10" s="2886">
        <v>365</v>
      </c>
      <c r="R10" s="2887">
        <f t="shared" si="0"/>
        <v>0</v>
      </c>
      <c r="S10" s="2841"/>
      <c r="T10" s="2841"/>
      <c r="U10" s="2841"/>
      <c r="V10" s="2849"/>
    </row>
    <row r="11" spans="1:22" s="2853" customFormat="1" ht="13.15" customHeight="1">
      <c r="A11" s="2888">
        <v>3</v>
      </c>
      <c r="B11" s="3661" t="s">
        <v>2363</v>
      </c>
      <c r="C11" s="3662"/>
      <c r="D11" s="2889">
        <f>D12+D14+D15+D16</f>
        <v>0</v>
      </c>
      <c r="E11" s="2895" t="e">
        <f>D11/D6</f>
        <v>#DIV/0!</v>
      </c>
      <c r="F11" s="2891"/>
      <c r="G11" s="2892"/>
      <c r="H11" s="2848"/>
      <c r="I11" s="2849"/>
      <c r="J11" s="3644"/>
      <c r="K11" s="3646"/>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4"/>
      <c r="K12" s="3646"/>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4"/>
      <c r="K13" s="3646"/>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4"/>
      <c r="K14" s="3647"/>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4">
        <v>2</v>
      </c>
      <c r="K15" s="3645"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4"/>
      <c r="K16" s="3646"/>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4"/>
      <c r="K17" s="3646"/>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4"/>
      <c r="K18" s="3646"/>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4"/>
      <c r="K19" s="3647"/>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4">
        <v>3</v>
      </c>
      <c r="K20" s="3645"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4"/>
      <c r="K21" s="3646"/>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4"/>
      <c r="K22" s="3646"/>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4"/>
      <c r="K23" s="3646"/>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4"/>
      <c r="K24" s="3647"/>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0" t="s">
        <v>2321</v>
      </c>
      <c r="K32" s="365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2" t="s">
        <v>2331</v>
      </c>
      <c r="K33" s="365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2" t="s">
        <v>2333</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4">
        <v>1</v>
      </c>
      <c r="K36" s="3645"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4"/>
      <c r="K40" s="3647"/>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1725.4811999999999</v>
      </c>
      <c r="C2" s="1872" t="s">
        <v>1651</v>
      </c>
      <c r="D2" s="1873" t="s">
        <v>1652</v>
      </c>
      <c r="E2" s="2607">
        <f>SUM(E6:E13)</f>
        <v>3131.3</v>
      </c>
      <c r="F2" s="2707"/>
      <c r="G2" s="1489"/>
      <c r="H2" s="1489"/>
      <c r="I2" s="1489"/>
      <c r="J2" s="1489"/>
      <c r="K2" s="1489"/>
      <c r="L2" s="1489"/>
      <c r="M2" s="1489"/>
      <c r="N2" s="1489"/>
      <c r="O2" s="1489"/>
      <c r="P2" s="1489"/>
      <c r="Q2" s="1489"/>
      <c r="R2" s="1489"/>
      <c r="S2" s="1489"/>
    </row>
    <row r="3" spans="1:22" ht="15.75">
      <c r="A3" s="1870" t="s">
        <v>686</v>
      </c>
      <c r="B3" s="2601">
        <f ca="1">ROUND(B2*10000/E2,0)</f>
        <v>5510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1725.4811999999999</v>
      </c>
      <c r="C6" s="1872" t="s">
        <v>1651</v>
      </c>
      <c r="D6" s="2709"/>
      <c r="E6" s="2606">
        <f>IF(OR(A6=0,F6="否"),0,'数据-取费表'!K6+'数据-取费表'!S6)</f>
        <v>3131.3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3131.3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45356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3131.3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45356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3131.3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ht="15">
      <c r="A5" s="358"/>
      <c r="B5" s="359"/>
      <c r="C5" s="3702" t="s">
        <v>1673</v>
      </c>
      <c r="D5" s="3703"/>
      <c r="E5" s="3709" t="s">
        <v>1674</v>
      </c>
      <c r="F5" s="3710"/>
      <c r="G5" s="3702" t="s">
        <v>1675</v>
      </c>
      <c r="H5" s="3703"/>
      <c r="I5" s="3702" t="s">
        <v>1676</v>
      </c>
      <c r="J5" s="3703"/>
      <c r="K5" s="559"/>
      <c r="L5" s="2715"/>
      <c r="M5" s="2716"/>
      <c r="N5" s="2716"/>
      <c r="O5" s="2716"/>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45356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3131.3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45356</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估价对象为北京市房地产，为所有。根据《国有土地使用证》[]，估价对象（分摊）出让国有建设用地使用权面积为964.84平方米，建筑面积为3131.3平方米。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估价对象为北京市房地产,为开发建设的，该项目尚在开发建设中。根据《国有土地使用证》[]，估价对象（分摊）出让国有建设用地使用权面积为964.84平方米，规划建筑面积为3131.3平方米。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45356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45356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45356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668"/>
      <c r="Q10" s="1343" t="str">
        <f t="shared" si="6"/>
        <v>土地使用年限（年）</v>
      </c>
      <c r="R10" s="701" t="s">
        <v>14</v>
      </c>
      <c r="S10" s="702">
        <f t="shared" si="0"/>
        <v>133</v>
      </c>
      <c r="T10" s="701" t="s">
        <v>14</v>
      </c>
      <c r="U10" s="702">
        <f t="shared" si="1"/>
        <v>133</v>
      </c>
      <c r="V10" s="701" t="s">
        <v>14</v>
      </c>
      <c r="W10" s="702">
        <f t="shared" si="2"/>
        <v>133</v>
      </c>
      <c r="X10" s="703"/>
      <c r="Y10" s="3543"/>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3131.3</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九级</v>
      </c>
      <c r="I60" s="891">
        <f>SUMIF(修正!A57:A68,H60,修正!E57:E68)</f>
        <v>0.2</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九级</v>
      </c>
      <c r="I61" s="891">
        <f>SUMIF(修正!A57:A68,H61,修正!F57:F68)</f>
        <v>0.2</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九级</v>
      </c>
      <c r="I64" s="893">
        <f>SUMIF(修正!A57:A68,H64,修正!G57:G68)</f>
        <v>0.1</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3131.3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45356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668"/>
      <c r="Q10" s="1343" t="str">
        <f t="shared" si="6"/>
        <v>土地使用年限（年）</v>
      </c>
      <c r="R10" s="701" t="s">
        <v>14</v>
      </c>
      <c r="S10" s="702">
        <f t="shared" si="0"/>
        <v>133</v>
      </c>
      <c r="T10" s="701" t="s">
        <v>14</v>
      </c>
      <c r="U10" s="702">
        <f t="shared" si="1"/>
        <v>133</v>
      </c>
      <c r="V10" s="701" t="s">
        <v>14</v>
      </c>
      <c r="W10" s="702">
        <f t="shared" si="2"/>
        <v>133</v>
      </c>
      <c r="X10" s="703"/>
      <c r="Y10" s="3543"/>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3131.3</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九级</v>
      </c>
      <c r="I56" s="773">
        <f>SUMIF(修正!A57:A68,H56,修正!E57:E68)</f>
        <v>0.2</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九级</v>
      </c>
      <c r="I57" s="773">
        <f>SUMIF(修正!A57:A68,H57,修正!F57:F68)</f>
        <v>0.2</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九级</v>
      </c>
      <c r="I60" s="773">
        <f>SUMIF(修正!A57:A68,H60,修正!G57:G68)</f>
        <v>0.1</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964.84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1105</v>
      </c>
      <c r="C2" s="2145" t="s">
        <v>2074</v>
      </c>
      <c r="D2" s="2145" t="s">
        <v>2075</v>
      </c>
      <c r="E2" s="2612">
        <f ca="1">SUMIF(E6:E13,"&lt;&gt;#ref!",E6:E13)</f>
        <v>3131.3</v>
      </c>
      <c r="F2" s="2793"/>
      <c r="G2" s="2793"/>
      <c r="H2" s="2793"/>
      <c r="I2" s="2793"/>
      <c r="J2" s="2793"/>
      <c r="K2" s="2793"/>
      <c r="L2" s="2793"/>
      <c r="M2" s="2793"/>
      <c r="N2" s="2793"/>
      <c r="O2" s="2793"/>
      <c r="P2" s="2793"/>
    </row>
    <row r="3" spans="1:16" ht="15.75">
      <c r="A3" s="2145" t="s">
        <v>2076</v>
      </c>
      <c r="B3" s="2602">
        <f ca="1">ROUND(B2*10000/E2,0)</f>
        <v>3529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1105</v>
      </c>
      <c r="C6" s="2145" t="s">
        <v>2074</v>
      </c>
      <c r="D6" s="2793"/>
      <c r="E6" s="2612">
        <f ca="1">SUMIF(INDIRECT("'"&amp;A6&amp;"'"&amp;"!C:C"),"建筑面积",INDIRECT("'"&amp;A6&amp;"'"&amp;"!D:D"))</f>
        <v>3131.3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L28" sqref="L2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3131.3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1105</v>
      </c>
      <c r="C2" s="1999" t="s">
        <v>1935</v>
      </c>
      <c r="D2" s="2000" t="s">
        <v>1936</v>
      </c>
      <c r="E2" s="3422" t="s">
        <v>21</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6373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3529</v>
      </c>
      <c r="C3" s="1999" t="s">
        <v>1941</v>
      </c>
      <c r="D3" s="2000" t="s">
        <v>1942</v>
      </c>
      <c r="E3" s="3420" t="s">
        <v>3395</v>
      </c>
      <c r="F3" s="2004" t="s">
        <v>3396</v>
      </c>
      <c r="G3" s="752">
        <f>IF(F3="宗地容积率",'数据-汇总表'!I4,IF(F3="估价对象容积率",'数据-汇总表'!I6,'数据-汇总表'!I7))</f>
        <v>3.25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4912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4007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5300</v>
      </c>
      <c r="D5" s="1339">
        <f>ROUND(C6*C17+C20,0)</f>
        <v>5300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3402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5300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3099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3.25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5300</v>
      </c>
      <c r="N9" s="866">
        <f>SUMPRODUCT((因素修正幅度!B277:B326=I2)*(因素修正幅度!C3:G3=E2)*(因素修正幅度!C277:G326))</f>
        <v>0.15</v>
      </c>
      <c r="O9" s="1119"/>
      <c r="P9" s="1119"/>
      <c r="Q9" s="1119"/>
      <c r="R9" s="1212">
        <v>8</v>
      </c>
      <c r="S9" s="1213"/>
      <c r="T9" s="3361">
        <f t="shared" si="0"/>
        <v>0</v>
      </c>
      <c r="U9" s="1213"/>
      <c r="V9" s="3361">
        <f t="shared" si="1"/>
        <v>0</v>
      </c>
      <c r="W9" s="3747"/>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3258</v>
      </c>
      <c r="B20" s="167" t="s">
        <v>1994</v>
      </c>
      <c r="C20" s="3325">
        <f>ROUND(IF(F21="与级别开发程度一致",0,(G21-E21)/C21),0)</f>
        <v>0</v>
      </c>
      <c r="D20" s="3341" t="s">
        <v>1998</v>
      </c>
      <c r="E20" s="3342"/>
      <c r="F20" s="3758" t="s">
        <v>1995</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45356</v>
      </c>
      <c r="H23" s="3343" t="s">
        <v>3259</v>
      </c>
      <c r="I23" s="3344" t="str">
        <f>IF(H23="季度增幅（自定义）",SUMIF(N25:N28,E2,O25:O28),"")</f>
        <v/>
      </c>
      <c r="J23" s="3446" t="s">
        <v>3398</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0.79549999999999998</v>
      </c>
      <c r="D24" s="2060" t="s">
        <v>2007</v>
      </c>
      <c r="E24" s="1335">
        <f>存贷款利率!E24/100</f>
        <v>4.3499999999999997E-2</v>
      </c>
      <c r="F24" s="2060" t="s">
        <v>1999</v>
      </c>
      <c r="G24" s="768">
        <f>SUMIF(M30:Q30,E2,M33:Q33)</f>
        <v>5.5E-2</v>
      </c>
      <c r="H24" s="2060" t="s">
        <v>2008</v>
      </c>
      <c r="I24" s="769">
        <f>SUMIF('数据-取费表'!C6:C15,E2,'数据-取费表'!F6:F15)/COUNTIF('数据-取费表'!C6:C15,E2)</f>
        <v>25.22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0.85409999999999997</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0.85409999999999997</v>
      </c>
      <c r="E26" s="752">
        <f>ROUNDDOWN(G3,1)</f>
        <v>3.2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0.85780000000000001</v>
      </c>
      <c r="G26" s="752">
        <f>ROUNDUP(G3,1)</f>
        <v>3.3000000000000003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0.85029999999999994</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0.95209999999999995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1105</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3530</v>
      </c>
      <c r="D33" s="2098">
        <f>'数据-汇总表'!F31</f>
        <v>3131.3</v>
      </c>
      <c r="E33" s="773">
        <f>ROUND(C33*D33/10000,0)</f>
        <v>1105</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883</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2067</v>
      </c>
      <c r="D37" s="2098"/>
      <c r="E37" s="171">
        <f>ROUND(C37*D37/10000,0)</f>
        <v>0</v>
      </c>
      <c r="F37" s="171">
        <f>SUMIF(修正!A57:A68,G2,修正!B57:B68)</f>
        <v>0.5</v>
      </c>
      <c r="G37" s="171">
        <f>ROUND(IF(E2="工业",C37*$M$42,C37*$M$41),0)</f>
        <v>517</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827</v>
      </c>
      <c r="D38" s="2098"/>
      <c r="E38" s="171">
        <f t="shared" ref="E38:E42" si="4">ROUND(C38*D38/10000,0)</f>
        <v>0</v>
      </c>
      <c r="F38" s="171">
        <f>SUMIF(修正!A57:A68,G2,修正!C57:C68)</f>
        <v>0.2</v>
      </c>
      <c r="G38" s="171">
        <f>ROUND(IF(E2="工业",C38*$M$42,C38*$M$41),0)</f>
        <v>207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3262</v>
      </c>
      <c r="C39" s="175">
        <f>ROUND(D5*C22*C23*C24*C28*F39,0)</f>
        <v>827</v>
      </c>
      <c r="D39" s="2098"/>
      <c r="E39" s="171">
        <f t="shared" si="4"/>
        <v>0</v>
      </c>
      <c r="F39" s="171">
        <f>SUMIF(修正!A57:A68,G2,修正!D57:D68)</f>
        <v>0.2</v>
      </c>
      <c r="G39" s="171">
        <f>ROUND(IF(E2="工业",C39*$M$42,C39*$M$41),0)</f>
        <v>207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827</v>
      </c>
      <c r="D40" s="2098"/>
      <c r="E40" s="171">
        <f t="shared" si="4"/>
        <v>0</v>
      </c>
      <c r="F40" s="175">
        <f>SUMIF(修正!A57:A68,G2,修正!E57:E68)</f>
        <v>0.2</v>
      </c>
      <c r="G40" s="171">
        <f>ROUND(IF(E2="工业",C40*$M$42,C40*$M$41),0)</f>
        <v>207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827</v>
      </c>
      <c r="D41" s="2098"/>
      <c r="E41" s="171">
        <f t="shared" si="4"/>
        <v>0</v>
      </c>
      <c r="F41" s="175">
        <f>SUMIF(修正!A57:A68,G2,修正!F57:F68)</f>
        <v>0.2</v>
      </c>
      <c r="G41" s="171">
        <f>ROUND(IF(E2="工业",C41*$M$42,C41*$M$41),0)</f>
        <v>207</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413</v>
      </c>
      <c r="D42" s="2103"/>
      <c r="E42" s="187">
        <f t="shared" si="4"/>
        <v>0</v>
      </c>
      <c r="F42" s="767">
        <f>SUMIF(修正!A57:A68,G2,修正!G57:G68)</f>
        <v>0.1</v>
      </c>
      <c r="G42" s="187">
        <f>ROUND(IF(E2="工业",C42*$M$42,C42*$M$41),0)</f>
        <v>103</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0.79549999999999998</v>
      </c>
      <c r="D44" s="171" t="s">
        <v>1999</v>
      </c>
      <c r="E44" s="2153">
        <f>G24</f>
        <v>5.5E-2</v>
      </c>
      <c r="F44" s="171" t="s">
        <v>2008</v>
      </c>
      <c r="G44" s="183">
        <f>项目基本情况!E15</f>
        <v>25.22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0.95209999999999995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3399</v>
      </c>
      <c r="D61" s="1065">
        <f t="shared" ref="D61:D69" si="12">SUMIF($J$60:$N$60,C61,J61:N61)</f>
        <v>-1.8700000000000001E-2</v>
      </c>
      <c r="E61" s="744">
        <f>ROUND(SUM(D61:D69),4)</f>
        <v>-4.7899999999999998E-2</v>
      </c>
      <c r="F61" s="1814">
        <f>IF(E2="办公",SUMIF(L1:L12,G2,N1:N12),"——")</f>
        <v>0.15</v>
      </c>
      <c r="G61" s="1063">
        <f>H61</f>
        <v>1.8700000000000001E-2</v>
      </c>
      <c r="H61" s="1066">
        <f t="shared" ref="H61:H69" si="13">IFERROR(ROUNDDOWN($F$61*I61/2,4),"——")</f>
        <v>1.8700000000000001E-2</v>
      </c>
      <c r="I61" s="3367">
        <v>0.25</v>
      </c>
      <c r="J61" s="1064">
        <f t="shared" ref="J61:J69" si="14">K61+$G61</f>
        <v>3.7400000000000003E-2</v>
      </c>
      <c r="K61" s="1064">
        <f t="shared" ref="K61:K69" si="15">$L61+$G61</f>
        <v>1.8700000000000001E-2</v>
      </c>
      <c r="L61" s="1064">
        <v>0</v>
      </c>
      <c r="M61" s="1064">
        <f t="shared" ref="M61:N69" si="16">L61-$G61</f>
        <v>-1.8700000000000001E-2</v>
      </c>
      <c r="N61" s="1064">
        <f t="shared" si="16"/>
        <v>-3.7400000000000003E-2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3399</v>
      </c>
      <c r="D62" s="1065">
        <f t="shared" si="12"/>
        <v>-1.95E-2</v>
      </c>
      <c r="E62" s="745"/>
      <c r="F62" s="1814"/>
      <c r="G62" s="1063">
        <f t="shared" ref="G62:G69" si="17">H62</f>
        <v>1.95E-2</v>
      </c>
      <c r="H62" s="1066">
        <f t="shared" si="13"/>
        <v>1.95E-2</v>
      </c>
      <c r="I62" s="3367">
        <v>0.26</v>
      </c>
      <c r="J62" s="1064">
        <f t="shared" si="14"/>
        <v>3.9E-2</v>
      </c>
      <c r="K62" s="1064">
        <f t="shared" si="15"/>
        <v>1.95E-2</v>
      </c>
      <c r="L62" s="1064">
        <v>0</v>
      </c>
      <c r="M62" s="1064">
        <f t="shared" si="16"/>
        <v>-1.95E-2</v>
      </c>
      <c r="N62" s="1064">
        <f t="shared" si="16"/>
        <v>-3.9E-2</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3400</v>
      </c>
      <c r="D63" s="1065">
        <f t="shared" si="12"/>
        <v>0</v>
      </c>
      <c r="E63" s="745"/>
      <c r="F63" s="1814"/>
      <c r="G63" s="1063">
        <f t="shared" si="17"/>
        <v>8.2000000000000007E-3</v>
      </c>
      <c r="H63" s="1066">
        <f t="shared" si="13"/>
        <v>8.2000000000000007E-3</v>
      </c>
      <c r="I63" s="3367">
        <v>0.11</v>
      </c>
      <c r="J63" s="1064">
        <f t="shared" si="14"/>
        <v>1.6400000000000001E-2</v>
      </c>
      <c r="K63" s="1064">
        <f t="shared" si="15"/>
        <v>8.2000000000000007E-3</v>
      </c>
      <c r="L63" s="1064">
        <v>0</v>
      </c>
      <c r="M63" s="1064">
        <f t="shared" si="16"/>
        <v>-8.2000000000000007E-3</v>
      </c>
      <c r="N63" s="1064">
        <f t="shared" si="16"/>
        <v>-1.6400000000000001E-2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0</v>
      </c>
      <c r="E64" s="745"/>
      <c r="F64" s="1814"/>
      <c r="G64" s="1063">
        <f t="shared" si="17"/>
        <v>3.7000000000000002E-3</v>
      </c>
      <c r="H64" s="1066">
        <f t="shared" si="13"/>
        <v>3.7000000000000002E-3</v>
      </c>
      <c r="I64" s="3367">
        <v>0.05</v>
      </c>
      <c r="J64" s="1064">
        <f t="shared" si="14"/>
        <v>7.4000000000000003E-3</v>
      </c>
      <c r="K64" s="1064">
        <f t="shared" si="15"/>
        <v>3.7000000000000002E-3</v>
      </c>
      <c r="L64" s="1064">
        <v>0</v>
      </c>
      <c r="M64" s="1064">
        <f t="shared" si="16"/>
        <v>-3.7000000000000002E-3</v>
      </c>
      <c r="N64" s="1064">
        <f t="shared" si="16"/>
        <v>-7.4000000000000003E-3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3400</v>
      </c>
      <c r="D65" s="1065">
        <f t="shared" si="12"/>
        <v>0</v>
      </c>
      <c r="E65" s="745"/>
      <c r="F65" s="1814"/>
      <c r="G65" s="1063">
        <f t="shared" si="17"/>
        <v>3.7000000000000002E-3</v>
      </c>
      <c r="H65" s="1066">
        <f t="shared" si="13"/>
        <v>3.7000000000000002E-3</v>
      </c>
      <c r="I65" s="3367">
        <v>0.05</v>
      </c>
      <c r="J65" s="1064">
        <f t="shared" si="14"/>
        <v>7.4000000000000003E-3</v>
      </c>
      <c r="K65" s="1064">
        <f t="shared" si="15"/>
        <v>3.7000000000000002E-3</v>
      </c>
      <c r="L65" s="1064">
        <v>0</v>
      </c>
      <c r="M65" s="1064">
        <f t="shared" si="16"/>
        <v>-3.7000000000000002E-3</v>
      </c>
      <c r="N65" s="1064">
        <f t="shared" si="16"/>
        <v>-7.4000000000000003E-3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0</v>
      </c>
      <c r="E66" s="745"/>
      <c r="F66" s="1814"/>
      <c r="G66" s="1063">
        <f t="shared" si="17"/>
        <v>4.4999999999999997E-3</v>
      </c>
      <c r="H66" s="1066">
        <f t="shared" si="13"/>
        <v>4.4999999999999997E-3</v>
      </c>
      <c r="I66" s="3367">
        <v>0.06</v>
      </c>
      <c r="J66" s="1064">
        <f t="shared" si="14"/>
        <v>8.9999999999999993E-3</v>
      </c>
      <c r="K66" s="1064">
        <f t="shared" si="15"/>
        <v>4.4999999999999997E-3</v>
      </c>
      <c r="L66" s="1064">
        <v>0</v>
      </c>
      <c r="M66" s="1064">
        <f t="shared" si="16"/>
        <v>-4.4999999999999997E-3</v>
      </c>
      <c r="N66" s="1064">
        <f t="shared" si="16"/>
        <v>-8.9999999999999993E-3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3399</v>
      </c>
      <c r="D67" s="1065">
        <f t="shared" si="12"/>
        <v>-4.4999999999999997E-3</v>
      </c>
      <c r="E67" s="745"/>
      <c r="F67" s="1814"/>
      <c r="G67" s="1063">
        <f t="shared" si="17"/>
        <v>4.4999999999999997E-3</v>
      </c>
      <c r="H67" s="1066">
        <f t="shared" si="13"/>
        <v>4.4999999999999997E-3</v>
      </c>
      <c r="I67" s="3367">
        <v>0.06</v>
      </c>
      <c r="J67" s="1064">
        <f t="shared" si="14"/>
        <v>8.9999999999999993E-3</v>
      </c>
      <c r="K67" s="1064">
        <f t="shared" si="15"/>
        <v>4.4999999999999997E-3</v>
      </c>
      <c r="L67" s="1064">
        <v>0</v>
      </c>
      <c r="M67" s="1064">
        <f t="shared" si="16"/>
        <v>-4.4999999999999997E-3</v>
      </c>
      <c r="N67" s="1064">
        <f t="shared" si="16"/>
        <v>-8.9999999999999993E-3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3400</v>
      </c>
      <c r="D68" s="1065">
        <f t="shared" si="12"/>
        <v>0</v>
      </c>
      <c r="E68" s="745"/>
      <c r="F68" s="1814"/>
      <c r="G68" s="1063">
        <f t="shared" si="17"/>
        <v>6.7000000000000002E-3</v>
      </c>
      <c r="H68" s="1066">
        <f t="shared" si="13"/>
        <v>6.7000000000000002E-3</v>
      </c>
      <c r="I68" s="3367">
        <v>0.09</v>
      </c>
      <c r="J68" s="1064">
        <f t="shared" si="14"/>
        <v>1.34E-2</v>
      </c>
      <c r="K68" s="1064">
        <f t="shared" si="15"/>
        <v>6.7000000000000002E-3</v>
      </c>
      <c r="L68" s="1064">
        <v>0</v>
      </c>
      <c r="M68" s="1064">
        <f t="shared" si="16"/>
        <v>-6.7000000000000002E-3</v>
      </c>
      <c r="N68" s="1064">
        <f t="shared" si="16"/>
        <v>-1.34E-2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3399</v>
      </c>
      <c r="D69" s="1065">
        <f t="shared" si="12"/>
        <v>-5.1999999999999998E-3</v>
      </c>
      <c r="E69" s="746"/>
      <c r="F69" s="1814"/>
      <c r="G69" s="1063">
        <f t="shared" si="17"/>
        <v>5.1999999999999998E-3</v>
      </c>
      <c r="H69" s="1066">
        <f t="shared" si="13"/>
        <v>5.1999999999999998E-3</v>
      </c>
      <c r="I69" s="3368">
        <v>7.0000000000000007E-2</v>
      </c>
      <c r="J69" s="1064">
        <f t="shared" si="14"/>
        <v>1.04E-2</v>
      </c>
      <c r="K69" s="1064">
        <f t="shared" si="15"/>
        <v>5.1999999999999998E-3</v>
      </c>
      <c r="L69" s="1064">
        <v>0</v>
      </c>
      <c r="M69" s="1064">
        <f t="shared" si="16"/>
        <v>-5.1999999999999998E-3</v>
      </c>
      <c r="N69" s="1064">
        <f t="shared" si="16"/>
        <v>-1.04E-2</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4" t="s">
        <v>3297</v>
      </c>
      <c r="B103" s="3754"/>
      <c r="C103" s="3754"/>
      <c r="D103" s="3754"/>
      <c r="E103" s="3754"/>
      <c r="F103" s="3754"/>
      <c r="G103" s="3754"/>
      <c r="H103" s="3754"/>
      <c r="I103" s="3754"/>
      <c r="J103" s="3754"/>
      <c r="K103" s="3390"/>
      <c r="L103" s="3390"/>
      <c r="M103" s="3390"/>
      <c r="N103" s="3390"/>
    </row>
    <row r="104" spans="1:14">
      <c r="A104" s="3755" t="s">
        <v>3298</v>
      </c>
      <c r="B104" s="3755" t="s">
        <v>3299</v>
      </c>
      <c r="C104" s="3391" t="s">
        <v>3300</v>
      </c>
      <c r="D104" s="3392"/>
      <c r="E104" s="3392"/>
      <c r="F104" s="3392"/>
      <c r="G104" s="3392"/>
      <c r="H104" s="3392"/>
      <c r="I104" s="3392"/>
      <c r="J104" s="3393"/>
      <c r="K104" s="3394"/>
      <c r="L104" s="3394"/>
      <c r="M104" s="3394"/>
      <c r="N104" s="3394"/>
    </row>
    <row r="105" spans="1:14">
      <c r="A105" s="3755"/>
      <c r="B105" s="3755"/>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1"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4" t="s">
        <v>3314</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3.25</v>
      </c>
      <c r="C116" s="3400" t="s">
        <v>3316</v>
      </c>
      <c r="D116" s="3401">
        <f>SUMPRODUCT((A118:A122=F116)*(B117:M117=H116)*B118:M122)</f>
        <v>0.77890000000000004</v>
      </c>
      <c r="E116" s="2000" t="s">
        <v>3317</v>
      </c>
      <c r="F116" s="3402" t="str">
        <f>E2</f>
        <v>办公</v>
      </c>
      <c r="G116" s="2000" t="s">
        <v>3318</v>
      </c>
      <c r="H116" s="3402" t="str">
        <f>G2</f>
        <v>九级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0.96109999999999995</v>
      </c>
      <c r="C118" s="3388">
        <f>B118</f>
        <v>0.96109999999999995</v>
      </c>
      <c r="D118" s="3388">
        <f>ROUND(0.949-0.014*B116,4)</f>
        <v>0.90349999999999997</v>
      </c>
      <c r="E118" s="3388">
        <f>D118</f>
        <v>0.90349999999999997</v>
      </c>
      <c r="F118" s="3388">
        <f>E118</f>
        <v>0.90349999999999997</v>
      </c>
      <c r="G118" s="3388">
        <f>F118</f>
        <v>0.90349999999999997</v>
      </c>
      <c r="H118" s="3388">
        <f>G118</f>
        <v>0.90349999999999997</v>
      </c>
      <c r="I118" s="3388">
        <f>ROUND(0.8486-0.018*B116,4)</f>
        <v>0.79010000000000002</v>
      </c>
      <c r="J118" s="3388">
        <f t="shared" ref="J118:M122" si="36">I118</f>
        <v>0.79010000000000002</v>
      </c>
      <c r="K118" s="3388">
        <f t="shared" si="36"/>
        <v>0.79010000000000002</v>
      </c>
      <c r="L118" s="3388">
        <f t="shared" si="36"/>
        <v>0.79010000000000002</v>
      </c>
      <c r="M118" s="3411">
        <f t="shared" si="36"/>
        <v>0.79010000000000002</v>
      </c>
      <c r="N118" s="3398"/>
    </row>
    <row r="119" spans="1:14">
      <c r="A119" s="3410" t="s">
        <v>3332</v>
      </c>
      <c r="B119" s="3388">
        <f>ROUND(0.993-0.0112*B116,4)</f>
        <v>0.95660000000000001</v>
      </c>
      <c r="C119" s="3388">
        <f>B119</f>
        <v>0.95660000000000001</v>
      </c>
      <c r="D119" s="3388">
        <f>ROUND(0.9415-0.0142*B116,4)</f>
        <v>0.89539999999999997</v>
      </c>
      <c r="E119" s="3388">
        <f t="shared" ref="E119:H120" si="37">D119</f>
        <v>0.89539999999999997</v>
      </c>
      <c r="F119" s="3388">
        <f t="shared" si="37"/>
        <v>0.89539999999999997</v>
      </c>
      <c r="G119" s="3388">
        <f t="shared" si="37"/>
        <v>0.89539999999999997</v>
      </c>
      <c r="H119" s="3388">
        <f t="shared" si="37"/>
        <v>0.89539999999999997</v>
      </c>
      <c r="I119" s="3388">
        <f>ROUND(0.838-0.0182*B116,4)</f>
        <v>0.77890000000000004</v>
      </c>
      <c r="J119" s="3388">
        <f t="shared" si="36"/>
        <v>0.77890000000000004</v>
      </c>
      <c r="K119" s="3388">
        <f t="shared" si="36"/>
        <v>0.77890000000000004</v>
      </c>
      <c r="L119" s="3388">
        <f t="shared" si="36"/>
        <v>0.77890000000000004</v>
      </c>
      <c r="M119" s="3411">
        <f t="shared" si="36"/>
        <v>0.77890000000000004</v>
      </c>
      <c r="N119" s="3398"/>
    </row>
    <row r="120" spans="1:14">
      <c r="A120" s="3410" t="s">
        <v>3333</v>
      </c>
      <c r="B120" s="3388">
        <f>ROUND(0.9448-0.0115*B116,4)</f>
        <v>0.90739999999999998</v>
      </c>
      <c r="C120" s="3388">
        <f>B120</f>
        <v>0.90739999999999998</v>
      </c>
      <c r="D120" s="3388">
        <f>ROUND(0.937-0.0145*B116,4)</f>
        <v>0.88990000000000002</v>
      </c>
      <c r="E120" s="3388">
        <f t="shared" si="37"/>
        <v>0.88990000000000002</v>
      </c>
      <c r="F120" s="3388">
        <f t="shared" si="37"/>
        <v>0.88990000000000002</v>
      </c>
      <c r="G120" s="3388">
        <f t="shared" si="37"/>
        <v>0.88990000000000002</v>
      </c>
      <c r="H120" s="3388">
        <f t="shared" si="37"/>
        <v>0.88990000000000002</v>
      </c>
      <c r="I120" s="3388">
        <f>ROUND(0.7965-0.0185*B116,4)</f>
        <v>0.73640000000000005</v>
      </c>
      <c r="J120" s="3388">
        <f t="shared" si="36"/>
        <v>0.73640000000000005</v>
      </c>
      <c r="K120" s="3388">
        <f t="shared" si="36"/>
        <v>0.73640000000000005</v>
      </c>
      <c r="L120" s="3388">
        <f t="shared" si="36"/>
        <v>0.73640000000000005</v>
      </c>
      <c r="M120" s="3411">
        <f t="shared" si="36"/>
        <v>0.73640000000000005</v>
      </c>
      <c r="N120" s="3398"/>
    </row>
    <row r="121" spans="1:14" ht="13.5" thickBot="1">
      <c r="A121" s="3412" t="s">
        <v>3334</v>
      </c>
      <c r="B121" s="3413">
        <f>ROUND(0.7836-0.012*B116,4)</f>
        <v>0.74460000000000004</v>
      </c>
      <c r="C121" s="3413">
        <f>B121</f>
        <v>0.74460000000000004</v>
      </c>
      <c r="D121" s="3413">
        <f>ROUND(0.753-0.015*B116,4)</f>
        <v>0.70430000000000004</v>
      </c>
      <c r="E121" s="3413">
        <f>D121</f>
        <v>0.70430000000000004</v>
      </c>
      <c r="F121" s="3413">
        <f>E121</f>
        <v>0.70430000000000004</v>
      </c>
      <c r="G121" s="3413">
        <f>ROUND(0.6612-0.018*B116,4)</f>
        <v>0.60270000000000001</v>
      </c>
      <c r="H121" s="3413">
        <f>G121</f>
        <v>0.60270000000000001</v>
      </c>
      <c r="I121" s="3413">
        <f>ROUND(0.5905-0.019*B116,4)</f>
        <v>0.52880000000000005</v>
      </c>
      <c r="J121" s="3413">
        <f t="shared" si="36"/>
        <v>0.52880000000000005</v>
      </c>
      <c r="K121" s="3413">
        <f t="shared" si="36"/>
        <v>0.52880000000000005</v>
      </c>
      <c r="L121" s="3413">
        <f t="shared" si="36"/>
        <v>0.52880000000000005</v>
      </c>
      <c r="M121" s="3414">
        <f t="shared" si="36"/>
        <v>0.52880000000000005</v>
      </c>
      <c r="N121" s="3398"/>
    </row>
    <row r="122" spans="1:14">
      <c r="A122" s="3415" t="s">
        <v>2616</v>
      </c>
      <c r="B122" s="3388">
        <f>ROUND(0.9404-0.0106*B116,4)</f>
        <v>0.90600000000000003</v>
      </c>
      <c r="C122" s="3388">
        <f>B122</f>
        <v>0.90600000000000003</v>
      </c>
      <c r="D122" s="3388">
        <f>ROUND(0.8955-0.0135*B116,4)</f>
        <v>0.85160000000000002</v>
      </c>
      <c r="E122" s="3388">
        <f t="shared" ref="E122:H122" si="38">D122</f>
        <v>0.85160000000000002</v>
      </c>
      <c r="F122" s="3388">
        <f t="shared" si="38"/>
        <v>0.85160000000000002</v>
      </c>
      <c r="G122" s="3388">
        <f t="shared" si="38"/>
        <v>0.85160000000000002</v>
      </c>
      <c r="H122" s="3388">
        <f t="shared" si="38"/>
        <v>0.85160000000000002</v>
      </c>
      <c r="I122" s="3388">
        <f>ROUND(0.7632-0.0166*B116,4)</f>
        <v>0.70930000000000004</v>
      </c>
      <c r="J122" s="3388">
        <f t="shared" si="36"/>
        <v>0.70930000000000004</v>
      </c>
      <c r="K122" s="3388">
        <f t="shared" si="36"/>
        <v>0.70930000000000004</v>
      </c>
      <c r="L122" s="3388">
        <f t="shared" si="36"/>
        <v>0.70930000000000004</v>
      </c>
      <c r="M122" s="3411">
        <f t="shared" si="36"/>
        <v>0.70930000000000004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
  <sheetViews>
    <sheetView topLeftCell="H1" workbookViewId="0">
      <selection activeCell="S16" sqref="S16"/>
    </sheetView>
  </sheetViews>
  <sheetFormatPr defaultRowHeight="12"/>
  <cols>
    <col min="1" max="2" width="20" style="3451" customWidth="1"/>
    <col min="3" max="3" width="12.5" style="3451" customWidth="1"/>
    <col min="4" max="4" width="11" style="3451" customWidth="1"/>
    <col min="5" max="5" width="10.625" style="3451" customWidth="1"/>
    <col min="6" max="10" width="12.5" style="3451" customWidth="1"/>
    <col min="11" max="11" width="9.125" style="3451" customWidth="1"/>
    <col min="12" max="12" width="8" style="3451" customWidth="1"/>
    <col min="13" max="13" width="7.25" style="3451" customWidth="1"/>
    <col min="14" max="14" width="12.5" style="3451" customWidth="1"/>
    <col min="15" max="15" width="7.875" style="3451" customWidth="1"/>
    <col min="16" max="16" width="8.375" style="3451" customWidth="1"/>
    <col min="17" max="17" width="6.875" style="3451" customWidth="1"/>
    <col min="18" max="18" width="8.25" style="3451" customWidth="1"/>
    <col min="19" max="19" width="20" style="3451" customWidth="1"/>
    <col min="20" max="16384" width="9" style="3451"/>
  </cols>
  <sheetData>
    <row r="1" spans="1:19">
      <c r="A1" s="3760" t="s">
        <v>3469</v>
      </c>
      <c r="B1" s="3760" t="s">
        <v>3468</v>
      </c>
      <c r="C1" s="3760" t="s">
        <v>3467</v>
      </c>
      <c r="D1" s="3760" t="s">
        <v>3466</v>
      </c>
      <c r="E1" s="3760" t="s">
        <v>3465</v>
      </c>
      <c r="F1" s="3760" t="s">
        <v>3464</v>
      </c>
      <c r="G1" s="3760" t="s">
        <v>3463</v>
      </c>
      <c r="H1" s="3760" t="s">
        <v>3462</v>
      </c>
      <c r="I1" s="3760" t="s">
        <v>3461</v>
      </c>
      <c r="J1" s="3760" t="s">
        <v>3460</v>
      </c>
      <c r="K1" s="3760" t="s">
        <v>3459</v>
      </c>
      <c r="L1" s="3760" t="s">
        <v>3458</v>
      </c>
      <c r="M1" s="3760" t="s">
        <v>3457</v>
      </c>
      <c r="N1" s="3760" t="s">
        <v>3456</v>
      </c>
      <c r="O1" s="3760" t="s">
        <v>3455</v>
      </c>
      <c r="P1" s="3760" t="s">
        <v>3454</v>
      </c>
      <c r="Q1" s="3760" t="s">
        <v>3453</v>
      </c>
      <c r="R1" s="3760" t="s">
        <v>3452</v>
      </c>
      <c r="S1" s="3760" t="s">
        <v>3451</v>
      </c>
    </row>
    <row r="2" spans="1:19">
      <c r="A2" s="3760" t="s">
        <v>3450</v>
      </c>
      <c r="B2" s="3760" t="s">
        <v>3449</v>
      </c>
      <c r="C2" s="3760" t="s">
        <v>3416</v>
      </c>
      <c r="D2" s="3760">
        <v>101190.07</v>
      </c>
      <c r="E2" s="3760">
        <v>198291</v>
      </c>
      <c r="F2" s="3760" t="s">
        <v>3448</v>
      </c>
      <c r="G2" s="3760" t="s">
        <v>3421</v>
      </c>
      <c r="H2" s="3760" t="s">
        <v>3420</v>
      </c>
      <c r="I2" s="3761">
        <v>45089.000497685185</v>
      </c>
      <c r="J2" s="3761">
        <v>45089.000497685185</v>
      </c>
      <c r="K2" s="3760" t="s">
        <v>3413</v>
      </c>
      <c r="L2" s="3760">
        <v>100000</v>
      </c>
      <c r="M2" s="3760">
        <v>20000</v>
      </c>
      <c r="N2" s="3760" t="s">
        <v>633</v>
      </c>
      <c r="O2" s="3760">
        <v>100000</v>
      </c>
      <c r="P2" s="3760">
        <v>658.83</v>
      </c>
      <c r="Q2" s="3760">
        <v>5043</v>
      </c>
      <c r="R2" s="3760">
        <v>0</v>
      </c>
      <c r="S2" s="3760" t="s">
        <v>3447</v>
      </c>
    </row>
    <row r="3" spans="1:19">
      <c r="A3" s="3760" t="s">
        <v>3446</v>
      </c>
      <c r="B3" s="3760" t="s">
        <v>3445</v>
      </c>
      <c r="C3" s="3760" t="s">
        <v>3416</v>
      </c>
      <c r="D3" s="3760">
        <v>82500</v>
      </c>
      <c r="E3" s="3760">
        <v>165000</v>
      </c>
      <c r="F3" s="3760">
        <v>2</v>
      </c>
      <c r="G3" s="3760" t="s">
        <v>3444</v>
      </c>
      <c r="H3" s="3760" t="s">
        <v>3420</v>
      </c>
      <c r="I3" s="3761">
        <v>45012.000497685185</v>
      </c>
      <c r="J3" s="3761">
        <v>45012.000497685185</v>
      </c>
      <c r="K3" s="3760" t="s">
        <v>3413</v>
      </c>
      <c r="L3" s="3760">
        <v>260700</v>
      </c>
      <c r="M3" s="3760">
        <v>78000</v>
      </c>
      <c r="N3" s="3760" t="s">
        <v>633</v>
      </c>
      <c r="O3" s="3760">
        <v>260700</v>
      </c>
      <c r="P3" s="3760">
        <v>2106.67</v>
      </c>
      <c r="Q3" s="3760">
        <v>15800</v>
      </c>
      <c r="R3" s="3760">
        <v>0</v>
      </c>
      <c r="S3" s="3760" t="s">
        <v>3443</v>
      </c>
    </row>
    <row r="4" spans="1:19">
      <c r="A4" s="3760" t="s">
        <v>3442</v>
      </c>
      <c r="B4" s="3760" t="s">
        <v>3441</v>
      </c>
      <c r="C4" s="3760" t="s">
        <v>3416</v>
      </c>
      <c r="D4" s="3760">
        <v>4800</v>
      </c>
      <c r="E4" s="3760">
        <v>1920</v>
      </c>
      <c r="F4" s="3760" t="s">
        <v>3440</v>
      </c>
      <c r="G4" s="3760" t="s">
        <v>3439</v>
      </c>
      <c r="H4" s="3760" t="s">
        <v>3420</v>
      </c>
      <c r="I4" s="3761">
        <v>44945.000497685185</v>
      </c>
      <c r="J4" s="3761">
        <v>44945.000497685185</v>
      </c>
      <c r="K4" s="3760" t="s">
        <v>3413</v>
      </c>
      <c r="L4" s="3760">
        <v>5800</v>
      </c>
      <c r="M4" s="3760">
        <v>1200</v>
      </c>
      <c r="N4" s="3760" t="s">
        <v>3438</v>
      </c>
      <c r="O4" s="3760">
        <v>5800</v>
      </c>
      <c r="P4" s="3760">
        <v>805.56</v>
      </c>
      <c r="Q4" s="3760">
        <v>30208</v>
      </c>
      <c r="R4" s="3760">
        <v>0</v>
      </c>
      <c r="S4" s="3760" t="s">
        <v>3437</v>
      </c>
    </row>
    <row r="5" spans="1:19">
      <c r="A5" s="3760" t="s">
        <v>3436</v>
      </c>
      <c r="B5" s="3760" t="s">
        <v>3435</v>
      </c>
      <c r="C5" s="3760" t="s">
        <v>3416</v>
      </c>
      <c r="D5" s="3760">
        <v>17308.8</v>
      </c>
      <c r="E5" s="3760">
        <v>86544</v>
      </c>
      <c r="F5" s="3760" t="s">
        <v>3434</v>
      </c>
      <c r="G5" s="3760" t="s">
        <v>3421</v>
      </c>
      <c r="H5" s="3760" t="s">
        <v>3420</v>
      </c>
      <c r="I5" s="3761">
        <v>44735.000497685185</v>
      </c>
      <c r="J5" s="3761">
        <v>44735.000497685185</v>
      </c>
      <c r="K5" s="3760" t="s">
        <v>3413</v>
      </c>
      <c r="L5" s="3760">
        <v>91400</v>
      </c>
      <c r="M5" s="3760">
        <v>18300</v>
      </c>
      <c r="N5" s="3760" t="s">
        <v>3433</v>
      </c>
      <c r="O5" s="3760">
        <v>91400</v>
      </c>
      <c r="P5" s="3760">
        <v>3520.37</v>
      </c>
      <c r="Q5" s="3760">
        <v>10561</v>
      </c>
      <c r="R5" s="3760">
        <v>0</v>
      </c>
      <c r="S5" s="3760" t="s">
        <v>3432</v>
      </c>
    </row>
    <row r="6" spans="1:19">
      <c r="A6" s="3760" t="s">
        <v>3431</v>
      </c>
      <c r="B6" s="3760" t="s">
        <v>3430</v>
      </c>
      <c r="C6" s="3760" t="s">
        <v>3416</v>
      </c>
      <c r="D6" s="3760">
        <v>59169.74</v>
      </c>
      <c r="E6" s="3760">
        <v>130173.43</v>
      </c>
      <c r="F6" s="3760" t="s">
        <v>3429</v>
      </c>
      <c r="G6" s="3760" t="s">
        <v>3421</v>
      </c>
      <c r="H6" s="3760" t="s">
        <v>3420</v>
      </c>
      <c r="I6" s="3761">
        <v>44680.000497685185</v>
      </c>
      <c r="J6" s="3761">
        <v>44680.000497685185</v>
      </c>
      <c r="K6" s="3760" t="s">
        <v>3413</v>
      </c>
      <c r="L6" s="3760">
        <v>131600</v>
      </c>
      <c r="M6" s="3760">
        <v>27000</v>
      </c>
      <c r="N6" s="3760" t="s">
        <v>3428</v>
      </c>
      <c r="O6" s="3760">
        <v>131600</v>
      </c>
      <c r="P6" s="3760">
        <v>1482.74</v>
      </c>
      <c r="Q6" s="3760">
        <v>10110</v>
      </c>
      <c r="R6" s="3760">
        <v>0</v>
      </c>
      <c r="S6" s="3760" t="s">
        <v>3424</v>
      </c>
    </row>
    <row r="7" spans="1:19">
      <c r="A7" s="3760" t="s">
        <v>3427</v>
      </c>
      <c r="B7" s="3760" t="s">
        <v>3426</v>
      </c>
      <c r="C7" s="3760" t="s">
        <v>3416</v>
      </c>
      <c r="D7" s="3760">
        <v>12066.9</v>
      </c>
      <c r="E7" s="3760">
        <v>18100.349999999999</v>
      </c>
      <c r="F7" s="3760">
        <v>1.5</v>
      </c>
      <c r="G7" s="3760" t="s">
        <v>3425</v>
      </c>
      <c r="H7" s="3760" t="s">
        <v>3420</v>
      </c>
      <c r="I7" s="3761">
        <v>44621.000497685185</v>
      </c>
      <c r="J7" s="3761">
        <v>44621.000497685185</v>
      </c>
      <c r="K7" s="3760" t="s">
        <v>3413</v>
      </c>
      <c r="L7" s="3760">
        <v>9400</v>
      </c>
      <c r="M7" s="3760">
        <v>1900</v>
      </c>
      <c r="N7" s="3760" t="s">
        <v>633</v>
      </c>
      <c r="O7" s="3760">
        <v>9400</v>
      </c>
      <c r="P7" s="3760">
        <v>519.33000000000004</v>
      </c>
      <c r="Q7" s="3760">
        <v>5193</v>
      </c>
      <c r="R7" s="3760">
        <v>0</v>
      </c>
      <c r="S7" s="3760" t="s">
        <v>3424</v>
      </c>
    </row>
    <row r="8" spans="1:19">
      <c r="A8" s="3760" t="s">
        <v>3423</v>
      </c>
      <c r="B8" s="3760" t="s">
        <v>3422</v>
      </c>
      <c r="C8" s="3760" t="s">
        <v>3416</v>
      </c>
      <c r="D8" s="3760">
        <v>15178.6</v>
      </c>
      <c r="E8" s="3760">
        <v>45535.8</v>
      </c>
      <c r="F8" s="3760">
        <v>3</v>
      </c>
      <c r="G8" s="3760" t="s">
        <v>3421</v>
      </c>
      <c r="H8" s="3760" t="s">
        <v>3420</v>
      </c>
      <c r="I8" s="3761">
        <v>44600.000497685185</v>
      </c>
      <c r="J8" s="3761">
        <v>44600.000497685185</v>
      </c>
      <c r="K8" s="3760" t="s">
        <v>3413</v>
      </c>
      <c r="L8" s="3760">
        <v>58400</v>
      </c>
      <c r="M8" s="3760">
        <v>11700</v>
      </c>
      <c r="N8" s="3760" t="s">
        <v>633</v>
      </c>
      <c r="O8" s="3760">
        <v>58400</v>
      </c>
      <c r="P8" s="3760">
        <v>2565.0100000000002</v>
      </c>
      <c r="Q8" s="3760">
        <v>12825</v>
      </c>
      <c r="R8" s="3760">
        <v>0</v>
      </c>
      <c r="S8" s="3760" t="s">
        <v>3419</v>
      </c>
    </row>
    <row r="9" spans="1:19">
      <c r="A9" s="3760" t="s">
        <v>3418</v>
      </c>
      <c r="B9" s="3760" t="s">
        <v>3417</v>
      </c>
      <c r="C9" s="3760" t="s">
        <v>3416</v>
      </c>
      <c r="D9" s="3760">
        <v>15197.52</v>
      </c>
      <c r="E9" s="3760">
        <v>30395.05</v>
      </c>
      <c r="F9" s="3760">
        <v>2</v>
      </c>
      <c r="G9" s="3760" t="s">
        <v>3415</v>
      </c>
      <c r="H9" s="3760" t="s">
        <v>3414</v>
      </c>
      <c r="I9" s="3761">
        <v>44554.000497685185</v>
      </c>
      <c r="J9" s="3761">
        <v>44554.000497685185</v>
      </c>
      <c r="K9" s="3760" t="s">
        <v>3413</v>
      </c>
      <c r="L9" s="3760">
        <v>42600</v>
      </c>
      <c r="M9" s="3760">
        <v>8600</v>
      </c>
      <c r="N9" s="3760" t="s">
        <v>3412</v>
      </c>
      <c r="O9" s="3760">
        <v>42600</v>
      </c>
      <c r="P9" s="3760">
        <v>1868.73</v>
      </c>
      <c r="Q9" s="3760">
        <v>14015</v>
      </c>
      <c r="R9" s="3760">
        <v>0</v>
      </c>
      <c r="S9" s="3760" t="s">
        <v>3411</v>
      </c>
    </row>
  </sheetData>
  <mergeCells count="171">
    <mergeCell ref="S9"/>
    <mergeCell ref="L9"/>
    <mergeCell ref="M9"/>
    <mergeCell ref="N9"/>
    <mergeCell ref="O9"/>
    <mergeCell ref="A9"/>
    <mergeCell ref="B9"/>
    <mergeCell ref="C9"/>
    <mergeCell ref="D9"/>
    <mergeCell ref="E9"/>
    <mergeCell ref="P9"/>
    <mergeCell ref="Q9"/>
    <mergeCell ref="R9"/>
    <mergeCell ref="H9"/>
    <mergeCell ref="I9"/>
    <mergeCell ref="J9"/>
    <mergeCell ref="K9"/>
    <mergeCell ref="F9"/>
    <mergeCell ref="G9"/>
    <mergeCell ref="A8"/>
    <mergeCell ref="B8"/>
    <mergeCell ref="C8"/>
    <mergeCell ref="D8"/>
    <mergeCell ref="E8"/>
    <mergeCell ref="S8"/>
    <mergeCell ref="L8"/>
    <mergeCell ref="M8"/>
    <mergeCell ref="N8"/>
    <mergeCell ref="O8"/>
    <mergeCell ref="P8"/>
    <mergeCell ref="Q8"/>
    <mergeCell ref="R8"/>
    <mergeCell ref="F8"/>
    <mergeCell ref="G8"/>
    <mergeCell ref="H8"/>
    <mergeCell ref="I8"/>
    <mergeCell ref="J8"/>
    <mergeCell ref="K8"/>
    <mergeCell ref="A6"/>
    <mergeCell ref="B6"/>
    <mergeCell ref="C6"/>
    <mergeCell ref="D6"/>
    <mergeCell ref="E6"/>
    <mergeCell ref="F6"/>
    <mergeCell ref="A7"/>
    <mergeCell ref="B7"/>
    <mergeCell ref="C7"/>
    <mergeCell ref="D7"/>
    <mergeCell ref="E7"/>
    <mergeCell ref="F7"/>
    <mergeCell ref="G7"/>
    <mergeCell ref="P5"/>
    <mergeCell ref="Q5"/>
    <mergeCell ref="R5"/>
    <mergeCell ref="H7"/>
    <mergeCell ref="I7"/>
    <mergeCell ref="J7"/>
    <mergeCell ref="K7"/>
    <mergeCell ref="S7"/>
    <mergeCell ref="L7"/>
    <mergeCell ref="M7"/>
    <mergeCell ref="N7"/>
    <mergeCell ref="O7"/>
    <mergeCell ref="P6"/>
    <mergeCell ref="Q6"/>
    <mergeCell ref="R6"/>
    <mergeCell ref="H5"/>
    <mergeCell ref="I5"/>
    <mergeCell ref="J5"/>
    <mergeCell ref="P7"/>
    <mergeCell ref="Q7"/>
    <mergeCell ref="R7"/>
    <mergeCell ref="G6"/>
    <mergeCell ref="H6"/>
    <mergeCell ref="I6"/>
    <mergeCell ref="J6"/>
    <mergeCell ref="K6"/>
    <mergeCell ref="S5"/>
    <mergeCell ref="L5"/>
    <mergeCell ref="M5"/>
    <mergeCell ref="N5"/>
    <mergeCell ref="O5"/>
    <mergeCell ref="S6"/>
    <mergeCell ref="L6"/>
    <mergeCell ref="M6"/>
    <mergeCell ref="N6"/>
    <mergeCell ref="O6"/>
    <mergeCell ref="A5"/>
    <mergeCell ref="B5"/>
    <mergeCell ref="C5"/>
    <mergeCell ref="D5"/>
    <mergeCell ref="E5"/>
    <mergeCell ref="F5"/>
    <mergeCell ref="G5"/>
    <mergeCell ref="P3"/>
    <mergeCell ref="Q3"/>
    <mergeCell ref="K5"/>
    <mergeCell ref="S4"/>
    <mergeCell ref="L4"/>
    <mergeCell ref="M4"/>
    <mergeCell ref="N4"/>
    <mergeCell ref="O4"/>
    <mergeCell ref="P4"/>
    <mergeCell ref="Q4"/>
    <mergeCell ref="R4"/>
    <mergeCell ref="F4"/>
    <mergeCell ref="G4"/>
    <mergeCell ref="H4"/>
    <mergeCell ref="I4"/>
    <mergeCell ref="J4"/>
    <mergeCell ref="K4"/>
    <mergeCell ref="A3"/>
    <mergeCell ref="B3"/>
    <mergeCell ref="C3"/>
    <mergeCell ref="D3"/>
    <mergeCell ref="E3"/>
    <mergeCell ref="F3"/>
    <mergeCell ref="R3"/>
    <mergeCell ref="A4"/>
    <mergeCell ref="B4"/>
    <mergeCell ref="C4"/>
    <mergeCell ref="D4"/>
    <mergeCell ref="E4"/>
    <mergeCell ref="G3"/>
    <mergeCell ref="P1"/>
    <mergeCell ref="Q1"/>
    <mergeCell ref="R1"/>
    <mergeCell ref="H3"/>
    <mergeCell ref="I3"/>
    <mergeCell ref="J3"/>
    <mergeCell ref="K3"/>
    <mergeCell ref="S3"/>
    <mergeCell ref="L3"/>
    <mergeCell ref="M3"/>
    <mergeCell ref="N3"/>
    <mergeCell ref="O3"/>
    <mergeCell ref="P2"/>
    <mergeCell ref="Q2"/>
    <mergeCell ref="R2"/>
    <mergeCell ref="H1"/>
    <mergeCell ref="I1"/>
    <mergeCell ref="J1"/>
    <mergeCell ref="S1"/>
    <mergeCell ref="L1"/>
    <mergeCell ref="M1"/>
    <mergeCell ref="N1"/>
    <mergeCell ref="O1"/>
    <mergeCell ref="S2"/>
    <mergeCell ref="L2"/>
    <mergeCell ref="M2"/>
    <mergeCell ref="N2"/>
    <mergeCell ref="O2"/>
    <mergeCell ref="A1"/>
    <mergeCell ref="B1"/>
    <mergeCell ref="C1"/>
    <mergeCell ref="D1"/>
    <mergeCell ref="E1"/>
    <mergeCell ref="K1"/>
    <mergeCell ref="G2"/>
    <mergeCell ref="H2"/>
    <mergeCell ref="I2"/>
    <mergeCell ref="J2"/>
    <mergeCell ref="K2"/>
    <mergeCell ref="F1"/>
    <mergeCell ref="G1"/>
    <mergeCell ref="A2"/>
    <mergeCell ref="B2"/>
    <mergeCell ref="C2"/>
    <mergeCell ref="D2"/>
    <mergeCell ref="E2"/>
    <mergeCell ref="F2"/>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1" t="s">
        <v>2611</v>
      </c>
      <c r="B20" s="3766" t="s">
        <v>2632</v>
      </c>
      <c r="C20" s="3103" t="s">
        <v>2443</v>
      </c>
      <c r="D20" s="3104"/>
      <c r="E20" s="3105">
        <v>1</v>
      </c>
      <c r="F20" s="3106" t="s">
        <v>2444</v>
      </c>
      <c r="G20" s="3106"/>
    </row>
    <row r="21" spans="1:13" ht="19.5" customHeight="1">
      <c r="A21" s="3772"/>
      <c r="B21" s="3765"/>
      <c r="C21" s="3107" t="s">
        <v>2445</v>
      </c>
      <c r="D21" s="3108"/>
      <c r="E21" s="3109">
        <v>1</v>
      </c>
      <c r="F21" s="3106" t="s">
        <v>2446</v>
      </c>
      <c r="G21" s="3106"/>
    </row>
    <row r="22" spans="1:13" ht="19.5" customHeight="1">
      <c r="A22" s="3772"/>
      <c r="B22" s="3765"/>
      <c r="C22" s="3107" t="s">
        <v>2447</v>
      </c>
      <c r="D22" s="3108"/>
      <c r="E22" s="3109">
        <v>0.9</v>
      </c>
      <c r="F22" s="3106" t="s">
        <v>2448</v>
      </c>
      <c r="G22" s="3106"/>
    </row>
    <row r="23" spans="1:13" ht="19.5" customHeight="1">
      <c r="A23" s="3772"/>
      <c r="B23" s="3765"/>
      <c r="C23" s="3107" t="s">
        <v>2449</v>
      </c>
      <c r="D23" s="3108"/>
      <c r="E23" s="3109">
        <v>0.9</v>
      </c>
      <c r="F23" s="3106" t="s">
        <v>2450</v>
      </c>
      <c r="G23" s="3106"/>
    </row>
    <row r="24" spans="1:13" ht="19.5" customHeight="1">
      <c r="A24" s="3772"/>
      <c r="B24" s="3765"/>
      <c r="C24" s="3107" t="s">
        <v>2451</v>
      </c>
      <c r="D24" s="3108"/>
      <c r="E24" s="3109">
        <v>0.8</v>
      </c>
      <c r="F24" s="3106" t="s">
        <v>2452</v>
      </c>
      <c r="G24" s="3106"/>
    </row>
    <row r="25" spans="1:13" ht="19.5" customHeight="1" thickBot="1">
      <c r="A25" s="3773"/>
      <c r="B25" s="3767"/>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8" t="s">
        <v>2635</v>
      </c>
      <c r="B27" s="3766" t="s">
        <v>2616</v>
      </c>
      <c r="C27" s="3103" t="s">
        <v>2456</v>
      </c>
      <c r="D27" s="3104"/>
      <c r="E27" s="3105">
        <v>1</v>
      </c>
      <c r="F27" s="3106" t="s">
        <v>2457</v>
      </c>
      <c r="G27" s="3106"/>
    </row>
    <row r="28" spans="1:13" ht="19.5" customHeight="1">
      <c r="A28" s="3769"/>
      <c r="B28" s="3765"/>
      <c r="C28" s="3107" t="s">
        <v>2458</v>
      </c>
      <c r="D28" s="3108"/>
      <c r="E28" s="3109">
        <v>1</v>
      </c>
      <c r="F28" s="3106" t="s">
        <v>2459</v>
      </c>
      <c r="G28" s="3106"/>
    </row>
    <row r="29" spans="1:13" ht="19.5" customHeight="1">
      <c r="A29" s="3769"/>
      <c r="B29" s="3765"/>
      <c r="C29" s="3107" t="s">
        <v>2460</v>
      </c>
      <c r="D29" s="3108"/>
      <c r="E29" s="3109">
        <v>0.8</v>
      </c>
      <c r="F29" s="3106" t="s">
        <v>2461</v>
      </c>
      <c r="G29" s="3106"/>
    </row>
    <row r="30" spans="1:13" ht="19.5" customHeight="1">
      <c r="A30" s="3769"/>
      <c r="B30" s="3765"/>
      <c r="C30" s="3107" t="s">
        <v>2462</v>
      </c>
      <c r="D30" s="3108"/>
      <c r="E30" s="3109">
        <v>0.8</v>
      </c>
      <c r="F30" s="3106" t="s">
        <v>2463</v>
      </c>
      <c r="G30" s="3106"/>
    </row>
    <row r="31" spans="1:13" ht="19.5" customHeight="1">
      <c r="A31" s="3769"/>
      <c r="B31" s="3765"/>
      <c r="C31" s="3107" t="s">
        <v>2464</v>
      </c>
      <c r="D31" s="3108"/>
      <c r="E31" s="3109">
        <v>0.8</v>
      </c>
      <c r="F31" s="3106" t="s">
        <v>2465</v>
      </c>
      <c r="G31" s="3106"/>
    </row>
    <row r="32" spans="1:13" ht="19.5" customHeight="1">
      <c r="A32" s="3769"/>
      <c r="B32" s="3765"/>
      <c r="C32" s="3107" t="s">
        <v>2466</v>
      </c>
      <c r="D32" s="3108"/>
      <c r="E32" s="3109">
        <v>0.7</v>
      </c>
      <c r="F32" s="3106" t="s">
        <v>2467</v>
      </c>
      <c r="G32" s="3106"/>
    </row>
    <row r="33" spans="1:7" ht="19.5" customHeight="1">
      <c r="A33" s="3769"/>
      <c r="B33" s="3765"/>
      <c r="C33" s="3107" t="s">
        <v>2468</v>
      </c>
      <c r="D33" s="3108"/>
      <c r="E33" s="3109">
        <v>0.8</v>
      </c>
      <c r="F33" s="3106" t="s">
        <v>2469</v>
      </c>
      <c r="G33" s="3106"/>
    </row>
    <row r="34" spans="1:7" ht="19.5" customHeight="1">
      <c r="A34" s="3769"/>
      <c r="B34" s="3765"/>
      <c r="C34" s="3107" t="s">
        <v>2470</v>
      </c>
      <c r="D34" s="3108"/>
      <c r="E34" s="3109">
        <v>0.6</v>
      </c>
      <c r="F34" s="3106" t="s">
        <v>2471</v>
      </c>
      <c r="G34" s="3106"/>
    </row>
    <row r="35" spans="1:7" ht="19.5" customHeight="1">
      <c r="A35" s="3769"/>
      <c r="B35" s="3765"/>
      <c r="C35" s="3107" t="s">
        <v>2472</v>
      </c>
      <c r="D35" s="3108"/>
      <c r="E35" s="3109">
        <v>0.2</v>
      </c>
      <c r="F35" s="3106" t="s">
        <v>2473</v>
      </c>
      <c r="G35" s="3106"/>
    </row>
    <row r="36" spans="1:7" ht="19.5" customHeight="1">
      <c r="A36" s="3769"/>
      <c r="B36" s="3765"/>
      <c r="C36" s="3107" t="s">
        <v>2474</v>
      </c>
      <c r="D36" s="3108"/>
      <c r="E36" s="3109">
        <v>0.2</v>
      </c>
      <c r="F36" s="3106" t="s">
        <v>2475</v>
      </c>
      <c r="G36" s="3106"/>
    </row>
    <row r="37" spans="1:7" ht="19.5" customHeight="1">
      <c r="A37" s="3769"/>
      <c r="B37" s="3763" t="s">
        <v>2636</v>
      </c>
      <c r="C37" s="3107" t="s">
        <v>2476</v>
      </c>
      <c r="D37" s="3108"/>
      <c r="E37" s="3109">
        <v>0.6</v>
      </c>
      <c r="F37" s="3106" t="s">
        <v>2477</v>
      </c>
      <c r="G37" s="3106"/>
    </row>
    <row r="38" spans="1:7" ht="19.5" customHeight="1">
      <c r="A38" s="3769"/>
      <c r="B38" s="3765"/>
      <c r="C38" s="3107" t="s">
        <v>2478</v>
      </c>
      <c r="D38" s="3108"/>
      <c r="E38" s="3109">
        <v>0.6</v>
      </c>
      <c r="F38" s="3106" t="s">
        <v>2479</v>
      </c>
      <c r="G38" s="3106"/>
    </row>
    <row r="39" spans="1:7" ht="19.5" customHeight="1" thickBot="1">
      <c r="A39" s="3770"/>
      <c r="B39" s="3767"/>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1" t="s">
        <v>2614</v>
      </c>
      <c r="B41" s="3766" t="s">
        <v>2638</v>
      </c>
      <c r="C41" s="3103" t="s">
        <v>2483</v>
      </c>
      <c r="D41" s="3104"/>
      <c r="E41" s="3105">
        <v>1</v>
      </c>
      <c r="F41" s="3106" t="s">
        <v>2484</v>
      </c>
      <c r="G41" s="3106"/>
    </row>
    <row r="42" spans="1:7" ht="19.5" customHeight="1">
      <c r="A42" s="3772"/>
      <c r="B42" s="3765"/>
      <c r="C42" s="3107" t="s">
        <v>2485</v>
      </c>
      <c r="D42" s="3108"/>
      <c r="E42" s="3109">
        <v>1</v>
      </c>
      <c r="F42" s="3106" t="s">
        <v>2486</v>
      </c>
      <c r="G42" s="3106"/>
    </row>
    <row r="43" spans="1:7" ht="19.5" customHeight="1">
      <c r="A43" s="3772"/>
      <c r="B43" s="3764"/>
      <c r="C43" s="3107" t="s">
        <v>2487</v>
      </c>
      <c r="D43" s="3108"/>
      <c r="E43" s="3109">
        <v>1.5</v>
      </c>
      <c r="F43" s="3106" t="s">
        <v>2488</v>
      </c>
      <c r="G43" s="3106"/>
    </row>
    <row r="44" spans="1:7" ht="19.5" customHeight="1">
      <c r="A44" s="3772"/>
      <c r="B44" s="3118" t="s">
        <v>2639</v>
      </c>
      <c r="C44" s="3107" t="s">
        <v>2640</v>
      </c>
      <c r="D44" s="3108"/>
      <c r="E44" s="3109">
        <v>2</v>
      </c>
      <c r="F44" s="3106" t="s">
        <v>2489</v>
      </c>
      <c r="G44" s="3106"/>
    </row>
    <row r="45" spans="1:7" ht="19.5" customHeight="1">
      <c r="A45" s="3772"/>
      <c r="B45" s="3763" t="s">
        <v>2641</v>
      </c>
      <c r="C45" s="3107" t="s">
        <v>2490</v>
      </c>
      <c r="D45" s="3108"/>
      <c r="E45" s="3109">
        <v>1</v>
      </c>
      <c r="F45" s="3106" t="s">
        <v>2491</v>
      </c>
      <c r="G45" s="3106"/>
    </row>
    <row r="46" spans="1:7" ht="19.5" customHeight="1">
      <c r="A46" s="3772"/>
      <c r="B46" s="3765"/>
      <c r="C46" s="3107" t="s">
        <v>2492</v>
      </c>
      <c r="D46" s="3108"/>
      <c r="E46" s="3109">
        <v>1</v>
      </c>
      <c r="F46" s="3106" t="s">
        <v>2493</v>
      </c>
      <c r="G46" s="3106"/>
    </row>
    <row r="47" spans="1:7" ht="19.5" customHeight="1">
      <c r="A47" s="3772"/>
      <c r="B47" s="3765"/>
      <c r="C47" s="3107" t="s">
        <v>2494</v>
      </c>
      <c r="D47" s="3108"/>
      <c r="E47" s="3109">
        <v>1</v>
      </c>
      <c r="F47" s="3106" t="s">
        <v>2495</v>
      </c>
      <c r="G47" s="3106"/>
    </row>
    <row r="48" spans="1:7" ht="19.5" customHeight="1">
      <c r="A48" s="3772"/>
      <c r="B48" s="3765"/>
      <c r="C48" s="3107" t="s">
        <v>2496</v>
      </c>
      <c r="D48" s="3108"/>
      <c r="E48" s="3109">
        <v>1</v>
      </c>
      <c r="F48" s="3106" t="s">
        <v>2497</v>
      </c>
      <c r="G48" s="3106"/>
    </row>
    <row r="49" spans="1:7" ht="19.5" customHeight="1">
      <c r="A49" s="3772"/>
      <c r="B49" s="3765"/>
      <c r="C49" s="3107" t="s">
        <v>2498</v>
      </c>
      <c r="D49" s="3108"/>
      <c r="E49" s="3109">
        <v>1</v>
      </c>
      <c r="F49" s="3106" t="s">
        <v>2499</v>
      </c>
      <c r="G49" s="3106"/>
    </row>
    <row r="50" spans="1:7" ht="19.5" customHeight="1">
      <c r="A50" s="3772"/>
      <c r="B50" s="3765"/>
      <c r="C50" s="3107" t="s">
        <v>2500</v>
      </c>
      <c r="D50" s="3108"/>
      <c r="E50" s="3109">
        <v>1</v>
      </c>
      <c r="F50" s="3106" t="s">
        <v>2501</v>
      </c>
      <c r="G50" s="3106"/>
    </row>
    <row r="51" spans="1:7" ht="19.5" customHeight="1" thickBot="1">
      <c r="A51" s="3773"/>
      <c r="B51" s="3767"/>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65"/>
      <c r="C74" s="3092" t="s">
        <v>2658</v>
      </c>
      <c r="D74" s="3092" t="s">
        <v>2659</v>
      </c>
      <c r="E74" s="3118">
        <v>0.2</v>
      </c>
      <c r="F74" s="3118">
        <v>25</v>
      </c>
    </row>
    <row r="75" spans="1:7" ht="24">
      <c r="A75" s="3118">
        <v>3</v>
      </c>
      <c r="B75" s="3765"/>
      <c r="C75" s="3092" t="s">
        <v>2660</v>
      </c>
      <c r="D75" s="3092" t="s">
        <v>2661</v>
      </c>
      <c r="E75" s="3118">
        <v>0.2</v>
      </c>
      <c r="F75" s="3118">
        <v>25</v>
      </c>
    </row>
    <row r="76" spans="1:7" ht="13.5">
      <c r="A76" s="3118">
        <v>4</v>
      </c>
      <c r="B76" s="3765"/>
      <c r="C76" s="3092" t="s">
        <v>2662</v>
      </c>
      <c r="D76" s="3092" t="s">
        <v>2663</v>
      </c>
      <c r="E76" s="3118">
        <v>0.15</v>
      </c>
      <c r="F76" s="3118">
        <v>20</v>
      </c>
    </row>
    <row r="77" spans="1:7" ht="24">
      <c r="A77" s="3118">
        <v>5</v>
      </c>
      <c r="B77" s="3765"/>
      <c r="C77" s="3092" t="s">
        <v>2664</v>
      </c>
      <c r="D77" s="3092" t="s">
        <v>2665</v>
      </c>
      <c r="E77" s="3118">
        <v>0.15</v>
      </c>
      <c r="F77" s="3118">
        <v>20</v>
      </c>
    </row>
    <row r="78" spans="1:7" ht="24">
      <c r="A78" s="3118">
        <v>6</v>
      </c>
      <c r="B78" s="3765"/>
      <c r="C78" s="3092" t="s">
        <v>2666</v>
      </c>
      <c r="D78" s="3092" t="s">
        <v>2667</v>
      </c>
      <c r="E78" s="3118">
        <v>0.15</v>
      </c>
      <c r="F78" s="3118">
        <v>20</v>
      </c>
    </row>
    <row r="79" spans="1:7" ht="24">
      <c r="A79" s="3118">
        <v>7</v>
      </c>
      <c r="B79" s="3765"/>
      <c r="C79" s="3092" t="s">
        <v>2668</v>
      </c>
      <c r="D79" s="3092" t="s">
        <v>2669</v>
      </c>
      <c r="E79" s="3118">
        <v>0.15</v>
      </c>
      <c r="F79" s="3118">
        <v>20</v>
      </c>
    </row>
    <row r="80" spans="1:7" ht="24">
      <c r="A80" s="3118">
        <v>8</v>
      </c>
      <c r="B80" s="3765"/>
      <c r="C80" s="3092" t="s">
        <v>2670</v>
      </c>
      <c r="D80" s="3092" t="s">
        <v>2671</v>
      </c>
      <c r="E80" s="3118">
        <v>0.1</v>
      </c>
      <c r="F80" s="3118">
        <v>15</v>
      </c>
    </row>
    <row r="81" spans="1:6" ht="24">
      <c r="A81" s="3118">
        <v>9</v>
      </c>
      <c r="B81" s="3765"/>
      <c r="C81" s="3092" t="s">
        <v>2672</v>
      </c>
      <c r="D81" s="3092" t="s">
        <v>2673</v>
      </c>
      <c r="E81" s="3118">
        <v>0.1</v>
      </c>
      <c r="F81" s="3118">
        <v>15</v>
      </c>
    </row>
    <row r="82" spans="1:6" ht="24">
      <c r="A82" s="3118">
        <v>10</v>
      </c>
      <c r="B82" s="3765"/>
      <c r="C82" s="3092" t="s">
        <v>2674</v>
      </c>
      <c r="D82" s="3092" t="s">
        <v>2675</v>
      </c>
      <c r="E82" s="3118">
        <v>0.1</v>
      </c>
      <c r="F82" s="3118">
        <v>15</v>
      </c>
    </row>
    <row r="83" spans="1:6" ht="24">
      <c r="A83" s="3118">
        <v>11</v>
      </c>
      <c r="B83" s="3765"/>
      <c r="C83" s="3092" t="s">
        <v>2676</v>
      </c>
      <c r="D83" s="3092" t="s">
        <v>2677</v>
      </c>
      <c r="E83" s="3118">
        <v>0.1</v>
      </c>
      <c r="F83" s="3118">
        <v>15</v>
      </c>
    </row>
    <row r="84" spans="1:6" ht="24">
      <c r="A84" s="3118">
        <v>12</v>
      </c>
      <c r="B84" s="3765"/>
      <c r="C84" s="3092" t="s">
        <v>2678</v>
      </c>
      <c r="D84" s="3092" t="s">
        <v>2679</v>
      </c>
      <c r="E84" s="3118">
        <v>0.1</v>
      </c>
      <c r="F84" s="3118">
        <v>15</v>
      </c>
    </row>
    <row r="85" spans="1:6" ht="13.5">
      <c r="A85" s="3118">
        <v>13</v>
      </c>
      <c r="B85" s="3765"/>
      <c r="C85" s="3092" t="s">
        <v>2680</v>
      </c>
      <c r="D85" s="3092" t="s">
        <v>2681</v>
      </c>
      <c r="E85" s="3118">
        <v>0.1</v>
      </c>
      <c r="F85" s="3118">
        <v>15</v>
      </c>
    </row>
    <row r="86" spans="1:6" ht="13.5">
      <c r="A86" s="3118">
        <v>14</v>
      </c>
      <c r="B86" s="3765"/>
      <c r="C86" s="3092" t="s">
        <v>2682</v>
      </c>
      <c r="D86" s="3092" t="s">
        <v>2683</v>
      </c>
      <c r="E86" s="3118">
        <v>0.1</v>
      </c>
      <c r="F86" s="3118">
        <v>15</v>
      </c>
    </row>
    <row r="87" spans="1:6" ht="13.5">
      <c r="A87" s="3118">
        <v>15</v>
      </c>
      <c r="B87" s="3765"/>
      <c r="C87" s="3092" t="s">
        <v>2684</v>
      </c>
      <c r="D87" s="3092" t="s">
        <v>2685</v>
      </c>
      <c r="E87" s="3118">
        <v>0.1</v>
      </c>
      <c r="F87" s="3118">
        <v>15</v>
      </c>
    </row>
    <row r="88" spans="1:6" ht="24">
      <c r="A88" s="3118">
        <v>16</v>
      </c>
      <c r="B88" s="3765"/>
      <c r="C88" s="3092" t="s">
        <v>2686</v>
      </c>
      <c r="D88" s="3092" t="s">
        <v>2687</v>
      </c>
      <c r="E88" s="3118">
        <v>0.1</v>
      </c>
      <c r="F88" s="3118">
        <v>15</v>
      </c>
    </row>
    <row r="89" spans="1:6" ht="24">
      <c r="A89" s="3118">
        <v>17</v>
      </c>
      <c r="B89" s="3764"/>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65"/>
      <c r="C91" s="3092" t="s">
        <v>2693</v>
      </c>
      <c r="D91" s="3092" t="s">
        <v>2694</v>
      </c>
      <c r="E91" s="3118">
        <v>0.2</v>
      </c>
      <c r="F91" s="3118">
        <v>25</v>
      </c>
    </row>
    <row r="92" spans="1:6" ht="13.5">
      <c r="A92" s="3118">
        <v>20</v>
      </c>
      <c r="B92" s="3765"/>
      <c r="C92" s="3092" t="s">
        <v>2695</v>
      </c>
      <c r="D92" s="3092" t="s">
        <v>2696</v>
      </c>
      <c r="E92" s="3118">
        <v>0.15</v>
      </c>
      <c r="F92" s="3118">
        <v>20</v>
      </c>
    </row>
    <row r="93" spans="1:6" ht="13.5">
      <c r="A93" s="3118">
        <v>21</v>
      </c>
      <c r="B93" s="3765"/>
      <c r="C93" s="3092" t="s">
        <v>2697</v>
      </c>
      <c r="D93" s="3092" t="s">
        <v>2698</v>
      </c>
      <c r="E93" s="3118">
        <v>0.15</v>
      </c>
      <c r="F93" s="3118">
        <v>20</v>
      </c>
    </row>
    <row r="94" spans="1:6" ht="13.5">
      <c r="A94" s="3118">
        <v>22</v>
      </c>
      <c r="B94" s="3765"/>
      <c r="C94" s="3092" t="s">
        <v>2699</v>
      </c>
      <c r="D94" s="3092" t="s">
        <v>2700</v>
      </c>
      <c r="E94" s="3118">
        <v>0.15</v>
      </c>
      <c r="F94" s="3118">
        <v>20</v>
      </c>
    </row>
    <row r="95" spans="1:6" ht="36">
      <c r="A95" s="3118">
        <v>23</v>
      </c>
      <c r="B95" s="3765"/>
      <c r="C95" s="3092" t="s">
        <v>2701</v>
      </c>
      <c r="D95" s="3092" t="s">
        <v>2702</v>
      </c>
      <c r="E95" s="3118">
        <v>0.15</v>
      </c>
      <c r="F95" s="3118">
        <v>20</v>
      </c>
    </row>
    <row r="96" spans="1:6" ht="13.5">
      <c r="A96" s="3118">
        <v>24</v>
      </c>
      <c r="B96" s="3765"/>
      <c r="C96" s="3092" t="s">
        <v>2703</v>
      </c>
      <c r="D96" s="3092" t="s">
        <v>2704</v>
      </c>
      <c r="E96" s="3118">
        <v>0.1</v>
      </c>
      <c r="F96" s="3118">
        <v>15</v>
      </c>
    </row>
    <row r="97" spans="1:6" ht="13.5">
      <c r="A97" s="3118">
        <v>25</v>
      </c>
      <c r="B97" s="3765"/>
      <c r="C97" s="3092" t="s">
        <v>2705</v>
      </c>
      <c r="D97" s="3092" t="s">
        <v>2706</v>
      </c>
      <c r="E97" s="3118">
        <v>0.1</v>
      </c>
      <c r="F97" s="3118">
        <v>15</v>
      </c>
    </row>
    <row r="98" spans="1:6" ht="24">
      <c r="A98" s="3118">
        <v>26</v>
      </c>
      <c r="B98" s="3765"/>
      <c r="C98" s="3092" t="s">
        <v>2707</v>
      </c>
      <c r="D98" s="3092" t="s">
        <v>2708</v>
      </c>
      <c r="E98" s="3118">
        <v>0.1</v>
      </c>
      <c r="F98" s="3118">
        <v>15</v>
      </c>
    </row>
    <row r="99" spans="1:6" ht="24">
      <c r="A99" s="3118">
        <v>27</v>
      </c>
      <c r="B99" s="3765"/>
      <c r="C99" s="3092" t="s">
        <v>2709</v>
      </c>
      <c r="D99" s="3092" t="s">
        <v>2710</v>
      </c>
      <c r="E99" s="3118">
        <v>0.1</v>
      </c>
      <c r="F99" s="3118">
        <v>15</v>
      </c>
    </row>
    <row r="100" spans="1:6" ht="13.5">
      <c r="A100" s="3118">
        <v>28</v>
      </c>
      <c r="B100" s="3765"/>
      <c r="C100" s="3092" t="s">
        <v>2711</v>
      </c>
      <c r="D100" s="3092" t="s">
        <v>2712</v>
      </c>
      <c r="E100" s="3118">
        <v>0.1</v>
      </c>
      <c r="F100" s="3118">
        <v>15</v>
      </c>
    </row>
    <row r="101" spans="1:6" ht="13.5">
      <c r="A101" s="3118">
        <v>29</v>
      </c>
      <c r="B101" s="3765"/>
      <c r="C101" s="3092" t="s">
        <v>2713</v>
      </c>
      <c r="D101" s="3092" t="s">
        <v>2714</v>
      </c>
      <c r="E101" s="3118">
        <v>0.1</v>
      </c>
      <c r="F101" s="3118">
        <v>15</v>
      </c>
    </row>
    <row r="102" spans="1:6" ht="13.5">
      <c r="A102" s="3118">
        <v>30</v>
      </c>
      <c r="B102" s="3765"/>
      <c r="C102" s="3092" t="s">
        <v>2715</v>
      </c>
      <c r="D102" s="3092" t="s">
        <v>2716</v>
      </c>
      <c r="E102" s="3118">
        <v>0.1</v>
      </c>
      <c r="F102" s="3118">
        <v>15</v>
      </c>
    </row>
    <row r="103" spans="1:6" ht="24">
      <c r="A103" s="3118">
        <v>31</v>
      </c>
      <c r="B103" s="3765"/>
      <c r="C103" s="3092" t="s">
        <v>2717</v>
      </c>
      <c r="D103" s="3092" t="s">
        <v>2718</v>
      </c>
      <c r="E103" s="3118">
        <v>0.1</v>
      </c>
      <c r="F103" s="3118">
        <v>15</v>
      </c>
    </row>
    <row r="104" spans="1:6" ht="24">
      <c r="A104" s="3118">
        <v>32</v>
      </c>
      <c r="B104" s="3765"/>
      <c r="C104" s="3092" t="s">
        <v>2719</v>
      </c>
      <c r="D104" s="3092" t="s">
        <v>2720</v>
      </c>
      <c r="E104" s="3118">
        <v>0.1</v>
      </c>
      <c r="F104" s="3118">
        <v>15</v>
      </c>
    </row>
    <row r="105" spans="1:6" ht="24">
      <c r="A105" s="3118">
        <v>33</v>
      </c>
      <c r="B105" s="3765"/>
      <c r="C105" s="3092" t="s">
        <v>2721</v>
      </c>
      <c r="D105" s="3092" t="s">
        <v>2722</v>
      </c>
      <c r="E105" s="3118">
        <v>0.1</v>
      </c>
      <c r="F105" s="3118">
        <v>15</v>
      </c>
    </row>
    <row r="106" spans="1:6" ht="24">
      <c r="A106" s="3118">
        <v>34</v>
      </c>
      <c r="B106" s="3764"/>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65"/>
      <c r="C108" s="3118" t="s">
        <v>2728</v>
      </c>
      <c r="D108" s="3092" t="s">
        <v>2729</v>
      </c>
      <c r="E108" s="3118">
        <v>0.15</v>
      </c>
      <c r="F108" s="3118">
        <v>20</v>
      </c>
    </row>
    <row r="109" spans="1:6" ht="13.5">
      <c r="A109" s="3118">
        <v>37</v>
      </c>
      <c r="B109" s="3765"/>
      <c r="C109" s="3118" t="s">
        <v>2730</v>
      </c>
      <c r="D109" s="3092" t="s">
        <v>2731</v>
      </c>
      <c r="E109" s="3118">
        <v>0.15</v>
      </c>
      <c r="F109" s="3118">
        <v>20</v>
      </c>
    </row>
    <row r="110" spans="1:6" ht="13.5">
      <c r="A110" s="3118">
        <v>38</v>
      </c>
      <c r="B110" s="3765"/>
      <c r="C110" s="3118" t="s">
        <v>2732</v>
      </c>
      <c r="D110" s="3092" t="s">
        <v>2733</v>
      </c>
      <c r="E110" s="3118">
        <v>0.1</v>
      </c>
      <c r="F110" s="3118">
        <v>15</v>
      </c>
    </row>
    <row r="111" spans="1:6" ht="24">
      <c r="A111" s="3118">
        <v>39</v>
      </c>
      <c r="B111" s="3765"/>
      <c r="C111" s="3118" t="s">
        <v>2734</v>
      </c>
      <c r="D111" s="3092" t="s">
        <v>2735</v>
      </c>
      <c r="E111" s="3118">
        <v>0.1</v>
      </c>
      <c r="F111" s="3118">
        <v>15</v>
      </c>
    </row>
    <row r="112" spans="1:6" ht="24">
      <c r="A112" s="3118">
        <v>40</v>
      </c>
      <c r="B112" s="3764"/>
      <c r="C112" s="3118" t="s">
        <v>2736</v>
      </c>
      <c r="D112" s="3092" t="s">
        <v>2737</v>
      </c>
      <c r="E112" s="3118">
        <v>0.1</v>
      </c>
      <c r="F112" s="3118">
        <v>15</v>
      </c>
    </row>
    <row r="113" spans="1:6" ht="13.5">
      <c r="A113" s="3118">
        <v>41</v>
      </c>
      <c r="B113" s="3762" t="s">
        <v>2738</v>
      </c>
      <c r="C113" s="3118" t="s">
        <v>2739</v>
      </c>
      <c r="D113" s="3092" t="s">
        <v>2740</v>
      </c>
      <c r="E113" s="3118">
        <v>0.1</v>
      </c>
      <c r="F113" s="3118">
        <v>15</v>
      </c>
    </row>
    <row r="114" spans="1:6" ht="13.5">
      <c r="A114" s="3118">
        <v>42</v>
      </c>
      <c r="B114" s="3762"/>
      <c r="C114" s="3118" t="s">
        <v>2741</v>
      </c>
      <c r="D114" s="3092" t="s">
        <v>2742</v>
      </c>
      <c r="E114" s="3118">
        <v>0.1</v>
      </c>
      <c r="F114" s="3118">
        <v>15</v>
      </c>
    </row>
    <row r="115" spans="1:6" ht="24">
      <c r="A115" s="3118">
        <v>43</v>
      </c>
      <c r="B115" s="3762"/>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4"/>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4"/>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4"/>
      <c r="C121" s="3118" t="s">
        <v>2758</v>
      </c>
      <c r="D121" s="3092" t="s">
        <v>2759</v>
      </c>
      <c r="E121" s="3118">
        <v>0.1</v>
      </c>
      <c r="F121" s="3118">
        <v>15</v>
      </c>
    </row>
    <row r="122" spans="1:6" ht="24">
      <c r="A122" s="3118">
        <v>50</v>
      </c>
      <c r="B122" s="3762" t="s">
        <v>2760</v>
      </c>
      <c r="C122" s="3118" t="s">
        <v>2761</v>
      </c>
      <c r="D122" s="3092" t="s">
        <v>2762</v>
      </c>
      <c r="E122" s="3118">
        <v>0.1</v>
      </c>
      <c r="F122" s="3118">
        <v>15</v>
      </c>
    </row>
    <row r="123" spans="1:6" ht="24">
      <c r="A123" s="3118">
        <v>51</v>
      </c>
      <c r="B123" s="3762"/>
      <c r="C123" s="3118" t="s">
        <v>2763</v>
      </c>
      <c r="D123" s="3092" t="s">
        <v>2764</v>
      </c>
      <c r="E123" s="3118">
        <v>0.1</v>
      </c>
      <c r="F123" s="3118">
        <v>15</v>
      </c>
    </row>
    <row r="124" spans="1:6" ht="24">
      <c r="A124" s="3118">
        <v>52</v>
      </c>
      <c r="B124" s="3762" t="s">
        <v>2765</v>
      </c>
      <c r="C124" s="3118" t="s">
        <v>2766</v>
      </c>
      <c r="D124" s="3092" t="s">
        <v>2767</v>
      </c>
      <c r="E124" s="3118">
        <v>0.1</v>
      </c>
      <c r="F124" s="3118">
        <v>15</v>
      </c>
    </row>
    <row r="125" spans="1:6" ht="24">
      <c r="A125" s="3118">
        <v>53</v>
      </c>
      <c r="B125" s="3762"/>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2" t="s">
        <v>2773</v>
      </c>
      <c r="C127" s="3118" t="s">
        <v>2774</v>
      </c>
      <c r="D127" s="3092" t="s">
        <v>2775</v>
      </c>
      <c r="E127" s="3118">
        <v>0.1</v>
      </c>
      <c r="F127" s="3118">
        <v>15</v>
      </c>
    </row>
    <row r="128" spans="1:6" ht="13.5">
      <c r="A128" s="3118">
        <v>56</v>
      </c>
      <c r="B128" s="3762"/>
      <c r="C128" s="3118" t="s">
        <v>2776</v>
      </c>
      <c r="D128" s="3092" t="s">
        <v>2777</v>
      </c>
      <c r="E128" s="3118">
        <v>0.1</v>
      </c>
      <c r="F128" s="3118">
        <v>15</v>
      </c>
    </row>
    <row r="129" spans="1:6" ht="24">
      <c r="A129" s="3118">
        <v>57</v>
      </c>
      <c r="B129" s="3762"/>
      <c r="C129" s="3118" t="s">
        <v>2778</v>
      </c>
      <c r="D129" s="3092" t="s">
        <v>2779</v>
      </c>
      <c r="E129" s="3118">
        <v>0.1</v>
      </c>
      <c r="F129" s="3118">
        <v>15</v>
      </c>
    </row>
    <row r="130" spans="1:6" ht="24">
      <c r="A130" s="3118">
        <v>58</v>
      </c>
      <c r="B130" s="3762" t="s">
        <v>2780</v>
      </c>
      <c r="C130" s="3118" t="s">
        <v>2781</v>
      </c>
      <c r="D130" s="3092" t="s">
        <v>2782</v>
      </c>
      <c r="E130" s="3118">
        <v>0.1</v>
      </c>
      <c r="F130" s="3118">
        <v>15</v>
      </c>
    </row>
    <row r="131" spans="1:6" ht="13.5">
      <c r="A131" s="3118">
        <v>59</v>
      </c>
      <c r="B131" s="3762"/>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4"/>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2" t="s">
        <v>2793</v>
      </c>
      <c r="C135" s="3118" t="s">
        <v>2794</v>
      </c>
      <c r="D135" s="3092" t="s">
        <v>2795</v>
      </c>
      <c r="E135" s="3118">
        <v>0.1</v>
      </c>
      <c r="F135" s="3118">
        <v>15</v>
      </c>
    </row>
    <row r="136" spans="1:6" ht="13.5">
      <c r="A136" s="3118">
        <v>64</v>
      </c>
      <c r="B136" s="3762"/>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0.85780000000000001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0.78090000000000004</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2066</v>
      </c>
      <c r="E5" s="1491"/>
    </row>
    <row r="6" spans="1:5" ht="15.75">
      <c r="A6" s="1491"/>
      <c r="B6" s="3455"/>
      <c r="C6" s="1494" t="s">
        <v>911</v>
      </c>
      <c r="D6" s="850" t="str">
        <f ca="1">NUMBERSTRING(INT(D5*10000),2)&amp;"元整"</f>
        <v>贰仟零陆拾陆万元整</v>
      </c>
      <c r="E6" s="1491"/>
    </row>
    <row r="7" spans="1:5" ht="15.75">
      <c r="A7" s="1491"/>
      <c r="B7" s="3460"/>
      <c r="C7" s="1495" t="s">
        <v>912</v>
      </c>
      <c r="D7" s="851">
        <f ca="1">结果表!H102</f>
        <v>6598</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2066</v>
      </c>
      <c r="E13" s="1491"/>
    </row>
    <row r="14" spans="1:5" ht="15.75">
      <c r="A14" s="1491"/>
      <c r="B14" s="3455"/>
      <c r="C14" s="1494" t="s">
        <v>911</v>
      </c>
      <c r="D14" s="850" t="str">
        <f ca="1">NUMBERSTRING(INT(D13*10000),2)&amp;"元整"</f>
        <v>贰仟零陆拾陆万元整</v>
      </c>
      <c r="E14" s="1491"/>
    </row>
    <row r="15" spans="1:5" ht="15">
      <c r="A15" s="1491"/>
      <c r="B15" s="3460"/>
      <c r="C15" s="1495" t="s">
        <v>921</v>
      </c>
      <c r="D15" s="859">
        <f ca="1">结果表!H108</f>
        <v>6598</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26636</v>
      </c>
      <c r="C2" s="2" t="s">
        <v>106</v>
      </c>
      <c r="D2" s="199"/>
      <c r="E2" s="199"/>
      <c r="F2" s="199"/>
      <c r="G2" s="199"/>
    </row>
    <row r="3" spans="1:7" s="200" customFormat="1" ht="18" customHeight="1" thickBot="1">
      <c r="A3" s="203" t="s">
        <v>58</v>
      </c>
      <c r="B3" s="204">
        <f ca="1">ROUND(B2*10000/'数据-汇总表'!E3,0)</f>
        <v>85064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63</v>
      </c>
      <c r="D10" s="845">
        <f>'数据-汇总表'!E6</f>
        <v>3131.3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63</v>
      </c>
      <c r="D19" s="849">
        <f>'数据-汇总表'!E3</f>
        <v>3131.3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1044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939</v>
      </c>
      <c r="D34" s="217"/>
      <c r="E34" s="220"/>
      <c r="F34" s="257">
        <f>IF('数据-取费表'!B24=0,1,'数据-取费表'!N16)</f>
        <v>1</v>
      </c>
      <c r="G34" s="219" t="s">
        <v>89</v>
      </c>
    </row>
    <row r="35" spans="1:7" ht="13.5" customHeight="1">
      <c r="A35" s="780" t="s">
        <v>351</v>
      </c>
      <c r="B35" s="215" t="s">
        <v>33</v>
      </c>
      <c r="C35" s="220">
        <f>ROUND(C34*F35,0)</f>
        <v>28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63</v>
      </c>
      <c r="D37" s="217">
        <f>'数据-汇总表'!E3</f>
        <v>3131.3</v>
      </c>
      <c r="E37" s="249">
        <f>'数据-取费表'!B35</f>
        <v>200</v>
      </c>
      <c r="F37" s="259"/>
      <c r="G37" s="261" t="s">
        <v>92</v>
      </c>
    </row>
    <row r="38" spans="1:7" ht="13.5" customHeight="1">
      <c r="A38" s="780" t="s">
        <v>354</v>
      </c>
      <c r="B38" s="215" t="s">
        <v>36</v>
      </c>
      <c r="C38" s="220">
        <f>ROUND(C34*F38,0)</f>
        <v>14</v>
      </c>
      <c r="D38" s="220"/>
      <c r="E38" s="220"/>
      <c r="F38" s="259">
        <f>'数据-取费表'!B36</f>
        <v>1.4999999999999999E-2</v>
      </c>
      <c r="G38" s="219" t="s">
        <v>90</v>
      </c>
    </row>
    <row r="39" spans="1:7" s="214" customFormat="1" ht="13.5" customHeight="1">
      <c r="A39" s="777" t="s">
        <v>338</v>
      </c>
      <c r="B39" s="210" t="s">
        <v>77</v>
      </c>
      <c r="C39" s="232">
        <f>ROUND(C33*F20,0)</f>
        <v>21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18</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2.9999999999999997E-4</v>
      </c>
      <c r="D44" s="238"/>
      <c r="E44" s="238"/>
      <c r="F44" s="239"/>
      <c r="G44" s="3638"/>
    </row>
    <row r="45" spans="1:7" s="214" customFormat="1" ht="13.5" customHeight="1">
      <c r="A45" s="777" t="s">
        <v>341</v>
      </c>
      <c r="B45" s="244" t="s">
        <v>85</v>
      </c>
      <c r="C45" s="245">
        <f>C46</f>
        <v>107</v>
      </c>
      <c r="D45" s="235">
        <f>C47</f>
        <v>2E-3</v>
      </c>
      <c r="E45" s="236" t="s">
        <v>102</v>
      </c>
      <c r="F45" s="246"/>
      <c r="G45" s="247" t="s">
        <v>434</v>
      </c>
    </row>
    <row r="46" spans="1:7" s="214" customFormat="1" ht="13.5" customHeight="1">
      <c r="A46" s="780" t="s">
        <v>349</v>
      </c>
      <c r="B46" s="248" t="s">
        <v>427</v>
      </c>
      <c r="C46" s="249">
        <f>ROUND((C33+C39)*F27,0)</f>
        <v>107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1286</v>
      </c>
      <c r="D49" s="232"/>
      <c r="E49" s="232"/>
      <c r="F49" s="264"/>
      <c r="G49" s="234" t="s">
        <v>435</v>
      </c>
    </row>
    <row r="50" spans="1:7" s="258" customFormat="1" ht="24">
      <c r="A50" s="777" t="s">
        <v>344</v>
      </c>
      <c r="B50" s="210" t="s">
        <v>97</v>
      </c>
      <c r="C50" s="232"/>
      <c r="D50" s="232"/>
      <c r="E50" s="232"/>
      <c r="F50" s="264">
        <f>IF('数据-取费表'!B24=0,'数据-取费表'!N16,1)</f>
        <v>0.61499999999999999</v>
      </c>
      <c r="G50" s="247" t="s">
        <v>98</v>
      </c>
    </row>
    <row r="51" spans="1:7" ht="16.5" customHeight="1">
      <c r="A51" s="777" t="s">
        <v>345</v>
      </c>
      <c r="B51" s="210" t="s">
        <v>105</v>
      </c>
      <c r="C51" s="232">
        <f ca="1">ROUND(C49*F50,0)</f>
        <v>791</v>
      </c>
      <c r="D51" s="232"/>
      <c r="E51" s="232"/>
      <c r="F51" s="264"/>
      <c r="G51" s="234" t="s">
        <v>37</v>
      </c>
    </row>
    <row r="52" spans="1:7" s="208" customFormat="1" ht="16.5" thickBot="1">
      <c r="A52" s="265" t="s">
        <v>38</v>
      </c>
      <c r="B52" s="266"/>
      <c r="C52" s="267">
        <f ca="1">C31+C51</f>
        <v>26636</v>
      </c>
      <c r="D52" s="266"/>
      <c r="E52" s="266"/>
      <c r="F52" s="266"/>
      <c r="G52" s="268"/>
    </row>
    <row r="55" spans="1:7" ht="15">
      <c r="B55" s="270" t="s">
        <v>39</v>
      </c>
      <c r="C55" s="271"/>
    </row>
    <row r="56" spans="1:7">
      <c r="B56" s="273" t="s">
        <v>40</v>
      </c>
      <c r="C56" s="274">
        <f ca="1">ROUND(C51/C52,3)</f>
        <v>0.03</v>
      </c>
    </row>
    <row r="57" spans="1:7">
      <c r="B57" s="273" t="s">
        <v>41</v>
      </c>
      <c r="C57" s="275">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6" t="s">
        <v>2843</v>
      </c>
      <c r="B1" s="3776"/>
      <c r="C1" s="3776"/>
      <c r="D1" s="3776"/>
      <c r="E1" s="3776"/>
      <c r="F1" s="3776"/>
      <c r="G1" s="3777"/>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4"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5"/>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8" t="s">
        <v>3185</v>
      </c>
      <c r="B1" s="3778"/>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9" t="s">
        <v>3236</v>
      </c>
      <c r="B1" s="3779"/>
      <c r="C1" s="3779"/>
      <c r="D1" s="3779"/>
      <c r="E1" s="3779"/>
      <c r="F1" s="3780"/>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45356</v>
      </c>
      <c r="B1" s="3210" t="s">
        <v>3374</v>
      </c>
      <c r="C1" s="3211"/>
      <c r="D1" s="3211"/>
      <c r="E1" s="3211"/>
      <c r="F1" s="3211"/>
      <c r="G1" s="3211"/>
      <c r="H1" s="3211"/>
      <c r="I1" s="3211"/>
      <c r="J1" s="3165"/>
      <c r="K1" s="3211" t="s">
        <v>454</v>
      </c>
      <c r="L1" s="3211"/>
      <c r="M1" s="3211"/>
      <c r="N1" s="3211"/>
      <c r="O1" s="3211"/>
      <c r="P1" s="3211"/>
      <c r="Q1" s="3165"/>
      <c r="R1" s="3781" t="s">
        <v>456</v>
      </c>
      <c r="S1" s="3782"/>
      <c r="T1" s="3782"/>
      <c r="U1" s="3782"/>
      <c r="V1" s="3782"/>
      <c r="W1" s="3782"/>
      <c r="X1" s="3165"/>
      <c r="Y1" s="3781" t="s">
        <v>457</v>
      </c>
      <c r="Z1" s="3782"/>
      <c r="AA1" s="3782"/>
      <c r="AB1" s="3782"/>
      <c r="AC1" s="3782"/>
      <c r="AD1" s="3782"/>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81" t="s">
        <v>2831</v>
      </c>
      <c r="S23" s="3782"/>
      <c r="T23" s="3782"/>
      <c r="U23" s="3782"/>
      <c r="V23" s="3782"/>
      <c r="W23" s="3782"/>
      <c r="X23" s="3165"/>
      <c r="Y23" s="3781" t="s">
        <v>2832</v>
      </c>
      <c r="Z23" s="3782"/>
      <c r="AA23" s="3782"/>
      <c r="AB23" s="3782"/>
      <c r="AC23" s="3782"/>
      <c r="AD23" s="3782"/>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45356</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3131.3</v>
      </c>
      <c r="C4" s="854">
        <f>项目基本情况!C18</f>
        <v>964.84</v>
      </c>
      <c r="D4" s="854">
        <f>结果表!D118</f>
        <v>0</v>
      </c>
      <c r="E4" s="854">
        <f>结果表!E118</f>
        <v>0</v>
      </c>
      <c r="F4" s="854">
        <f>结果表!F118</f>
        <v>0</v>
      </c>
      <c r="G4" s="854">
        <f>结果表!G118</f>
        <v>0</v>
      </c>
      <c r="H4" s="854">
        <f ca="1">结果表!H118</f>
        <v>2066</v>
      </c>
      <c r="I4" s="854">
        <f ca="1">结果表!I118</f>
        <v>6598</v>
      </c>
    </row>
    <row r="5" spans="1:9" ht="30" customHeight="1">
      <c r="A5" s="3467" t="s">
        <v>927</v>
      </c>
      <c r="B5" s="3467"/>
      <c r="C5" s="3467"/>
      <c r="D5" s="3467" t="str">
        <f>结果表!D119</f>
        <v>零元整</v>
      </c>
      <c r="E5" s="3467"/>
      <c r="F5" s="3467" t="str">
        <f>结果表!F119</f>
        <v>零元整</v>
      </c>
      <c r="G5" s="3467"/>
      <c r="H5" s="3467" t="str">
        <f ca="1">结果表!H119</f>
        <v>贰仟零陆拾陆万元整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2066</v>
      </c>
      <c r="E8" s="3466"/>
      <c r="F8" s="3466"/>
      <c r="G8" s="3466"/>
      <c r="H8" s="3466"/>
      <c r="I8" s="3466"/>
    </row>
    <row r="9" spans="1:9" ht="15">
      <c r="A9" s="3467" t="s">
        <v>927</v>
      </c>
      <c r="B9" s="3467"/>
      <c r="C9" s="3467"/>
      <c r="D9" s="3467" t="str">
        <f ca="1">结果表!D123</f>
        <v>贰仟零陆拾陆万元整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45356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2024-03-05T09:05:22Z</dcterms:modified>
</cp:coreProperties>
</file>