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760"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34"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 name="中指" sheetId="86" r:id="rId52"/>
  </sheets>
  <externalReferences>
    <externalReference r:id="rId53"/>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5" i="34" l="1"/>
  <c r="E105" i="34"/>
  <c r="F105" i="34" s="1"/>
  <c r="G105" i="34" s="1"/>
  <c r="L18" i="1"/>
  <c r="U6" i="1"/>
  <c r="I10" i="34"/>
  <c r="G10" i="34"/>
  <c r="E10" i="34"/>
  <c r="C10" i="34"/>
  <c r="D67" i="34" l="1"/>
  <c r="E67" i="34" s="1"/>
  <c r="F67" i="34" s="1"/>
  <c r="G67" i="34" s="1"/>
  <c r="C17" i="3" l="1"/>
  <c r="J58" i="81"/>
  <c r="N6" i="1"/>
  <c r="C37" i="34" s="1"/>
  <c r="F19" i="6"/>
  <c r="C34" i="34" s="1"/>
  <c r="D3" i="4"/>
  <c r="Y6" i="1" l="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N35" i="79" s="1"/>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8" i="79" l="1"/>
  <c r="AI38" i="79" s="1"/>
  <c r="U41" i="79"/>
  <c r="AI41" i="79" s="1"/>
  <c r="U37" i="79"/>
  <c r="AI37" i="79" s="1"/>
  <c r="U42" i="79"/>
  <c r="AI42" i="79" s="1"/>
  <c r="U39" i="79"/>
  <c r="AI39" i="79" s="1"/>
  <c r="U43" i="79"/>
  <c r="AI43" i="79" s="1"/>
  <c r="U40" i="79"/>
  <c r="AI40" i="79" s="1"/>
  <c r="T26" i="79"/>
  <c r="W26" i="79" s="1"/>
  <c r="AK26" i="79" s="1"/>
  <c r="Z3" i="79"/>
  <c r="S39" i="79"/>
  <c r="AG39" i="79" s="1"/>
  <c r="S41" i="79"/>
  <c r="AG41" i="79" s="1"/>
  <c r="S40" i="79"/>
  <c r="AG40" i="79" s="1"/>
  <c r="S43" i="79"/>
  <c r="AG43" i="79" s="1"/>
  <c r="S38" i="79"/>
  <c r="AG38" i="79" s="1"/>
  <c r="S42" i="79"/>
  <c r="AG42" i="79" s="1"/>
  <c r="S37" i="79"/>
  <c r="AG37" i="79" s="1"/>
  <c r="AA35" i="79"/>
  <c r="AD35" i="79" s="1"/>
  <c r="T48" i="79"/>
  <c r="U54" i="79"/>
  <c r="AI54" i="79" s="1"/>
  <c r="AD55" i="79"/>
  <c r="S56" i="79"/>
  <c r="AG56" i="79" s="1"/>
  <c r="U58" i="79"/>
  <c r="AI58" i="79" s="1"/>
  <c r="AD59" i="79"/>
  <c r="S24" i="79"/>
  <c r="AG24" i="79" s="1"/>
  <c r="AD45" i="79"/>
  <c r="AD43" i="79"/>
  <c r="AD44" i="79"/>
  <c r="AD46" i="79"/>
  <c r="AD42" i="79"/>
  <c r="AR48" i="79"/>
  <c r="AR49" i="79" s="1"/>
  <c r="AR50" i="79" s="1"/>
  <c r="AR51" i="79" s="1"/>
  <c r="AR52" i="79" s="1"/>
  <c r="AR53" i="79" s="1"/>
  <c r="AR54" i="79" s="1"/>
  <c r="AR55" i="79" s="1"/>
  <c r="AR56" i="79" s="1"/>
  <c r="AR57" i="79" s="1"/>
  <c r="AR58" i="79" s="1"/>
  <c r="AR59" i="79" s="1"/>
  <c r="AR60" i="79" s="1"/>
  <c r="T40" i="79"/>
  <c r="T43" i="79"/>
  <c r="T42" i="79"/>
  <c r="T39" i="79"/>
  <c r="T37" i="79"/>
  <c r="T41" i="79"/>
  <c r="T38" i="79"/>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1" i="79"/>
  <c r="AK41" i="79" s="1"/>
  <c r="AH41" i="79"/>
  <c r="W43" i="79"/>
  <c r="AK43" i="79" s="1"/>
  <c r="AH43" i="79"/>
  <c r="W37" i="79"/>
  <c r="AK37" i="79" s="1"/>
  <c r="AH37" i="79"/>
  <c r="W40" i="79"/>
  <c r="AK40" i="79" s="1"/>
  <c r="AH40" i="79"/>
  <c r="W39" i="79"/>
  <c r="AK39" i="79" s="1"/>
  <c r="AH39" i="79"/>
  <c r="W38" i="79"/>
  <c r="AK38" i="79" s="1"/>
  <c r="AH38" i="79"/>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61" i="77" l="1"/>
  <c r="E79" i="77"/>
  <c r="E78" i="77"/>
  <c r="E77" i="77" s="1"/>
  <c r="E62" i="77"/>
  <c r="E72" i="77"/>
  <c r="E55" i="77"/>
  <c r="E58" i="77"/>
  <c r="E75" i="77"/>
  <c r="E73" i="77" s="1"/>
  <c r="E67" i="77" s="1"/>
  <c r="E59" i="77"/>
  <c r="E56" i="77" s="1"/>
  <c r="E76"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60" i="77"/>
  <c r="E54"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AA37" i="71" s="1"/>
  <c r="O38" i="71"/>
  <c r="N38" i="71"/>
  <c r="X38" i="71" s="1"/>
  <c r="Q37" i="71"/>
  <c r="F38" i="71" s="1"/>
  <c r="F39" i="71" s="1"/>
  <c r="F40" i="71" s="1"/>
  <c r="V40" i="71" s="1"/>
  <c r="P37" i="7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N29" i="71"/>
  <c r="D29" i="71"/>
  <c r="O28" i="71"/>
  <c r="Y25" i="71" s="1"/>
  <c r="Z25" i="71" s="1"/>
  <c r="N28" i="71"/>
  <c r="B30" i="71"/>
  <c r="B31" i="71"/>
  <c r="E30" i="71"/>
  <c r="E31" i="71" s="1"/>
  <c r="E32" i="71" s="1"/>
  <c r="U32" i="71" s="1"/>
  <c r="E38" i="71"/>
  <c r="E39" i="71"/>
  <c r="E40" i="71"/>
  <c r="U40" i="71" s="1"/>
  <c r="N68" i="71"/>
  <c r="C30" i="71"/>
  <c r="C34" i="71"/>
  <c r="D34" i="71" s="1"/>
  <c r="C38" i="71"/>
  <c r="D38" i="71" s="1"/>
  <c r="Y37" i="71"/>
  <c r="Z37" i="71" s="1"/>
  <c r="F51" i="71"/>
  <c r="F52" i="71" s="1"/>
  <c r="V52" i="71" s="1"/>
  <c r="X25" i="71"/>
  <c r="C39" i="71"/>
  <c r="C40" i="71" s="1"/>
  <c r="D50" i="71"/>
  <c r="P28" i="71"/>
  <c r="E28"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s="1"/>
  <c r="AA27" i="71"/>
  <c r="C66" i="71"/>
  <c r="O65" i="71" s="1"/>
  <c r="C82" i="71"/>
  <c r="D82"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W27" i="40" s="1"/>
  <c r="H31" i="39"/>
  <c r="AB31" i="39" s="1"/>
  <c r="J31" i="39"/>
  <c r="AC31" i="39" s="1"/>
  <c r="J18" i="36"/>
  <c r="AC18" i="36" s="1"/>
  <c r="H18" i="35"/>
  <c r="AB18" i="35" s="1"/>
  <c r="J18" i="35"/>
  <c r="W18" i="35" s="1"/>
  <c r="H21" i="37"/>
  <c r="F21" i="37"/>
  <c r="AA21" i="37" s="1"/>
  <c r="H21" i="34"/>
  <c r="AB21" i="34" s="1"/>
  <c r="H21" i="33"/>
  <c r="U21" i="33" s="1"/>
  <c r="F21" i="33"/>
  <c r="E83" i="21"/>
  <c r="F83" i="21" s="1"/>
  <c r="H1" i="69"/>
  <c r="AC27" i="40"/>
  <c r="W18" i="36"/>
  <c r="AB21" i="37"/>
  <c r="U21" i="37"/>
  <c r="AA21" i="33"/>
  <c r="S21" i="33"/>
  <c r="AC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E98" i="39" s="1"/>
  <c r="F98" i="39" s="1"/>
  <c r="G98" i="39" s="1"/>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C20" i="36"/>
  <c r="C20" i="35"/>
  <c r="C16" i="36"/>
  <c r="C16" i="35"/>
  <c r="C14" i="36"/>
  <c r="C14" i="35"/>
  <c r="B80" i="37"/>
  <c r="H25" i="37" s="1"/>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s="1"/>
  <c r="J23" i="36"/>
  <c r="AC23" i="36" s="1"/>
  <c r="F23" i="36"/>
  <c r="AA23" i="36"/>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H34" i="35" s="1"/>
  <c r="B77" i="35"/>
  <c r="B75"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AB34" i="35"/>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H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A40" i="33"/>
  <c r="Q39" i="33"/>
  <c r="Z39" i="33"/>
  <c r="J39" i="33"/>
  <c r="AC39" i="33" s="1"/>
  <c r="Q38" i="33"/>
  <c r="Z38" i="33"/>
  <c r="J38" i="33"/>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C17" i="20"/>
  <c r="B61" i="43"/>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F77" i="21" s="1"/>
  <c r="G77" i="21" s="1"/>
  <c r="B130" i="21"/>
  <c r="B128" i="21"/>
  <c r="J45" i="21"/>
  <c r="W45" i="21" s="1"/>
  <c r="B126" i="21"/>
  <c r="B98" i="21"/>
  <c r="H31" i="21"/>
  <c r="B96" i="21"/>
  <c r="B94" i="21"/>
  <c r="J29" i="21" s="1"/>
  <c r="B92" i="21"/>
  <c r="F28" i="21" s="1"/>
  <c r="B90" i="21"/>
  <c r="J27" i="21" s="1"/>
  <c r="W27" i="21" s="1"/>
  <c r="B74" i="21"/>
  <c r="F14" i="21" s="1"/>
  <c r="S14" i="21" s="1"/>
  <c r="B72" i="2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G5" i="3" s="1"/>
  <c r="BH585" i="3"/>
  <c r="BI585" i="3"/>
  <c r="BJ585" i="3"/>
  <c r="BK585" i="3"/>
  <c r="BM585" i="3"/>
  <c r="BN585" i="3"/>
  <c r="BO585" i="3"/>
  <c r="BP585" i="3"/>
  <c r="BP5" i="3" s="1"/>
  <c r="G29" i="6" s="1"/>
  <c r="BQ585" i="3"/>
  <c r="BR585" i="3"/>
  <c r="BS585" i="3"/>
  <c r="BT585" i="3"/>
  <c r="BT5" i="3" s="1"/>
  <c r="BB586" i="3"/>
  <c r="BC586" i="3"/>
  <c r="BD586" i="3"/>
  <c r="BE586" i="3"/>
  <c r="BF586" i="3"/>
  <c r="BG586" i="3"/>
  <c r="BH586" i="3"/>
  <c r="BI586" i="3"/>
  <c r="BI5" i="3" s="1"/>
  <c r="BJ586" i="3"/>
  <c r="BK586" i="3"/>
  <c r="BM586" i="3"/>
  <c r="BN586" i="3"/>
  <c r="BN5"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H43" i="21"/>
  <c r="AB43" i="21" s="1"/>
  <c r="F38" i="21"/>
  <c r="S38" i="21" s="1"/>
  <c r="F36" i="21"/>
  <c r="S36" i="21" s="1"/>
  <c r="F39" i="2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AB41" i="21"/>
  <c r="S41" i="21"/>
  <c r="F47" i="39"/>
  <c r="S47" i="39" s="1"/>
  <c r="J47" i="39"/>
  <c r="W47" i="39" s="1"/>
  <c r="J46" i="39"/>
  <c r="AC46" i="39" s="1"/>
  <c r="F38" i="39"/>
  <c r="S38" i="39" s="1"/>
  <c r="H38" i="39"/>
  <c r="J37" i="39"/>
  <c r="AC37" i="39" s="1"/>
  <c r="F37" i="39"/>
  <c r="AA37" i="39"/>
  <c r="J38" i="39"/>
  <c r="AC38" i="39" s="1"/>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S36" i="34" s="1"/>
  <c r="J35" i="34"/>
  <c r="W35" i="34" s="1"/>
  <c r="H39" i="33"/>
  <c r="AB39" i="33" s="1"/>
  <c r="U33" i="33"/>
  <c r="S40" i="33"/>
  <c r="W33" i="33"/>
  <c r="S27" i="35"/>
  <c r="F13" i="40"/>
  <c r="AA13" i="40" s="1"/>
  <c r="H13" i="40"/>
  <c r="AB13" i="40" s="1"/>
  <c r="W10" i="40"/>
  <c r="AA11" i="40"/>
  <c r="U11" i="40"/>
  <c r="S36" i="40"/>
  <c r="U36"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J21" i="39"/>
  <c r="AC21" i="39" s="1"/>
  <c r="J19" i="39"/>
  <c r="F29" i="39"/>
  <c r="S29" i="39" s="1"/>
  <c r="F11" i="21"/>
  <c r="S11" i="21" s="1"/>
  <c r="S40" i="21"/>
  <c r="U34" i="21"/>
  <c r="C27" i="39"/>
  <c r="H13" i="39"/>
  <c r="AB13" i="39" s="1"/>
  <c r="H32" i="33"/>
  <c r="AB32" i="33" s="1"/>
  <c r="H11" i="21"/>
  <c r="U11" i="21" s="1"/>
  <c r="J11" i="21"/>
  <c r="W11" i="21" s="1"/>
  <c r="H39" i="40"/>
  <c r="U39" i="40" s="1"/>
  <c r="H38" i="40"/>
  <c r="AB38" i="40" s="1"/>
  <c r="F37" i="40"/>
  <c r="AA37" i="40" s="1"/>
  <c r="H25" i="40"/>
  <c r="AB25" i="40" s="1"/>
  <c r="H19" i="40"/>
  <c r="U19" i="40" s="1"/>
  <c r="J17" i="40"/>
  <c r="W17" i="40" s="1"/>
  <c r="J13" i="40"/>
  <c r="W13" i="40"/>
  <c r="AB10" i="39"/>
  <c r="AB12" i="35"/>
  <c r="W34" i="40"/>
  <c r="F39" i="39"/>
  <c r="AA39" i="39" s="1"/>
  <c r="J34" i="36"/>
  <c r="W34" i="36" s="1"/>
  <c r="U30" i="36"/>
  <c r="J30" i="35"/>
  <c r="W30" i="35" s="1"/>
  <c r="H30" i="35"/>
  <c r="AB30" i="35" s="1"/>
  <c r="F22" i="35"/>
  <c r="AA22" i="35" s="1"/>
  <c r="H10" i="35"/>
  <c r="U10" i="35" s="1"/>
  <c r="F33" i="36"/>
  <c r="AA33" i="36"/>
  <c r="W30" i="36"/>
  <c r="H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E101" i="37"/>
  <c r="F101" i="37" s="1"/>
  <c r="G101" i="37" s="1"/>
  <c r="H101" i="37" s="1"/>
  <c r="I101" i="37" s="1"/>
  <c r="J101" i="37" s="1"/>
  <c r="K101" i="37"/>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J23" i="34"/>
  <c r="AC23" i="34" s="1"/>
  <c r="F15" i="34"/>
  <c r="AA15" i="34" s="1"/>
  <c r="J15" i="34"/>
  <c r="AC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c r="F11" i="33"/>
  <c r="AA11" i="33" s="1"/>
  <c r="W40" i="33"/>
  <c r="F39" i="40"/>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C43" i="34" s="1"/>
  <c r="AB42" i="34"/>
  <c r="J40" i="34"/>
  <c r="AC40" i="34" s="1"/>
  <c r="H38" i="34"/>
  <c r="AB38" i="34" s="1"/>
  <c r="J36" i="34"/>
  <c r="W36" i="34" s="1"/>
  <c r="H25" i="34"/>
  <c r="AB25" i="34" s="1"/>
  <c r="J25" i="34"/>
  <c r="AC25" i="34" s="1"/>
  <c r="F23" i="34"/>
  <c r="AA23" i="34" s="1"/>
  <c r="S41" i="33"/>
  <c r="H37" i="33"/>
  <c r="AB37" i="33" s="1"/>
  <c r="H15" i="33"/>
  <c r="H11" i="33"/>
  <c r="AB11" i="33" s="1"/>
  <c r="F30" i="40"/>
  <c r="AA30" i="40" s="1"/>
  <c r="AA42" i="34"/>
  <c r="S42" i="34"/>
  <c r="AC38" i="34"/>
  <c r="J11" i="33"/>
  <c r="W11" i="33" s="1"/>
  <c r="J42" i="21"/>
  <c r="H42" i="21"/>
  <c r="U42" i="21"/>
  <c r="J10" i="35"/>
  <c r="AC10" i="35" s="1"/>
  <c r="J14" i="21"/>
  <c r="W14" i="21" s="1"/>
  <c r="H14" i="21"/>
  <c r="U14" i="21"/>
  <c r="H28" i="21"/>
  <c r="AB28" i="21" s="1"/>
  <c r="AA28" i="21"/>
  <c r="J28" i="21"/>
  <c r="W28" i="21" s="1"/>
  <c r="H30" i="21"/>
  <c r="U30" i="21" s="1"/>
  <c r="F30" i="21"/>
  <c r="S30" i="21" s="1"/>
  <c r="J30" i="21"/>
  <c r="F44" i="21"/>
  <c r="H46" i="21"/>
  <c r="U46" i="21"/>
  <c r="J46" i="21"/>
  <c r="F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c r="F27" i="21"/>
  <c r="AA27" i="21" s="1"/>
  <c r="H29" i="21"/>
  <c r="J31" i="21"/>
  <c r="AC31" i="21" s="1"/>
  <c r="F31" i="21"/>
  <c r="S31" i="21" s="1"/>
  <c r="F45" i="21"/>
  <c r="AA45" i="21" s="1"/>
  <c r="F27" i="33"/>
  <c r="J13" i="33"/>
  <c r="H13" i="33"/>
  <c r="U13" i="33" s="1"/>
  <c r="F13" i="33"/>
  <c r="S13" i="33" s="1"/>
  <c r="J29" i="33"/>
  <c r="H29" i="33"/>
  <c r="U29" i="33"/>
  <c r="F29" i="33"/>
  <c r="S29" i="33" s="1"/>
  <c r="J31" i="33"/>
  <c r="H31" i="33"/>
  <c r="F31" i="33"/>
  <c r="H45" i="33"/>
  <c r="U45" i="33" s="1"/>
  <c r="J45" i="33"/>
  <c r="W45" i="33" s="1"/>
  <c r="F45" i="33"/>
  <c r="S45" i="33" s="1"/>
  <c r="AA45" i="33"/>
  <c r="J14" i="34"/>
  <c r="W14" i="34" s="1"/>
  <c r="F14" i="34"/>
  <c r="H14" i="34"/>
  <c r="H30" i="34"/>
  <c r="F30" i="34"/>
  <c r="J30" i="34"/>
  <c r="H32" i="34"/>
  <c r="F32" i="34"/>
  <c r="J32" i="34"/>
  <c r="W32" i="34" s="1"/>
  <c r="H46" i="34"/>
  <c r="U46" i="34" s="1"/>
  <c r="F46" i="34"/>
  <c r="J46" i="34"/>
  <c r="H11" i="35"/>
  <c r="AB11" i="35" s="1"/>
  <c r="J11" i="35"/>
  <c r="W11" i="35" s="1"/>
  <c r="AC11" i="35"/>
  <c r="F11" i="35"/>
  <c r="J26" i="36"/>
  <c r="W26" i="36" s="1"/>
  <c r="H28" i="36"/>
  <c r="U28" i="36" s="1"/>
  <c r="H32" i="36"/>
  <c r="AB32" i="36" s="1"/>
  <c r="J32" i="36"/>
  <c r="W32" i="36" s="1"/>
  <c r="J11" i="36"/>
  <c r="AC11" i="36" s="1"/>
  <c r="H11" i="36"/>
  <c r="U11" i="36" s="1"/>
  <c r="F11" i="36"/>
  <c r="AA11" i="36" s="1"/>
  <c r="H13" i="36"/>
  <c r="J13" i="36"/>
  <c r="F13" i="36"/>
  <c r="S13" i="36" s="1"/>
  <c r="E89" i="37"/>
  <c r="F89" i="37"/>
  <c r="G89" i="37" s="1"/>
  <c r="H89" i="37" s="1"/>
  <c r="I89" i="37" s="1"/>
  <c r="J89" i="37" s="1"/>
  <c r="K89" i="37" s="1"/>
  <c r="L89" i="37" s="1"/>
  <c r="M89" i="37" s="1"/>
  <c r="J29" i="37"/>
  <c r="W29" i="37" s="1"/>
  <c r="F29" i="37"/>
  <c r="S29" i="37"/>
  <c r="F105" i="37"/>
  <c r="G105" i="37" s="1"/>
  <c r="H36" i="37"/>
  <c r="AB36" i="37" s="1"/>
  <c r="J37" i="37"/>
  <c r="H37" i="37"/>
  <c r="U37" i="37" s="1"/>
  <c r="H40" i="37"/>
  <c r="U40" i="37" s="1"/>
  <c r="J40" i="37"/>
  <c r="AC40" i="37"/>
  <c r="F40" i="37"/>
  <c r="AA40" i="37" s="1"/>
  <c r="AC14" i="40"/>
  <c r="W14" i="40"/>
  <c r="H14" i="33"/>
  <c r="U14" i="33" s="1"/>
  <c r="F14" i="33"/>
  <c r="S14" i="33"/>
  <c r="J14" i="33"/>
  <c r="H30" i="33"/>
  <c r="H44" i="33"/>
  <c r="J44" i="33"/>
  <c r="F44" i="33"/>
  <c r="F46" i="33"/>
  <c r="H13" i="34"/>
  <c r="U13" i="34" s="1"/>
  <c r="J13" i="34"/>
  <c r="W13" i="34"/>
  <c r="F13" i="34"/>
  <c r="AA13" i="34" s="1"/>
  <c r="J31" i="34"/>
  <c r="W31" i="34" s="1"/>
  <c r="AC31" i="34"/>
  <c r="H31" i="34"/>
  <c r="F31" i="34"/>
  <c r="S31" i="34" s="1"/>
  <c r="H47" i="34"/>
  <c r="U47" i="34"/>
  <c r="F47" i="34"/>
  <c r="S47" i="34" s="1"/>
  <c r="J47" i="34"/>
  <c r="H13" i="35"/>
  <c r="J25" i="35"/>
  <c r="W25" i="35"/>
  <c r="F25" i="35"/>
  <c r="S25" i="35" s="1"/>
  <c r="H25" i="35"/>
  <c r="AB25" i="35" s="1"/>
  <c r="J35" i="35"/>
  <c r="AC35" i="35" s="1"/>
  <c r="F35" i="35"/>
  <c r="AA35" i="35"/>
  <c r="H35" i="35"/>
  <c r="J25" i="36"/>
  <c r="W25" i="36" s="1"/>
  <c r="F25" i="36"/>
  <c r="S25" i="36" s="1"/>
  <c r="H25" i="36"/>
  <c r="AB25" i="36" s="1"/>
  <c r="H13" i="37"/>
  <c r="F13" i="37"/>
  <c r="S13" i="37" s="1"/>
  <c r="J13" i="37"/>
  <c r="W13" i="37" s="1"/>
  <c r="F28" i="37"/>
  <c r="AA28" i="37" s="1"/>
  <c r="J28" i="37"/>
  <c r="H28" i="37"/>
  <c r="H38" i="37"/>
  <c r="AB38" i="37"/>
  <c r="J38" i="37"/>
  <c r="F38" i="37"/>
  <c r="S38" i="37" s="1"/>
  <c r="F45" i="39"/>
  <c r="AA45" i="39" s="1"/>
  <c r="H45" i="39"/>
  <c r="J16" i="39"/>
  <c r="AC16" i="39" s="1"/>
  <c r="F16" i="39"/>
  <c r="H16" i="39"/>
  <c r="AB16" i="39" s="1"/>
  <c r="F14" i="40"/>
  <c r="S14" i="40" s="1"/>
  <c r="H14" i="40"/>
  <c r="AB14" i="40" s="1"/>
  <c r="H32" i="40"/>
  <c r="AB32" i="40" s="1"/>
  <c r="F35" i="40"/>
  <c r="AA35" i="40"/>
  <c r="H35" i="40"/>
  <c r="U35" i="40" s="1"/>
  <c r="J37" i="40"/>
  <c r="W37" i="40" s="1"/>
  <c r="AC37" i="40"/>
  <c r="J39" i="40"/>
  <c r="AC39" i="40" s="1"/>
  <c r="H15" i="40"/>
  <c r="U15" i="40"/>
  <c r="J15" i="40"/>
  <c r="W15" i="40" s="1"/>
  <c r="F15" i="40"/>
  <c r="F27" i="37"/>
  <c r="AA27" i="37"/>
  <c r="F15" i="39"/>
  <c r="J15" i="39"/>
  <c r="W15" i="39" s="1"/>
  <c r="H15" i="39"/>
  <c r="H16" i="40"/>
  <c r="U16" i="40" s="1"/>
  <c r="J16" i="40"/>
  <c r="W16" i="40" s="1"/>
  <c r="F16" i="40"/>
  <c r="AA16" i="40" s="1"/>
  <c r="J27" i="37"/>
  <c r="AA14" i="33"/>
  <c r="J36" i="37"/>
  <c r="AC36" i="37" s="1"/>
  <c r="J10" i="36"/>
  <c r="AC10" i="36" s="1"/>
  <c r="AB45" i="33"/>
  <c r="AC28" i="21"/>
  <c r="F17" i="21"/>
  <c r="AA17" i="21" s="1"/>
  <c r="H17" i="2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AZ506" i="3" s="1"/>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BA554" i="3"/>
  <c r="AZ554" i="3"/>
  <c r="BA552" i="3"/>
  <c r="AZ552" i="3" s="1"/>
  <c r="BA548" i="3"/>
  <c r="BA546" i="3"/>
  <c r="AZ546" i="3" s="1"/>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BA502" i="3"/>
  <c r="BA500" i="3"/>
  <c r="AZ500" i="3" s="1"/>
  <c r="BA498" i="3"/>
  <c r="AZ498" i="3" s="1"/>
  <c r="BA496" i="3"/>
  <c r="BA494"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BQ523" i="3"/>
  <c r="BL523" i="3" s="1"/>
  <c r="AZ523" i="3" s="1"/>
  <c r="BA521" i="3"/>
  <c r="AC521" i="3"/>
  <c r="G521" i="3"/>
  <c r="BQ521" i="3"/>
  <c r="BL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F14" i="36"/>
  <c r="AA14" i="36" s="1"/>
  <c r="F22" i="36"/>
  <c r="S22" i="36" s="1"/>
  <c r="F26" i="36"/>
  <c r="H35" i="34"/>
  <c r="U35" i="34" s="1"/>
  <c r="F10" i="35"/>
  <c r="S10" i="35" s="1"/>
  <c r="H23" i="37"/>
  <c r="AB23" i="37"/>
  <c r="J32" i="37"/>
  <c r="AC32" i="37" s="1"/>
  <c r="F36" i="37"/>
  <c r="AA36" i="37"/>
  <c r="F37" i="37"/>
  <c r="F34" i="40"/>
  <c r="H34" i="40"/>
  <c r="AB34" i="40" s="1"/>
  <c r="J38" i="40"/>
  <c r="W38" i="40"/>
  <c r="H19" i="37"/>
  <c r="AB19" i="37" s="1"/>
  <c r="H42" i="33"/>
  <c r="AB42" i="33" s="1"/>
  <c r="J43" i="33"/>
  <c r="AC43" i="33" s="1"/>
  <c r="S28" i="31"/>
  <c r="S27" i="31"/>
  <c r="S26" i="31"/>
  <c r="W23" i="35"/>
  <c r="U26" i="37"/>
  <c r="AC45" i="33"/>
  <c r="U11" i="33"/>
  <c r="U19" i="21"/>
  <c r="F43" i="33"/>
  <c r="AA43" i="33"/>
  <c r="W15" i="34"/>
  <c r="W16" i="35"/>
  <c r="W40" i="37"/>
  <c r="G107" i="37"/>
  <c r="H107" i="37" s="1"/>
  <c r="I107" i="37" s="1"/>
  <c r="J107" i="37" s="1"/>
  <c r="K107" i="37" s="1"/>
  <c r="L107" i="37" s="1"/>
  <c r="M107" i="37" s="1"/>
  <c r="H37" i="21"/>
  <c r="U37" i="21" s="1"/>
  <c r="S42" i="21"/>
  <c r="J9" i="37"/>
  <c r="W9" i="37" s="1"/>
  <c r="H9" i="37"/>
  <c r="U9" i="37" s="1"/>
  <c r="F9" i="37"/>
  <c r="S9" i="37" s="1"/>
  <c r="J12" i="37"/>
  <c r="H12" i="37"/>
  <c r="AB12" i="37" s="1"/>
  <c r="F12" i="37"/>
  <c r="S12" i="37" s="1"/>
  <c r="E71" i="37"/>
  <c r="F71" i="37" s="1"/>
  <c r="G71" i="37" s="1"/>
  <c r="F15" i="37"/>
  <c r="E94" i="37"/>
  <c r="F31" i="37"/>
  <c r="S31" i="37" s="1"/>
  <c r="J44" i="39"/>
  <c r="AC44" i="39" s="1"/>
  <c r="H23" i="40"/>
  <c r="AB23" i="40" s="1"/>
  <c r="F94" i="37"/>
  <c r="G94" i="37" s="1"/>
  <c r="H94" i="37" s="1"/>
  <c r="I94" i="37" s="1"/>
  <c r="J94" i="37" s="1"/>
  <c r="K94" i="37" s="1"/>
  <c r="L94" i="37" s="1"/>
  <c r="M94" i="37" s="1"/>
  <c r="H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494" i="3"/>
  <c r="AZ51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BA379" i="3"/>
  <c r="AZ379" i="3" s="1"/>
  <c r="BL380" i="3"/>
  <c r="AZ380" i="3" s="1"/>
  <c r="G381" i="3"/>
  <c r="BA383" i="3"/>
  <c r="AZ383" i="3" s="1"/>
  <c r="BL384" i="3"/>
  <c r="G385" i="3"/>
  <c r="BA387" i="3"/>
  <c r="BL388" i="3"/>
  <c r="G389" i="3"/>
  <c r="BA391" i="3"/>
  <c r="BL392" i="3"/>
  <c r="G393" i="3"/>
  <c r="BO5" i="3"/>
  <c r="BM5" i="3"/>
  <c r="BJ5" i="3"/>
  <c r="BH5" i="3"/>
  <c r="BF5" i="3"/>
  <c r="BD5" i="3"/>
  <c r="AZ341" i="3"/>
  <c r="AC5" i="3"/>
  <c r="AZ496" i="3"/>
  <c r="G548" i="3"/>
  <c r="G538" i="3"/>
  <c r="G520" i="3"/>
  <c r="G502" i="3"/>
  <c r="BS5" i="3"/>
  <c r="G17" i="3"/>
  <c r="BA17" i="3"/>
  <c r="BA15" i="3"/>
  <c r="BB5" i="3"/>
  <c r="BR5" i="3"/>
  <c r="G509" i="3"/>
  <c r="U38" i="40"/>
  <c r="F83" i="43"/>
  <c r="H85" i="43" s="1"/>
  <c r="F50" i="43"/>
  <c r="H54" i="43" s="1"/>
  <c r="F72" i="43"/>
  <c r="H75" i="43" s="1"/>
  <c r="U19" i="39"/>
  <c r="S14" i="35"/>
  <c r="U43" i="21"/>
  <c r="U35" i="21"/>
  <c r="AC35" i="21"/>
  <c r="AZ563" i="3"/>
  <c r="AZ501" i="3"/>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AC14" i="35"/>
  <c r="H20" i="35"/>
  <c r="U20" i="35"/>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AZ240" i="3"/>
  <c r="F25" i="39"/>
  <c r="H27" i="36"/>
  <c r="U27" i="36" s="1"/>
  <c r="F27" i="36"/>
  <c r="AA27" i="36" s="1"/>
  <c r="H33" i="34"/>
  <c r="U33" i="34" s="1"/>
  <c r="F32" i="37"/>
  <c r="AA32" i="37" s="1"/>
  <c r="F20" i="36"/>
  <c r="AA20" i="36" s="1"/>
  <c r="J33" i="34"/>
  <c r="AC33" i="34" s="1"/>
  <c r="H25" i="39"/>
  <c r="U25" i="39" s="1"/>
  <c r="K9" i="1"/>
  <c r="M9" i="1" s="1"/>
  <c r="K6" i="1"/>
  <c r="AC26" i="33"/>
  <c r="W26" i="33"/>
  <c r="AB34" i="36"/>
  <c r="U34" i="36"/>
  <c r="AB33" i="36"/>
  <c r="U33" i="36"/>
  <c r="AC41" i="40"/>
  <c r="W41" i="40"/>
  <c r="AA32" i="36"/>
  <c r="S32" i="36"/>
  <c r="BL14" i="3"/>
  <c r="AC13" i="34"/>
  <c r="AA47" i="34"/>
  <c r="S21" i="39"/>
  <c r="H14" i="39"/>
  <c r="AB14" i="39" s="1"/>
  <c r="F41" i="40"/>
  <c r="AA41" i="40" s="1"/>
  <c r="BA14" i="3"/>
  <c r="B12" i="1"/>
  <c r="E12" i="1" s="1"/>
  <c r="B10" i="1"/>
  <c r="E10" i="1" s="1"/>
  <c r="K12" i="1"/>
  <c r="M12" i="1" s="1"/>
  <c r="S13" i="1"/>
  <c r="AR13" i="1" s="1"/>
  <c r="R13" i="1"/>
  <c r="J51" i="67"/>
  <c r="AC34" i="33"/>
  <c r="AB39" i="40"/>
  <c r="AC38" i="40"/>
  <c r="S25" i="40"/>
  <c r="AC19" i="40"/>
  <c r="AC17" i="40"/>
  <c r="S32" i="40"/>
  <c r="S30" i="40"/>
  <c r="U23"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S23" i="36"/>
  <c r="U26" i="36"/>
  <c r="S33" i="36"/>
  <c r="AA34" i="36"/>
  <c r="AC26" i="36"/>
  <c r="AA22" i="36"/>
  <c r="W14" i="36"/>
  <c r="AB14" i="36"/>
  <c r="U22" i="36"/>
  <c r="S16" i="36"/>
  <c r="AA25" i="36"/>
  <c r="S24" i="36"/>
  <c r="U23" i="36"/>
  <c r="AB20" i="36"/>
  <c r="S14" i="36"/>
  <c r="AA25" i="35"/>
  <c r="S23" i="35"/>
  <c r="U28" i="35"/>
  <c r="AB27" i="35"/>
  <c r="U32" i="35"/>
  <c r="AA33" i="35"/>
  <c r="AC30" i="35"/>
  <c r="S28" i="35"/>
  <c r="AB16" i="35"/>
  <c r="U22" i="35"/>
  <c r="AC20" i="35"/>
  <c r="S22" i="35"/>
  <c r="U14" i="35"/>
  <c r="AC9" i="35"/>
  <c r="W9" i="35"/>
  <c r="F9" i="35"/>
  <c r="S9" i="35" s="1"/>
  <c r="H9" i="35"/>
  <c r="U9" i="35" s="1"/>
  <c r="AB40" i="37"/>
  <c r="AC29" i="37"/>
  <c r="U29" i="37"/>
  <c r="S32" i="37"/>
  <c r="S36" i="37"/>
  <c r="AA38" i="37"/>
  <c r="AC35" i="37"/>
  <c r="S30" i="37"/>
  <c r="AC15" i="37"/>
  <c r="J17" i="37"/>
  <c r="G73" i="37"/>
  <c r="F17" i="37"/>
  <c r="AA17" i="37" s="1"/>
  <c r="AB17" i="37"/>
  <c r="F75" i="37"/>
  <c r="F19" i="37"/>
  <c r="S19" i="37" s="1"/>
  <c r="F79" i="37"/>
  <c r="G79" i="37" s="1"/>
  <c r="F23" i="37"/>
  <c r="U23" i="37"/>
  <c r="U15" i="37"/>
  <c r="AC13" i="37"/>
  <c r="AA13" i="37"/>
  <c r="H10" i="37"/>
  <c r="AB10" i="37" s="1"/>
  <c r="F63" i="37"/>
  <c r="F11" i="37"/>
  <c r="S11" i="37" s="1"/>
  <c r="AC42" i="34"/>
  <c r="S13" i="34"/>
  <c r="H10" i="34"/>
  <c r="AB10" i="34" s="1"/>
  <c r="F11" i="34"/>
  <c r="S11" i="34" s="1"/>
  <c r="F70" i="34"/>
  <c r="W42" i="33"/>
  <c r="AA35" i="33"/>
  <c r="S32" i="33"/>
  <c r="AA29" i="33"/>
  <c r="AB29"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AC35" i="33" s="1"/>
  <c r="S37" i="33"/>
  <c r="AA37" i="33"/>
  <c r="S39" i="33"/>
  <c r="F101" i="33"/>
  <c r="G101" i="33"/>
  <c r="H101" i="33" s="1"/>
  <c r="I101" i="33" s="1"/>
  <c r="J101" i="33" s="1"/>
  <c r="K101" i="33" s="1"/>
  <c r="L101" i="33" s="1"/>
  <c r="M101" i="33" s="1"/>
  <c r="J32" i="33"/>
  <c r="W43" i="33"/>
  <c r="S43" i="33"/>
  <c r="F91" i="33"/>
  <c r="G91" i="33" s="1"/>
  <c r="H91" i="33" s="1"/>
  <c r="I91" i="33" s="1"/>
  <c r="J91" i="33" s="1"/>
  <c r="K91" i="33" s="1"/>
  <c r="L91" i="33" s="1"/>
  <c r="M91" i="33" s="1"/>
  <c r="H27" i="33"/>
  <c r="H25" i="33"/>
  <c r="AB25" i="33" s="1"/>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s="1"/>
  <c r="F23" i="21"/>
  <c r="S23" i="21" s="1"/>
  <c r="E85" i="21"/>
  <c r="F85" i="21" s="1"/>
  <c r="G85" i="21" s="1"/>
  <c r="AA14" i="21"/>
  <c r="H120" i="9"/>
  <c r="H121" i="9" s="1"/>
  <c r="D7" i="52" s="1"/>
  <c r="C18" i="9"/>
  <c r="F34" i="67"/>
  <c r="F62" i="67" s="1"/>
  <c r="M20" i="67"/>
  <c r="F20" i="15"/>
  <c r="F72" i="15" s="1"/>
  <c r="BA13" i="3"/>
  <c r="BL17" i="3"/>
  <c r="AZ17" i="3" s="1"/>
  <c r="BL13" i="3"/>
  <c r="J56" i="9"/>
  <c r="J57" i="9" s="1"/>
  <c r="J59" i="9" s="1"/>
  <c r="J61" i="9" s="1"/>
  <c r="A24" i="51"/>
  <c r="B18" i="72"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0" i="40"/>
  <c r="W30" i="40"/>
  <c r="W36" i="40"/>
  <c r="W21" i="40"/>
  <c r="S38" i="40"/>
  <c r="W39" i="40"/>
  <c r="AC16" i="40"/>
  <c r="S35" i="40"/>
  <c r="AA17" i="40"/>
  <c r="U13" i="40"/>
  <c r="AB15" i="40"/>
  <c r="U17" i="40"/>
  <c r="AB19" i="40"/>
  <c r="U10" i="40"/>
  <c r="S10" i="40"/>
  <c r="U44" i="39"/>
  <c r="W27" i="39"/>
  <c r="AC27" i="39"/>
  <c r="U15" i="39"/>
  <c r="AB15" i="39"/>
  <c r="AA15" i="39"/>
  <c r="S15" i="39"/>
  <c r="S16" i="39"/>
  <c r="AA16" i="39"/>
  <c r="U45" i="39"/>
  <c r="AB45" i="39"/>
  <c r="W19" i="39"/>
  <c r="AC19" i="39"/>
  <c r="W33" i="39"/>
  <c r="AC33" i="39"/>
  <c r="AA47" i="39"/>
  <c r="W36" i="39"/>
  <c r="U40" i="39"/>
  <c r="S20" i="36"/>
  <c r="AC25" i="36"/>
  <c r="U32" i="36"/>
  <c r="W29" i="36"/>
  <c r="AC20" i="36"/>
  <c r="U25" i="36"/>
  <c r="AB28" i="36"/>
  <c r="AA13" i="36"/>
  <c r="W9" i="36"/>
  <c r="W22" i="36"/>
  <c r="W23" i="36"/>
  <c r="AB20" i="35"/>
  <c r="AC25" i="35"/>
  <c r="S35" i="35"/>
  <c r="W35" i="35"/>
  <c r="AA16" i="35"/>
  <c r="W36" i="37"/>
  <c r="S27" i="37"/>
  <c r="S28" i="37"/>
  <c r="W32" i="37"/>
  <c r="U36" i="37"/>
  <c r="S40" i="37"/>
  <c r="U38" i="37"/>
  <c r="AB37" i="37"/>
  <c r="AC34" i="37"/>
  <c r="AB35" i="37"/>
  <c r="AA31" i="37"/>
  <c r="U19" i="37"/>
  <c r="AA29" i="37"/>
  <c r="U8" i="37"/>
  <c r="AB40" i="34"/>
  <c r="AA31" i="34"/>
  <c r="AB47" i="34"/>
  <c r="U25" i="34"/>
  <c r="AC14" i="34"/>
  <c r="AC32" i="34"/>
  <c r="S32" i="34"/>
  <c r="AA32" i="34"/>
  <c r="U30" i="34"/>
  <c r="AB30" i="34"/>
  <c r="W40" i="34"/>
  <c r="AB9" i="34"/>
  <c r="U9" i="34"/>
  <c r="S46" i="34"/>
  <c r="AA46" i="34"/>
  <c r="U32" i="34"/>
  <c r="AB32" i="34"/>
  <c r="U14" i="34"/>
  <c r="AB14" i="34"/>
  <c r="AB28" i="33"/>
  <c r="AC37" i="33"/>
  <c r="U39" i="33"/>
  <c r="U38" i="33"/>
  <c r="S33" i="33"/>
  <c r="U44" i="33"/>
  <c r="AB44" i="33"/>
  <c r="AC14" i="33"/>
  <c r="W14" i="33"/>
  <c r="S31" i="33"/>
  <c r="AA31" i="33"/>
  <c r="W13" i="33"/>
  <c r="AC13" i="33"/>
  <c r="S11" i="33"/>
  <c r="U37" i="33"/>
  <c r="AC28" i="33"/>
  <c r="S28" i="33"/>
  <c r="W9" i="33"/>
  <c r="AB42" i="21"/>
  <c r="U28" i="21"/>
  <c r="S45" i="21"/>
  <c r="I101" i="21"/>
  <c r="J101" i="21" s="1"/>
  <c r="K101" i="21" s="1"/>
  <c r="L101" i="21" s="1"/>
  <c r="M101" i="21" s="1"/>
  <c r="F33" i="21"/>
  <c r="AA33" i="21" s="1"/>
  <c r="J33" i="21"/>
  <c r="AC33" i="21" s="1"/>
  <c r="H33" i="21"/>
  <c r="AB33" i="21" s="1"/>
  <c r="F37" i="21"/>
  <c r="AA37" i="21" s="1"/>
  <c r="AB14" i="21"/>
  <c r="AB46" i="21"/>
  <c r="U40" i="21"/>
  <c r="AB31" i="21"/>
  <c r="U31" i="21"/>
  <c r="S35" i="21"/>
  <c r="J37" i="21"/>
  <c r="W37" i="21" s="1"/>
  <c r="H15" i="21"/>
  <c r="U15" i="21" s="1"/>
  <c r="J17" i="21"/>
  <c r="W17" i="21" s="1"/>
  <c r="AC19" i="21"/>
  <c r="W39" i="21"/>
  <c r="AC14" i="21"/>
  <c r="H45" i="21"/>
  <c r="F29" i="21"/>
  <c r="AA29" i="21" s="1"/>
  <c r="AC38" i="21"/>
  <c r="H32" i="21"/>
  <c r="U32" i="21" s="1"/>
  <c r="H9" i="21"/>
  <c r="U9" i="21" s="1"/>
  <c r="J9" i="21"/>
  <c r="J32" i="21"/>
  <c r="W32" i="21" s="1"/>
  <c r="F32" i="21"/>
  <c r="S32" i="21" s="1"/>
  <c r="AA31" i="21"/>
  <c r="S19" i="21"/>
  <c r="S9" i="21"/>
  <c r="AA9" i="21"/>
  <c r="K141" i="21"/>
  <c r="K144" i="21"/>
  <c r="K143" i="21"/>
  <c r="U27" i="21"/>
  <c r="AB25" i="21"/>
  <c r="AA30" i="21"/>
  <c r="AC45" i="21"/>
  <c r="F10" i="21"/>
  <c r="AA10" i="21" s="1"/>
  <c r="K145" i="21"/>
  <c r="W25" i="21"/>
  <c r="W31" i="21"/>
  <c r="S27" i="21"/>
  <c r="S17" i="21"/>
  <c r="AA15" i="21"/>
  <c r="AC27" i="21"/>
  <c r="AC26" i="21"/>
  <c r="S28" i="21"/>
  <c r="AC34" i="21"/>
  <c r="AB36" i="21"/>
  <c r="C21" i="39"/>
  <c r="C17" i="40"/>
  <c r="C19" i="40"/>
  <c r="C25" i="40"/>
  <c r="C23" i="40"/>
  <c r="U32" i="40"/>
  <c r="B56" i="43"/>
  <c r="B67" i="43"/>
  <c r="B58" i="43"/>
  <c r="B62" i="43"/>
  <c r="B69" i="43"/>
  <c r="D45" i="15"/>
  <c r="E4" i="4"/>
  <c r="B5" i="62" s="1"/>
  <c r="B73" i="72" s="1"/>
  <c r="C4" i="4"/>
  <c r="S41" i="40"/>
  <c r="J34" i="39"/>
  <c r="AC34" i="39" s="1"/>
  <c r="H34" i="39"/>
  <c r="AB34" i="39" s="1"/>
  <c r="AA34" i="39"/>
  <c r="S34" i="39"/>
  <c r="S17" i="37"/>
  <c r="J19" i="37"/>
  <c r="W19" i="37" s="1"/>
  <c r="G75" i="37"/>
  <c r="AA19" i="37"/>
  <c r="J23" i="37"/>
  <c r="W23" i="37" s="1"/>
  <c r="J10" i="37"/>
  <c r="W10" i="37" s="1"/>
  <c r="G63" i="37"/>
  <c r="H63" i="37" s="1"/>
  <c r="I63" i="37" s="1"/>
  <c r="H11" i="37"/>
  <c r="AB11" i="37" s="1"/>
  <c r="G70" i="34"/>
  <c r="H70" i="34" s="1"/>
  <c r="I70" i="34" s="1"/>
  <c r="J70" i="34" s="1"/>
  <c r="K70" i="34" s="1"/>
  <c r="L70" i="34" s="1"/>
  <c r="M70" i="34" s="1"/>
  <c r="H11" i="34"/>
  <c r="U11" i="34" s="1"/>
  <c r="J10" i="34"/>
  <c r="AC10" i="34" s="1"/>
  <c r="U41" i="33"/>
  <c r="W35" i="33"/>
  <c r="J36" i="33"/>
  <c r="W36" i="33" s="1"/>
  <c r="H36" i="33"/>
  <c r="U36" i="33" s="1"/>
  <c r="U27" i="33"/>
  <c r="AB27" i="33"/>
  <c r="J27" i="33"/>
  <c r="W27" i="33" s="1"/>
  <c r="U25" i="33"/>
  <c r="G87" i="33"/>
  <c r="H87" i="33" s="1"/>
  <c r="I87" i="33" s="1"/>
  <c r="J87" i="33" s="1"/>
  <c r="K87" i="33" s="1"/>
  <c r="L87" i="33" s="1"/>
  <c r="M87" i="33" s="1"/>
  <c r="J25" i="33"/>
  <c r="F23" i="33"/>
  <c r="G85" i="33"/>
  <c r="AA19" i="33"/>
  <c r="H19" i="33"/>
  <c r="G81" i="33"/>
  <c r="H17" i="33"/>
  <c r="U17" i="33" s="1"/>
  <c r="F17" i="33"/>
  <c r="S17" i="33" s="1"/>
  <c r="S37" i="21"/>
  <c r="AA23" i="21"/>
  <c r="J23" i="21"/>
  <c r="AC23" i="21" s="1"/>
  <c r="H23" i="21"/>
  <c r="U23" i="21" s="1"/>
  <c r="AP7" i="1"/>
  <c r="AB9" i="21"/>
  <c r="W9" i="21"/>
  <c r="AC9" i="21"/>
  <c r="U34" i="39"/>
  <c r="J63" i="37"/>
  <c r="K63" i="37" s="1"/>
  <c r="L63" i="37" s="1"/>
  <c r="M63" i="37" s="1"/>
  <c r="J11" i="37"/>
  <c r="AC11" i="37" s="1"/>
  <c r="J11" i="34"/>
  <c r="W11" i="34" s="1"/>
  <c r="AC27" i="33"/>
  <c r="W25" i="33"/>
  <c r="AC25" i="33"/>
  <c r="AB19" i="33"/>
  <c r="U19" i="33"/>
  <c r="H109" i="9"/>
  <c r="H112" i="9"/>
  <c r="D21" i="53" s="1"/>
  <c r="B39" i="72" s="1"/>
  <c r="H111" i="9"/>
  <c r="H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E11" i="76"/>
  <c r="F16" i="67"/>
  <c r="J15" i="67"/>
  <c r="F5" i="73"/>
  <c r="F26" i="15"/>
  <c r="M26" i="67"/>
  <c r="B13" i="76"/>
  <c r="F36" i="67"/>
  <c r="F43" i="67"/>
  <c r="E7" i="76"/>
  <c r="F4" i="73"/>
  <c r="M24" i="15"/>
  <c r="M6" i="67"/>
  <c r="B12" i="76"/>
  <c r="E12" i="76"/>
  <c r="F6" i="73"/>
  <c r="F37" i="67"/>
  <c r="F38" i="15"/>
  <c r="B7" i="76"/>
  <c r="F8" i="15"/>
  <c r="F26" i="67"/>
  <c r="M24" i="67"/>
  <c r="AO13" i="1"/>
  <c r="F28" i="15"/>
  <c r="B8" i="76"/>
  <c r="E8" i="76"/>
  <c r="F40" i="67"/>
  <c r="C76" i="67"/>
  <c r="E9" i="76"/>
  <c r="F8" i="67"/>
  <c r="F3" i="73"/>
  <c r="C71" i="15"/>
  <c r="M29" i="67"/>
  <c r="F13" i="67"/>
  <c r="M8" i="15"/>
  <c r="B11" i="76"/>
  <c r="L47" i="67"/>
  <c r="E13" i="76"/>
  <c r="M6" i="15"/>
  <c r="F7" i="67"/>
  <c r="F38" i="67"/>
  <c r="M8" i="67"/>
  <c r="B9" i="76"/>
  <c r="F7" i="73"/>
  <c r="B10" i="76"/>
  <c r="F42" i="67"/>
  <c r="M22" i="15"/>
  <c r="M23" i="67"/>
  <c r="M9" i="67"/>
  <c r="M22" i="67"/>
  <c r="E10" i="76"/>
  <c r="M28" i="67"/>
  <c r="F20" i="31"/>
  <c r="F7" i="15"/>
  <c r="J17" i="34" l="1"/>
  <c r="W17" i="34" s="1"/>
  <c r="W23" i="34"/>
  <c r="F17" i="34"/>
  <c r="H17" i="34"/>
  <c r="AB17" i="34" s="1"/>
  <c r="AB32" i="21"/>
  <c r="AA25" i="33"/>
  <c r="U45" i="21"/>
  <c r="AB45" i="21"/>
  <c r="U25" i="35"/>
  <c r="U14" i="40"/>
  <c r="S34" i="40"/>
  <c r="AA34" i="40"/>
  <c r="AZ520" i="3"/>
  <c r="AA46" i="33"/>
  <c r="S46" i="33"/>
  <c r="AB30" i="33"/>
  <c r="U30" i="33"/>
  <c r="AC37" i="37"/>
  <c r="W37" i="37"/>
  <c r="AA14" i="34"/>
  <c r="S14" i="34"/>
  <c r="W31" i="33"/>
  <c r="AC31" i="33"/>
  <c r="AA27" i="33"/>
  <c r="S27" i="33"/>
  <c r="U29" i="21"/>
  <c r="AB29" i="21"/>
  <c r="AC13" i="21"/>
  <c r="W13" i="21"/>
  <c r="AA46" i="21"/>
  <c r="S46" i="21"/>
  <c r="AA44" i="21"/>
  <c r="S44" i="21"/>
  <c r="AB15" i="33"/>
  <c r="U15" i="33"/>
  <c r="H13" i="21"/>
  <c r="F13" i="21"/>
  <c r="AC29" i="21"/>
  <c r="W29" i="21"/>
  <c r="J44" i="21"/>
  <c r="H44" i="21"/>
  <c r="H12" i="33"/>
  <c r="U12" i="33" s="1"/>
  <c r="AC30" i="37"/>
  <c r="W30" i="37"/>
  <c r="H14" i="37"/>
  <c r="AB14" i="37" s="1"/>
  <c r="F14" i="37"/>
  <c r="AA14" i="37" s="1"/>
  <c r="J14" i="37"/>
  <c r="J39" i="37"/>
  <c r="F39" i="37"/>
  <c r="S39" i="37" s="1"/>
  <c r="AA10" i="39"/>
  <c r="S10" i="39"/>
  <c r="AB11" i="39"/>
  <c r="U11" i="39"/>
  <c r="J14" i="39"/>
  <c r="F14" i="39"/>
  <c r="J33" i="40"/>
  <c r="W33" i="40" s="1"/>
  <c r="F33" i="40"/>
  <c r="H33" i="40"/>
  <c r="F40" i="40"/>
  <c r="H40" i="40"/>
  <c r="U31" i="37"/>
  <c r="AB31" i="37"/>
  <c r="AA42" i="33"/>
  <c r="S42" i="33"/>
  <c r="AC27" i="37"/>
  <c r="W27" i="37"/>
  <c r="AB13" i="37"/>
  <c r="U13" i="37"/>
  <c r="AC42" i="21"/>
  <c r="W42" i="21"/>
  <c r="AA39" i="40"/>
  <c r="S39" i="40"/>
  <c r="AA39" i="21"/>
  <c r="S39" i="21"/>
  <c r="BA586" i="3"/>
  <c r="BE5" i="3"/>
  <c r="BK5" i="3"/>
  <c r="BA585" i="3"/>
  <c r="B72" i="43"/>
  <c r="C17" i="39"/>
  <c r="B94" i="43"/>
  <c r="B51" i="43"/>
  <c r="B97" i="43"/>
  <c r="B65" i="43"/>
  <c r="B54" i="43"/>
  <c r="AB40" i="33"/>
  <c r="U40" i="33"/>
  <c r="E82" i="34"/>
  <c r="F82" i="34" s="1"/>
  <c r="G82" i="34" s="1"/>
  <c r="J19" i="34"/>
  <c r="AC19" i="34" s="1"/>
  <c r="F19" i="34"/>
  <c r="H19" i="34"/>
  <c r="H28" i="34"/>
  <c r="F28" i="34"/>
  <c r="J28" i="34"/>
  <c r="F90" i="34"/>
  <c r="G90" i="34" s="1"/>
  <c r="H90" i="34" s="1"/>
  <c r="I90" i="34" s="1"/>
  <c r="J90" i="34" s="1"/>
  <c r="K90" i="34" s="1"/>
  <c r="L90" i="34" s="1"/>
  <c r="M90" i="34" s="1"/>
  <c r="H27" i="34"/>
  <c r="AB27" i="34" s="1"/>
  <c r="AA32" i="35"/>
  <c r="S32" i="35"/>
  <c r="W12" i="33"/>
  <c r="AC12" i="33"/>
  <c r="F30" i="33"/>
  <c r="J30" i="33"/>
  <c r="H46" i="33"/>
  <c r="AB46" i="33" s="1"/>
  <c r="J46" i="33"/>
  <c r="H29" i="34"/>
  <c r="J29" i="34"/>
  <c r="F29" i="34"/>
  <c r="H45" i="34"/>
  <c r="J45" i="34"/>
  <c r="F13" i="35"/>
  <c r="J13" i="35"/>
  <c r="J24" i="35"/>
  <c r="H24" i="35"/>
  <c r="AB36" i="35"/>
  <c r="U36" i="35"/>
  <c r="AA37" i="37"/>
  <c r="S37" i="37"/>
  <c r="AC38" i="37"/>
  <c r="W38" i="37"/>
  <c r="AC28" i="37"/>
  <c r="W28" i="37"/>
  <c r="U13" i="35"/>
  <c r="AB13" i="35"/>
  <c r="S30" i="34"/>
  <c r="AA30" i="34"/>
  <c r="AC30" i="21"/>
  <c r="W30" i="21"/>
  <c r="U38" i="21"/>
  <c r="AB38" i="21"/>
  <c r="W8" i="33"/>
  <c r="W17" i="33"/>
  <c r="AC17" i="33"/>
  <c r="U23" i="33"/>
  <c r="AB23" i="33"/>
  <c r="W17" i="37"/>
  <c r="AC17" i="37"/>
  <c r="F12" i="33"/>
  <c r="AZ143" i="3"/>
  <c r="AZ127" i="3"/>
  <c r="S26" i="36"/>
  <c r="AA26" i="36"/>
  <c r="AB17" i="21"/>
  <c r="U17" i="21"/>
  <c r="AA15" i="40"/>
  <c r="S15" i="40"/>
  <c r="AC47" i="34"/>
  <c r="W47" i="34"/>
  <c r="F45" i="34"/>
  <c r="AC44" i="33"/>
  <c r="W44" i="33"/>
  <c r="AB13" i="36"/>
  <c r="U13" i="36"/>
  <c r="S11" i="35"/>
  <c r="AA11" i="35"/>
  <c r="W46" i="34"/>
  <c r="AC46" i="34"/>
  <c r="AB16" i="36"/>
  <c r="U16" i="36"/>
  <c r="AC38" i="33"/>
  <c r="W38" i="33"/>
  <c r="AA32" i="21"/>
  <c r="AC32" i="33"/>
  <c r="W32" i="33"/>
  <c r="S23" i="37"/>
  <c r="AA23" i="37"/>
  <c r="S37" i="40"/>
  <c r="AA25" i="39"/>
  <c r="S25" i="39"/>
  <c r="U34" i="33"/>
  <c r="AB34" i="33"/>
  <c r="AZ381" i="3"/>
  <c r="AZ179" i="3"/>
  <c r="AA15" i="37"/>
  <c r="S15" i="37"/>
  <c r="W12" i="37"/>
  <c r="AC12" i="37"/>
  <c r="F36" i="35"/>
  <c r="F24" i="35"/>
  <c r="S35" i="37"/>
  <c r="AA35" i="37"/>
  <c r="AC29" i="35"/>
  <c r="W29" i="35"/>
  <c r="U29" i="39"/>
  <c r="AB29" i="39"/>
  <c r="F102" i="39"/>
  <c r="G102" i="39" s="1"/>
  <c r="J29" i="39"/>
  <c r="W29" i="39" s="1"/>
  <c r="S26" i="21"/>
  <c r="AA26" i="21"/>
  <c r="AZ366" i="3"/>
  <c r="AZ345" i="3"/>
  <c r="AZ339" i="3"/>
  <c r="AZ305" i="3"/>
  <c r="AZ203" i="3"/>
  <c r="AZ183" i="3"/>
  <c r="AZ376" i="3"/>
  <c r="AZ324" i="3"/>
  <c r="AZ309" i="3"/>
  <c r="AZ549" i="3"/>
  <c r="AZ521" i="3"/>
  <c r="AZ527" i="3"/>
  <c r="AZ553" i="3"/>
  <c r="S20" i="35"/>
  <c r="AZ372" i="3"/>
  <c r="AZ356" i="3"/>
  <c r="AZ344" i="3"/>
  <c r="AZ135" i="3"/>
  <c r="AZ378" i="3"/>
  <c r="AZ375" i="3"/>
  <c r="AZ360" i="3"/>
  <c r="AA13" i="33"/>
  <c r="AZ515" i="3"/>
  <c r="AZ525" i="3"/>
  <c r="AZ569" i="3"/>
  <c r="AZ577" i="3"/>
  <c r="AZ504" i="3"/>
  <c r="S11" i="36"/>
  <c r="U32" i="37"/>
  <c r="AA34" i="33"/>
  <c r="AA14" i="40"/>
  <c r="AZ369" i="3"/>
  <c r="AZ326" i="3"/>
  <c r="AZ390" i="3"/>
  <c r="AZ371" i="3"/>
  <c r="AZ351" i="3"/>
  <c r="AZ306" i="3"/>
  <c r="AZ511" i="3"/>
  <c r="AZ565" i="3"/>
  <c r="AZ503" i="3"/>
  <c r="AZ564" i="3"/>
  <c r="AZ580" i="3"/>
  <c r="F12" i="34"/>
  <c r="S12" i="34" s="1"/>
  <c r="J27" i="34"/>
  <c r="W27" i="34" s="1"/>
  <c r="G556" i="3"/>
  <c r="G398" i="3"/>
  <c r="G399" i="3"/>
  <c r="BA400" i="3"/>
  <c r="AZ400" i="3" s="1"/>
  <c r="BA406" i="3"/>
  <c r="AZ406" i="3" s="1"/>
  <c r="BL409" i="3"/>
  <c r="BL413" i="3"/>
  <c r="G415" i="3"/>
  <c r="BL423" i="3"/>
  <c r="G426" i="3"/>
  <c r="G431" i="3"/>
  <c r="BL440" i="3"/>
  <c r="BA442" i="3"/>
  <c r="BL443" i="3"/>
  <c r="BA444" i="3"/>
  <c r="AZ444" i="3" s="1"/>
  <c r="G448" i="3"/>
  <c r="G449" i="3"/>
  <c r="BL449" i="3"/>
  <c r="G454" i="3"/>
  <c r="G455" i="3"/>
  <c r="BA457" i="3"/>
  <c r="G460" i="3"/>
  <c r="BA464" i="3"/>
  <c r="G467" i="3"/>
  <c r="BL472" i="3"/>
  <c r="G489" i="3"/>
  <c r="G490" i="3"/>
  <c r="BA331" i="3"/>
  <c r="AZ331" i="3" s="1"/>
  <c r="BA335" i="3"/>
  <c r="AZ335" i="3" s="1"/>
  <c r="BA339" i="3"/>
  <c r="BL367" i="3"/>
  <c r="BL375" i="3"/>
  <c r="BL386" i="3"/>
  <c r="G392" i="3"/>
  <c r="G396" i="3"/>
  <c r="G214" i="3"/>
  <c r="G215" i="3"/>
  <c r="BL215" i="3"/>
  <c r="G220" i="3"/>
  <c r="BA224" i="3"/>
  <c r="AZ224" i="3" s="1"/>
  <c r="BL227" i="3"/>
  <c r="BL230" i="3"/>
  <c r="BA245" i="3"/>
  <c r="AZ245" i="3" s="1"/>
  <c r="BL245" i="3"/>
  <c r="BL257" i="3"/>
  <c r="AZ257" i="3" s="1"/>
  <c r="BL258" i="3"/>
  <c r="BA270" i="3"/>
  <c r="BL290" i="3"/>
  <c r="BA126" i="3"/>
  <c r="BL400" i="3"/>
  <c r="G408" i="3"/>
  <c r="BL412" i="3"/>
  <c r="G413" i="3"/>
  <c r="G418" i="3"/>
  <c r="BA419" i="3"/>
  <c r="BA420" i="3"/>
  <c r="BA422" i="3"/>
  <c r="AZ422" i="3" s="1"/>
  <c r="BL430" i="3"/>
  <c r="BA431" i="3"/>
  <c r="G438" i="3"/>
  <c r="BL438" i="3"/>
  <c r="BL439" i="3"/>
  <c r="BL451" i="3"/>
  <c r="G452" i="3"/>
  <c r="G453" i="3"/>
  <c r="BA459" i="3"/>
  <c r="BA463" i="3"/>
  <c r="G466" i="3"/>
  <c r="BA467" i="3"/>
  <c r="BA468" i="3"/>
  <c r="BL469" i="3"/>
  <c r="G470" i="3"/>
  <c r="G471" i="3"/>
  <c r="BL471" i="3"/>
  <c r="BA473" i="3"/>
  <c r="BA476" i="3"/>
  <c r="BL480" i="3"/>
  <c r="G482" i="3"/>
  <c r="BL487" i="3"/>
  <c r="AZ487" i="3" s="1"/>
  <c r="BA489" i="3"/>
  <c r="BL491" i="3"/>
  <c r="BL492" i="3"/>
  <c r="G307" i="3"/>
  <c r="BA315" i="3"/>
  <c r="AZ315" i="3" s="1"/>
  <c r="BA319" i="3"/>
  <c r="AZ319" i="3" s="1"/>
  <c r="BL324" i="3"/>
  <c r="BL328" i="3"/>
  <c r="AZ328" i="3" s="1"/>
  <c r="G329" i="3"/>
  <c r="G349" i="3"/>
  <c r="BL359" i="3"/>
  <c r="AZ359" i="3" s="1"/>
  <c r="BA366" i="3"/>
  <c r="BL385" i="3"/>
  <c r="BA392" i="3"/>
  <c r="AZ392" i="3" s="1"/>
  <c r="BL395" i="3"/>
  <c r="G209" i="3"/>
  <c r="BA214" i="3"/>
  <c r="BL216" i="3"/>
  <c r="G218" i="3"/>
  <c r="BA222" i="3"/>
  <c r="AZ222" i="3" s="1"/>
  <c r="G225" i="3"/>
  <c r="BA226" i="3"/>
  <c r="BA233" i="3"/>
  <c r="G235" i="3"/>
  <c r="BA242" i="3"/>
  <c r="AZ242" i="3" s="1"/>
  <c r="BL252" i="3"/>
  <c r="BL255" i="3"/>
  <c r="G257" i="3"/>
  <c r="BA262" i="3"/>
  <c r="AZ262" i="3" s="1"/>
  <c r="BA265" i="3"/>
  <c r="BL267" i="3"/>
  <c r="BL298" i="3"/>
  <c r="BL139" i="3"/>
  <c r="AZ139" i="3" s="1"/>
  <c r="A15" i="62"/>
  <c r="B61" i="72" s="1"/>
  <c r="D51" i="71"/>
  <c r="C52" i="71"/>
  <c r="N67" i="71"/>
  <c r="B66" i="71"/>
  <c r="BA402" i="3"/>
  <c r="AZ402" i="3" s="1"/>
  <c r="G407" i="3"/>
  <c r="BA407" i="3"/>
  <c r="G410" i="3"/>
  <c r="G411" i="3"/>
  <c r="BL411" i="3"/>
  <c r="BA413" i="3"/>
  <c r="AZ413" i="3" s="1"/>
  <c r="BL419" i="3"/>
  <c r="G420" i="3"/>
  <c r="BA424" i="3"/>
  <c r="BL431" i="3"/>
  <c r="BL446" i="3"/>
  <c r="G451" i="3"/>
  <c r="BA451" i="3"/>
  <c r="BA458" i="3"/>
  <c r="BA462" i="3"/>
  <c r="BL465" i="3"/>
  <c r="G469" i="3"/>
  <c r="BA469" i="3"/>
  <c r="AZ469" i="3" s="1"/>
  <c r="BL476" i="3"/>
  <c r="BL477" i="3"/>
  <c r="BL478" i="3"/>
  <c r="BA480" i="3"/>
  <c r="AZ480" i="3" s="1"/>
  <c r="BA488" i="3"/>
  <c r="AZ488" i="3" s="1"/>
  <c r="BL490" i="3"/>
  <c r="BL340" i="3"/>
  <c r="AZ340" i="3" s="1"/>
  <c r="BA348" i="3"/>
  <c r="BA350" i="3"/>
  <c r="AZ350" i="3" s="1"/>
  <c r="BA354" i="3"/>
  <c r="BL381" i="3"/>
  <c r="BA385" i="3"/>
  <c r="BL211" i="3"/>
  <c r="BA212" i="3"/>
  <c r="BL219" i="3"/>
  <c r="G228" i="3"/>
  <c r="BA231" i="3"/>
  <c r="BA235" i="3"/>
  <c r="BA237" i="3"/>
  <c r="AZ237" i="3" s="1"/>
  <c r="BL254" i="3"/>
  <c r="BA255" i="3"/>
  <c r="BL259" i="3"/>
  <c r="X34" i="71"/>
  <c r="G266" i="3"/>
  <c r="BL266" i="3"/>
  <c r="G269" i="3"/>
  <c r="G270" i="3"/>
  <c r="BA271" i="3"/>
  <c r="BL271" i="3"/>
  <c r="BA275" i="3"/>
  <c r="BL278" i="3"/>
  <c r="BA279" i="3"/>
  <c r="G286" i="3"/>
  <c r="BA291" i="3"/>
  <c r="BL291" i="3"/>
  <c r="G292" i="3"/>
  <c r="G302" i="3"/>
  <c r="BA116" i="3"/>
  <c r="AZ116" i="3" s="1"/>
  <c r="BA121" i="3"/>
  <c r="AZ121" i="3" s="1"/>
  <c r="BL121" i="3"/>
  <c r="BA125" i="3"/>
  <c r="BL127" i="3"/>
  <c r="G128" i="3"/>
  <c r="BA129" i="3"/>
  <c r="BA134" i="3"/>
  <c r="G138" i="3"/>
  <c r="G146" i="3"/>
  <c r="G159" i="3"/>
  <c r="BL163" i="3"/>
  <c r="AZ163" i="3" s="1"/>
  <c r="BA168" i="3"/>
  <c r="AZ168" i="3" s="1"/>
  <c r="BA177" i="3"/>
  <c r="AZ177" i="3" s="1"/>
  <c r="BL179" i="3"/>
  <c r="G180" i="3"/>
  <c r="BL183" i="3"/>
  <c r="BA186" i="3"/>
  <c r="AZ186" i="3" s="1"/>
  <c r="BA190" i="3"/>
  <c r="BL198" i="3"/>
  <c r="G199" i="3"/>
  <c r="BL201" i="3"/>
  <c r="AZ201" i="3" s="1"/>
  <c r="BL203" i="3"/>
  <c r="BA204" i="3"/>
  <c r="AZ204" i="3" s="1"/>
  <c r="G21" i="3"/>
  <c r="BL21" i="3"/>
  <c r="G23" i="3"/>
  <c r="G26" i="3"/>
  <c r="G27" i="3"/>
  <c r="G31" i="3"/>
  <c r="BL35" i="3"/>
  <c r="G37" i="3"/>
  <c r="BA42" i="3"/>
  <c r="BA55" i="3"/>
  <c r="G62" i="3"/>
  <c r="G68" i="3"/>
  <c r="BA71" i="3"/>
  <c r="G73" i="3"/>
  <c r="BL77" i="3"/>
  <c r="G80" i="3"/>
  <c r="G81" i="3"/>
  <c r="BL88" i="3"/>
  <c r="G90" i="3"/>
  <c r="BL90" i="3"/>
  <c r="BA94" i="3"/>
  <c r="G96" i="3"/>
  <c r="BA97" i="3"/>
  <c r="G102" i="3"/>
  <c r="BL110" i="3"/>
  <c r="AC21" i="33"/>
  <c r="C31" i="71"/>
  <c r="Y35" i="71"/>
  <c r="Z35" i="71" s="1"/>
  <c r="B75" i="71"/>
  <c r="B74" i="71" s="1"/>
  <c r="BL141" i="3"/>
  <c r="BL143" i="3"/>
  <c r="BL154" i="3"/>
  <c r="BL161" i="3"/>
  <c r="BL173" i="3"/>
  <c r="BL177" i="3"/>
  <c r="BA189" i="3"/>
  <c r="BA207" i="3"/>
  <c r="BL24" i="3"/>
  <c r="BL29" i="3"/>
  <c r="BL34" i="3"/>
  <c r="BL39" i="3"/>
  <c r="BA40" i="3"/>
  <c r="BA50" i="3"/>
  <c r="BL52" i="3"/>
  <c r="BL53" i="3"/>
  <c r="BA63" i="3"/>
  <c r="BA70" i="3"/>
  <c r="BL76" i="3"/>
  <c r="BL82" i="3"/>
  <c r="BA84" i="3"/>
  <c r="BL92" i="3"/>
  <c r="BL100" i="3"/>
  <c r="BA101" i="3"/>
  <c r="BL103" i="3"/>
  <c r="AB26" i="71"/>
  <c r="Y28" i="71"/>
  <c r="Z28" i="71" s="1"/>
  <c r="AB32" i="71"/>
  <c r="AA35" i="71"/>
  <c r="AA38" i="71"/>
  <c r="F75" i="71"/>
  <c r="F74" i="71" s="1"/>
  <c r="G268" i="3"/>
  <c r="BA268" i="3"/>
  <c r="BA273" i="3"/>
  <c r="BL280" i="3"/>
  <c r="G289" i="3"/>
  <c r="G290" i="3"/>
  <c r="G295" i="3"/>
  <c r="BA296" i="3"/>
  <c r="G299" i="3"/>
  <c r="G126" i="3"/>
  <c r="BA132" i="3"/>
  <c r="AZ132" i="3" s="1"/>
  <c r="BL133" i="3"/>
  <c r="AZ133" i="3" s="1"/>
  <c r="BL135" i="3"/>
  <c r="G143" i="3"/>
  <c r="G150" i="3"/>
  <c r="G154" i="3"/>
  <c r="BA157" i="3"/>
  <c r="AZ157" i="3" s="1"/>
  <c r="BL166" i="3"/>
  <c r="G167" i="3"/>
  <c r="G172" i="3"/>
  <c r="BL186" i="3"/>
  <c r="BA188" i="3"/>
  <c r="AZ188" i="3" s="1"/>
  <c r="BL195" i="3"/>
  <c r="AZ195" i="3" s="1"/>
  <c r="G196" i="3"/>
  <c r="BA197" i="3"/>
  <c r="BL205" i="3"/>
  <c r="BL23" i="3"/>
  <c r="G28" i="3"/>
  <c r="BA36" i="3"/>
  <c r="BL38" i="3"/>
  <c r="G42" i="3"/>
  <c r="G43" i="3"/>
  <c r="BA43" i="3"/>
  <c r="G48" i="3"/>
  <c r="BA62" i="3"/>
  <c r="BL64" i="3"/>
  <c r="G71" i="3"/>
  <c r="G72" i="3"/>
  <c r="G76" i="3"/>
  <c r="BA77" i="3"/>
  <c r="AZ77" i="3" s="1"/>
  <c r="G82" i="3"/>
  <c r="BA88" i="3"/>
  <c r="AZ88" i="3" s="1"/>
  <c r="G92" i="3"/>
  <c r="BA95" i="3"/>
  <c r="BL99" i="3"/>
  <c r="BA105" i="3"/>
  <c r="G112" i="3"/>
  <c r="BL112" i="3"/>
  <c r="S21" i="37"/>
  <c r="C31" i="39"/>
  <c r="C78" i="71"/>
  <c r="D78" i="71" s="1"/>
  <c r="O67" i="71"/>
  <c r="C28" i="71"/>
  <c r="T28" i="71" s="1"/>
  <c r="X35" i="71"/>
  <c r="X26" i="71"/>
  <c r="Y29" i="71"/>
  <c r="Z29" i="71" s="1"/>
  <c r="X31" i="71"/>
  <c r="X32" i="71"/>
  <c r="Y38" i="71"/>
  <c r="Z38" i="71" s="1"/>
  <c r="B43" i="71"/>
  <c r="B44" i="71" s="1"/>
  <c r="S44" i="71" s="1"/>
  <c r="E47" i="71"/>
  <c r="E48" i="71" s="1"/>
  <c r="U48" i="71" s="1"/>
  <c r="W8" i="34"/>
  <c r="S23" i="34"/>
  <c r="AB23" i="34"/>
  <c r="S21" i="34"/>
  <c r="W19" i="34"/>
  <c r="AC17" i="34"/>
  <c r="U15" i="34"/>
  <c r="AB8" i="34"/>
  <c r="S8" i="34"/>
  <c r="F44" i="34"/>
  <c r="S44" i="34" s="1"/>
  <c r="J44" i="34"/>
  <c r="AC44" i="34" s="1"/>
  <c r="J41" i="34"/>
  <c r="AC41" i="34" s="1"/>
  <c r="H41" i="34"/>
  <c r="U41" i="34" s="1"/>
  <c r="F41" i="34"/>
  <c r="S41" i="34" s="1"/>
  <c r="U38" i="34"/>
  <c r="AA38" i="34"/>
  <c r="J37" i="34"/>
  <c r="AC37" i="34" s="1"/>
  <c r="F37" i="34"/>
  <c r="AA37" i="34" s="1"/>
  <c r="W44" i="34"/>
  <c r="AA40" i="34"/>
  <c r="W43" i="34"/>
  <c r="S35" i="34"/>
  <c r="U34" i="34"/>
  <c r="U39" i="34"/>
  <c r="AC39" i="34"/>
  <c r="S43" i="34"/>
  <c r="AB43" i="34"/>
  <c r="AA36" i="34"/>
  <c r="AB36" i="34"/>
  <c r="AC36" i="34"/>
  <c r="AB35" i="34"/>
  <c r="AC35" i="34"/>
  <c r="W33" i="34"/>
  <c r="AB33" i="34"/>
  <c r="AA33" i="34"/>
  <c r="AA25" i="34"/>
  <c r="W25" i="34"/>
  <c r="F6" i="1"/>
  <c r="AS6" i="1" s="1"/>
  <c r="J1" i="73"/>
  <c r="W23" i="21"/>
  <c r="AA17" i="33"/>
  <c r="AC23" i="37"/>
  <c r="AB23" i="21"/>
  <c r="W34" i="39"/>
  <c r="AB15" i="21"/>
  <c r="AC17" i="21"/>
  <c r="AC15" i="21"/>
  <c r="U14" i="39"/>
  <c r="AZ391" i="3"/>
  <c r="AZ313" i="3"/>
  <c r="AZ394" i="3"/>
  <c r="AZ547" i="3"/>
  <c r="AZ529" i="3"/>
  <c r="AZ537" i="3"/>
  <c r="AZ518" i="3"/>
  <c r="AZ556" i="3"/>
  <c r="AB30" i="21"/>
  <c r="AA44" i="34"/>
  <c r="S29" i="35"/>
  <c r="AA29" i="35"/>
  <c r="S12" i="36"/>
  <c r="AA12" i="36"/>
  <c r="AB38" i="39"/>
  <c r="U38" i="39"/>
  <c r="AZ419" i="3"/>
  <c r="AZ322" i="3"/>
  <c r="AZ347" i="3"/>
  <c r="AZ557" i="3"/>
  <c r="AZ513" i="3"/>
  <c r="AZ575" i="3"/>
  <c r="AB46" i="34"/>
  <c r="AB26" i="33"/>
  <c r="U46" i="33"/>
  <c r="S14" i="37"/>
  <c r="S44" i="33"/>
  <c r="AA44" i="33"/>
  <c r="AC33" i="40"/>
  <c r="AA40" i="40"/>
  <c r="S40" i="40"/>
  <c r="AZ387" i="3"/>
  <c r="AZ338" i="3"/>
  <c r="AZ311" i="3"/>
  <c r="AZ364" i="3"/>
  <c r="AZ329" i="3"/>
  <c r="AZ304" i="3"/>
  <c r="AZ571" i="3"/>
  <c r="AZ579" i="3"/>
  <c r="BA398" i="3"/>
  <c r="BA399" i="3"/>
  <c r="AZ399" i="3" s="1"/>
  <c r="BL401" i="3"/>
  <c r="BL404" i="3"/>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A441" i="3"/>
  <c r="AZ441" i="3" s="1"/>
  <c r="F26" i="33"/>
  <c r="BL587" i="3"/>
  <c r="AZ587" i="3" s="1"/>
  <c r="BL586" i="3"/>
  <c r="AZ586" i="3" s="1"/>
  <c r="J9" i="34"/>
  <c r="H12" i="34"/>
  <c r="J36" i="35"/>
  <c r="AC36" i="35" s="1"/>
  <c r="J40" i="40"/>
  <c r="G551" i="3"/>
  <c r="BL550" i="3"/>
  <c r="G542" i="3"/>
  <c r="BA401" i="3"/>
  <c r="BA403" i="3"/>
  <c r="AZ403" i="3" s="1"/>
  <c r="BA404" i="3"/>
  <c r="AZ404" i="3" s="1"/>
  <c r="BA405" i="3"/>
  <c r="BL410" i="3"/>
  <c r="G412" i="3"/>
  <c r="AZ531" i="3"/>
  <c r="AZ573" i="3"/>
  <c r="AZ583" i="3"/>
  <c r="AZ568" i="3"/>
  <c r="AZ576" i="3"/>
  <c r="S46" i="39"/>
  <c r="AC12" i="34"/>
  <c r="H39" i="37"/>
  <c r="U35" i="33"/>
  <c r="W22" i="35"/>
  <c r="W28" i="36"/>
  <c r="W25" i="37"/>
  <c r="G587" i="3"/>
  <c r="W41" i="33"/>
  <c r="J12" i="35"/>
  <c r="H12" i="36"/>
  <c r="F25" i="37"/>
  <c r="G574" i="3"/>
  <c r="BL16" i="3"/>
  <c r="AZ16" i="3" s="1"/>
  <c r="BL417" i="3"/>
  <c r="BL418" i="3"/>
  <c r="BL420" i="3"/>
  <c r="G423" i="3"/>
  <c r="BL424" i="3"/>
  <c r="G427" i="3"/>
  <c r="BL428" i="3"/>
  <c r="BL429" i="3"/>
  <c r="BL432" i="3"/>
  <c r="BL435" i="3"/>
  <c r="BL436" i="3"/>
  <c r="BA439" i="3"/>
  <c r="BA440" i="3"/>
  <c r="AZ440" i="3" s="1"/>
  <c r="BA443" i="3"/>
  <c r="AZ443" i="3" s="1"/>
  <c r="BL445" i="3"/>
  <c r="AZ458" i="3"/>
  <c r="AZ462" i="3"/>
  <c r="W39" i="33"/>
  <c r="BL585" i="3"/>
  <c r="B75" i="43"/>
  <c r="AC31" i="35"/>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L441" i="3"/>
  <c r="BL442" i="3"/>
  <c r="BA436" i="3"/>
  <c r="BA438" i="3"/>
  <c r="G442" i="3"/>
  <c r="G443" i="3"/>
  <c r="BA446" i="3"/>
  <c r="BA450" i="3"/>
  <c r="BA453" i="3"/>
  <c r="BA455" i="3"/>
  <c r="AZ455" i="3" s="1"/>
  <c r="BL457" i="3"/>
  <c r="AZ457" i="3" s="1"/>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G271" i="3"/>
  <c r="BA274" i="3"/>
  <c r="BL274" i="3"/>
  <c r="G279" i="3"/>
  <c r="BA281" i="3"/>
  <c r="BA286" i="3"/>
  <c r="AZ286" i="3" s="1"/>
  <c r="G291" i="3"/>
  <c r="BA301" i="3"/>
  <c r="BL448" i="3"/>
  <c r="AZ448" i="3" s="1"/>
  <c r="G450" i="3"/>
  <c r="BA454" i="3"/>
  <c r="BA460" i="3"/>
  <c r="BA461" i="3"/>
  <c r="BL464" i="3"/>
  <c r="AZ464" i="3" s="1"/>
  <c r="BL466" i="3"/>
  <c r="AZ466" i="3" s="1"/>
  <c r="G468" i="3"/>
  <c r="BA483" i="3"/>
  <c r="BL483" i="3"/>
  <c r="BA486" i="3"/>
  <c r="BL489" i="3"/>
  <c r="BA333" i="3"/>
  <c r="BL346" i="3"/>
  <c r="AZ346" i="3" s="1"/>
  <c r="BA384" i="3"/>
  <c r="AZ384" i="3" s="1"/>
  <c r="BA395" i="3"/>
  <c r="AZ395" i="3" s="1"/>
  <c r="BA208" i="3"/>
  <c r="AZ208" i="3" s="1"/>
  <c r="BA211" i="3"/>
  <c r="AZ211" i="3" s="1"/>
  <c r="BL213" i="3"/>
  <c r="BL450" i="3"/>
  <c r="BL452" i="3"/>
  <c r="BL456"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BA218" i="3"/>
  <c r="BL218" i="3"/>
  <c r="BL220" i="3"/>
  <c r="BL221" i="3"/>
  <c r="G222" i="3"/>
  <c r="BL223" i="3"/>
  <c r="G224" i="3"/>
  <c r="BA227" i="3"/>
  <c r="BA229" i="3"/>
  <c r="BL229" i="3"/>
  <c r="BL231" i="3"/>
  <c r="BL233" i="3"/>
  <c r="AZ233" i="3" s="1"/>
  <c r="BL235" i="3"/>
  <c r="AZ235" i="3" s="1"/>
  <c r="BL236" i="3"/>
  <c r="BL238" i="3"/>
  <c r="BL243" i="3"/>
  <c r="BA247" i="3"/>
  <c r="BL247" i="3"/>
  <c r="BA249" i="3"/>
  <c r="AZ249" i="3" s="1"/>
  <c r="BL249" i="3"/>
  <c r="BA251" i="3"/>
  <c r="BL251" i="3"/>
  <c r="BA253" i="3"/>
  <c r="BL260" i="3"/>
  <c r="G262" i="3"/>
  <c r="G263" i="3"/>
  <c r="BL264" i="3"/>
  <c r="BA267" i="3"/>
  <c r="AZ267" i="3" s="1"/>
  <c r="BA269" i="3"/>
  <c r="AZ269" i="3" s="1"/>
  <c r="G276" i="3"/>
  <c r="BA277" i="3"/>
  <c r="AZ277" i="3" s="1"/>
  <c r="BL277" i="3"/>
  <c r="BA280" i="3"/>
  <c r="AZ280" i="3" s="1"/>
  <c r="BA283" i="3"/>
  <c r="BA445" i="3"/>
  <c r="BA447" i="3"/>
  <c r="AZ447" i="3" s="1"/>
  <c r="BA449" i="3"/>
  <c r="BL453" i="3"/>
  <c r="BL454" i="3"/>
  <c r="G458" i="3"/>
  <c r="BL459" i="3"/>
  <c r="AZ459" i="3" s="1"/>
  <c r="G462" i="3"/>
  <c r="BA465" i="3"/>
  <c r="AZ465" i="3" s="1"/>
  <c r="BL475" i="3"/>
  <c r="BA477" i="3"/>
  <c r="BA478" i="3"/>
  <c r="BA481" i="3"/>
  <c r="G484" i="3"/>
  <c r="BA491" i="3"/>
  <c r="AZ491" i="3" s="1"/>
  <c r="BA397" i="3"/>
  <c r="BL397" i="3"/>
  <c r="BA210" i="3"/>
  <c r="BL210" i="3"/>
  <c r="BL212" i="3"/>
  <c r="BL214" i="3"/>
  <c r="AZ214" i="3" s="1"/>
  <c r="BL225" i="3"/>
  <c r="BL226" i="3"/>
  <c r="BA239" i="3"/>
  <c r="BL239" i="3"/>
  <c r="BA241" i="3"/>
  <c r="BL241" i="3"/>
  <c r="BA244" i="3"/>
  <c r="BL244" i="3"/>
  <c r="BA246" i="3"/>
  <c r="BA252" i="3"/>
  <c r="AZ252" i="3" s="1"/>
  <c r="BA254" i="3"/>
  <c r="BA256" i="3"/>
  <c r="AZ256" i="3" s="1"/>
  <c r="BL256" i="3"/>
  <c r="BA258" i="3"/>
  <c r="BA263" i="3"/>
  <c r="BL265" i="3"/>
  <c r="AZ265" i="3" s="1"/>
  <c r="BL272" i="3"/>
  <c r="BL273" i="3"/>
  <c r="AZ273" i="3" s="1"/>
  <c r="G274" i="3"/>
  <c r="BA276" i="3"/>
  <c r="BA278" i="3"/>
  <c r="BA282" i="3"/>
  <c r="BL282" i="3"/>
  <c r="BA288" i="3"/>
  <c r="BA37" i="3"/>
  <c r="G39" i="3"/>
  <c r="BL47" i="3"/>
  <c r="AZ47" i="3" s="1"/>
  <c r="G49" i="3"/>
  <c r="G52" i="3"/>
  <c r="BA52" i="3"/>
  <c r="AZ52" i="3" s="1"/>
  <c r="C32" i="71"/>
  <c r="D31" i="71"/>
  <c r="D46" i="71"/>
  <c r="C47" i="71"/>
  <c r="D47" i="71" s="1"/>
  <c r="C64" i="71"/>
  <c r="D63" i="71"/>
  <c r="V24" i="71"/>
  <c r="E23" i="71"/>
  <c r="E22" i="71" s="1"/>
  <c r="E21" i="71" s="1"/>
  <c r="E20" i="71" s="1"/>
  <c r="BL283" i="3"/>
  <c r="BL284" i="3"/>
  <c r="AZ284" i="3" s="1"/>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BL20" i="3"/>
  <c r="BA21" i="3"/>
  <c r="BA25" i="3"/>
  <c r="BA26" i="3"/>
  <c r="BL28" i="3"/>
  <c r="BA29" i="3"/>
  <c r="AZ29" i="3" s="1"/>
  <c r="BA39" i="3"/>
  <c r="AZ39" i="3" s="1"/>
  <c r="BL48" i="3"/>
  <c r="C55" i="71"/>
  <c r="D54" i="71"/>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AZ31" i="3" s="1"/>
  <c r="BA32" i="3"/>
  <c r="G38" i="3"/>
  <c r="BA38" i="3"/>
  <c r="BA41" i="3"/>
  <c r="BL57" i="3"/>
  <c r="AZ57" i="3" s="1"/>
  <c r="G59" i="3"/>
  <c r="AZ64" i="3"/>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G22" i="3"/>
  <c r="G24" i="3"/>
  <c r="G25" i="3"/>
  <c r="BA27" i="3"/>
  <c r="G30" i="3"/>
  <c r="BL30" i="3"/>
  <c r="BL31" i="3"/>
  <c r="G35" i="3"/>
  <c r="G36" i="3"/>
  <c r="G40" i="3"/>
  <c r="BL40" i="3"/>
  <c r="BA45" i="3"/>
  <c r="BA46" i="3"/>
  <c r="BL49" i="3"/>
  <c r="BL50" i="3"/>
  <c r="AZ50" i="3" s="1"/>
  <c r="BL51" i="3"/>
  <c r="BA53" i="3"/>
  <c r="AZ53" i="3" s="1"/>
  <c r="BA54" i="3"/>
  <c r="BL55" i="3"/>
  <c r="G58" i="3"/>
  <c r="BA59" i="3"/>
  <c r="BL61" i="3"/>
  <c r="P65" i="71"/>
  <c r="P66" i="71"/>
  <c r="T40" i="71"/>
  <c r="D40" i="71"/>
  <c r="BL62" i="3"/>
  <c r="AZ62" i="3" s="1"/>
  <c r="BL63" i="3"/>
  <c r="AZ63" i="3" s="1"/>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B21" i="33"/>
  <c r="B68" i="43"/>
  <c r="B88" i="43"/>
  <c r="D39" i="71"/>
  <c r="C74" i="71"/>
  <c r="D74" i="71" s="1"/>
  <c r="AA3" i="71"/>
  <c r="C27" i="71"/>
  <c r="D62" i="71"/>
  <c r="U68" i="71"/>
  <c r="D30" i="71"/>
  <c r="Y27" i="71"/>
  <c r="Z27" i="71" s="1"/>
  <c r="AA34" i="71"/>
  <c r="AB35" i="71"/>
  <c r="B51" i="71"/>
  <c r="B52" i="71" s="1"/>
  <c r="S52" i="71" s="1"/>
  <c r="B71" i="71"/>
  <c r="B70" i="71" s="1"/>
  <c r="BL68" i="3"/>
  <c r="BA69" i="3"/>
  <c r="AZ69" i="3" s="1"/>
  <c r="BL73" i="3"/>
  <c r="BA74" i="3"/>
  <c r="AZ74" i="3" s="1"/>
  <c r="BA75" i="3"/>
  <c r="BL85" i="3"/>
  <c r="BA86" i="3"/>
  <c r="AZ86" i="3" s="1"/>
  <c r="BA87" i="3"/>
  <c r="BA91" i="3"/>
  <c r="AZ91" i="3" s="1"/>
  <c r="BL97" i="3"/>
  <c r="AZ97" i="3" s="1"/>
  <c r="BL101" i="3"/>
  <c r="AZ101" i="3" s="1"/>
  <c r="BL102"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BA48" i="3"/>
  <c r="BA49" i="3"/>
  <c r="BA51" i="3"/>
  <c r="G54" i="3"/>
  <c r="G55" i="3"/>
  <c r="BL56" i="3"/>
  <c r="BA58" i="3"/>
  <c r="AZ58" i="3" s="1"/>
  <c r="BL59" i="3"/>
  <c r="BL60" i="3"/>
  <c r="BA61" i="3"/>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BA66" i="3"/>
  <c r="AZ66" i="3" s="1"/>
  <c r="X28" i="71"/>
  <c r="L8" i="15"/>
  <c r="E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M7" i="15"/>
  <c r="J7" i="15" s="1"/>
  <c r="F59" i="15"/>
  <c r="F60" i="15"/>
  <c r="E60" i="15" s="1"/>
  <c r="F66" i="67"/>
  <c r="F78" i="15"/>
  <c r="Q71" i="67"/>
  <c r="C27" i="67"/>
  <c r="F71" i="67"/>
  <c r="N59" i="67"/>
  <c r="L59" i="67"/>
  <c r="M59" i="67"/>
  <c r="B13" i="70"/>
  <c r="M7" i="67"/>
  <c r="J6" i="67" s="1"/>
  <c r="F50" i="67"/>
  <c r="F68" i="67"/>
  <c r="F64" i="67"/>
  <c r="F80" i="15"/>
  <c r="D9" i="69"/>
  <c r="D15" i="80"/>
  <c r="D21" i="12"/>
  <c r="D15" i="68"/>
  <c r="L56" i="15"/>
  <c r="F24" i="81"/>
  <c r="F9" i="67"/>
  <c r="F28" i="81"/>
  <c r="L56" i="81"/>
  <c r="F9" i="15"/>
  <c r="F52" i="81"/>
  <c r="F32" i="15"/>
  <c r="M6" i="81"/>
  <c r="M9" i="15"/>
  <c r="M9" i="81"/>
  <c r="L57" i="15"/>
  <c r="F22" i="15"/>
  <c r="F9" i="81"/>
  <c r="L57" i="81"/>
  <c r="F48" i="15"/>
  <c r="M22" i="81"/>
  <c r="C16" i="67"/>
  <c r="M24" i="81"/>
  <c r="C88" i="15"/>
  <c r="M28" i="81"/>
  <c r="C38" i="15"/>
  <c r="M26" i="81"/>
  <c r="D7" i="73"/>
  <c r="D6" i="73"/>
  <c r="D3" i="73"/>
  <c r="M8" i="81"/>
  <c r="F52" i="15"/>
  <c r="D4" i="73"/>
  <c r="F6" i="15"/>
  <c r="D5" i="73"/>
  <c r="F30" i="81"/>
  <c r="F8" i="81"/>
  <c r="M36" i="15"/>
  <c r="F6" i="81"/>
  <c r="M26" i="15"/>
  <c r="M30" i="15"/>
  <c r="C88" i="81"/>
  <c r="F7" i="81"/>
  <c r="M31" i="15"/>
  <c r="M31" i="81"/>
  <c r="M30" i="81"/>
  <c r="F6" i="67"/>
  <c r="F22" i="81"/>
  <c r="L48" i="67"/>
  <c r="M28" i="15"/>
  <c r="C71" i="81"/>
  <c r="F30" i="15"/>
  <c r="F38" i="81"/>
  <c r="F48" i="81"/>
  <c r="M36" i="81"/>
  <c r="F24" i="15"/>
  <c r="F32" i="81"/>
  <c r="F26" i="81"/>
  <c r="AC27" i="34" l="1"/>
  <c r="U27" i="34"/>
  <c r="U17" i="34"/>
  <c r="AA17" i="34"/>
  <c r="S17" i="34"/>
  <c r="F75" i="15"/>
  <c r="F77" i="15"/>
  <c r="C7" i="15"/>
  <c r="C9" i="15" s="1"/>
  <c r="F84" i="15"/>
  <c r="L68" i="15"/>
  <c r="Q70" i="15" s="1"/>
  <c r="N68" i="15"/>
  <c r="M68" i="15"/>
  <c r="I7" i="34"/>
  <c r="G7" i="34"/>
  <c r="E7" i="34"/>
  <c r="S36" i="35"/>
  <c r="AA36" i="35"/>
  <c r="AC29" i="34"/>
  <c r="W29" i="34"/>
  <c r="W30" i="33"/>
  <c r="AC30" i="33"/>
  <c r="W28" i="34"/>
  <c r="AC28" i="34"/>
  <c r="S19" i="34"/>
  <c r="AA19" i="34"/>
  <c r="AB40" i="40"/>
  <c r="U40" i="40"/>
  <c r="AC39" i="37"/>
  <c r="W39" i="37"/>
  <c r="AC44" i="21"/>
  <c r="W44" i="21"/>
  <c r="AB13" i="21"/>
  <c r="U13" i="21"/>
  <c r="AZ51" i="3"/>
  <c r="AZ302" i="3"/>
  <c r="AZ166" i="3"/>
  <c r="AZ21" i="3"/>
  <c r="AZ150" i="3"/>
  <c r="AZ263" i="3"/>
  <c r="AZ254" i="3"/>
  <c r="AZ244" i="3"/>
  <c r="AZ239" i="3"/>
  <c r="AZ397" i="3"/>
  <c r="AZ283" i="3"/>
  <c r="AZ461" i="3"/>
  <c r="AZ274" i="3"/>
  <c r="AZ585" i="3"/>
  <c r="AZ291" i="3"/>
  <c r="AZ451" i="3"/>
  <c r="T52" i="71"/>
  <c r="D52" i="71"/>
  <c r="AZ476" i="3"/>
  <c r="S12" i="33"/>
  <c r="AA12" i="33"/>
  <c r="AB24" i="35"/>
  <c r="U24" i="35"/>
  <c r="W45" i="34"/>
  <c r="AC45" i="34"/>
  <c r="AB29" i="34"/>
  <c r="U29" i="34"/>
  <c r="AA30" i="33"/>
  <c r="S30" i="33"/>
  <c r="AA28" i="34"/>
  <c r="S28" i="34"/>
  <c r="S14" i="39"/>
  <c r="AA14" i="39"/>
  <c r="AZ61" i="3"/>
  <c r="AZ49" i="3"/>
  <c r="AZ45" i="3"/>
  <c r="AZ405" i="3"/>
  <c r="AZ418" i="3"/>
  <c r="AC24" i="35"/>
  <c r="W24" i="35"/>
  <c r="U45" i="34"/>
  <c r="AB45" i="34"/>
  <c r="AC46" i="33"/>
  <c r="W46" i="33"/>
  <c r="AB28" i="34"/>
  <c r="U28" i="34"/>
  <c r="U33" i="40"/>
  <c r="AB33" i="40"/>
  <c r="AC14" i="39"/>
  <c r="W14" i="39"/>
  <c r="F30" i="6"/>
  <c r="AZ55" i="3"/>
  <c r="AZ38" i="3"/>
  <c r="AZ205" i="3"/>
  <c r="AZ278" i="3"/>
  <c r="AZ241" i="3"/>
  <c r="AZ210" i="3"/>
  <c r="AZ227" i="3"/>
  <c r="AZ216" i="3"/>
  <c r="AZ435" i="3"/>
  <c r="AZ407" i="3"/>
  <c r="AZ271" i="3"/>
  <c r="N65" i="71"/>
  <c r="N66" i="71"/>
  <c r="AA24" i="35"/>
  <c r="S24" i="35"/>
  <c r="S45" i="34"/>
  <c r="AA45" i="34"/>
  <c r="AC13" i="35"/>
  <c r="W13" i="35"/>
  <c r="S29" i="34"/>
  <c r="AA29" i="34"/>
  <c r="AB19" i="34"/>
  <c r="U19" i="34"/>
  <c r="S33" i="40"/>
  <c r="AA33" i="40"/>
  <c r="U44" i="21"/>
  <c r="AB44" i="21"/>
  <c r="AA13" i="21"/>
  <c r="S13" i="21"/>
  <c r="G6" i="1"/>
  <c r="AB41" i="34"/>
  <c r="W41" i="34"/>
  <c r="AA41" i="34"/>
  <c r="J7" i="36"/>
  <c r="F31" i="67"/>
  <c r="C6" i="67"/>
  <c r="Q82" i="15"/>
  <c r="C49" i="15"/>
  <c r="AZ75" i="3"/>
  <c r="AZ111" i="3"/>
  <c r="AZ102" i="3"/>
  <c r="AZ182" i="3"/>
  <c r="AZ28" i="3"/>
  <c r="AZ25" i="3"/>
  <c r="AZ294" i="3"/>
  <c r="T32" i="71"/>
  <c r="D32" i="71"/>
  <c r="AZ282" i="3"/>
  <c r="AZ251" i="3"/>
  <c r="AZ247" i="3"/>
  <c r="AZ229" i="3"/>
  <c r="AZ218" i="3"/>
  <c r="AZ460" i="3"/>
  <c r="AZ243" i="3"/>
  <c r="AZ368" i="3"/>
  <c r="AZ353" i="3"/>
  <c r="AZ453" i="3"/>
  <c r="AZ429" i="3"/>
  <c r="AB24" i="36"/>
  <c r="U24" i="36"/>
  <c r="AA25" i="37"/>
  <c r="S25" i="37"/>
  <c r="AZ401" i="3"/>
  <c r="AC40" i="40"/>
  <c r="W40" i="40"/>
  <c r="AZ421" i="3"/>
  <c r="AZ414" i="3"/>
  <c r="J9" i="15"/>
  <c r="C86" i="71"/>
  <c r="D86" i="71" s="1"/>
  <c r="D87" i="71"/>
  <c r="B27" i="71"/>
  <c r="B26" i="71" s="1"/>
  <c r="S28" i="71"/>
  <c r="C26" i="71"/>
  <c r="D26" i="71" s="1"/>
  <c r="D27" i="71"/>
  <c r="AZ137" i="3"/>
  <c r="AZ27" i="3"/>
  <c r="AZ178" i="3"/>
  <c r="AZ301" i="3"/>
  <c r="AZ238" i="3"/>
  <c r="AZ428" i="3"/>
  <c r="AZ550" i="3"/>
  <c r="U12" i="36"/>
  <c r="AB12" i="36"/>
  <c r="AB39" i="37"/>
  <c r="U39" i="37"/>
  <c r="G5" i="3"/>
  <c r="B3" i="3" s="1"/>
  <c r="AT6" i="3" s="1"/>
  <c r="C36" i="71"/>
  <c r="D35" i="71"/>
  <c r="AZ59" i="3"/>
  <c r="AZ483" i="3"/>
  <c r="AZ454" i="3"/>
  <c r="W12" i="35"/>
  <c r="AC12" i="35"/>
  <c r="AB12" i="34"/>
  <c r="U12" i="34"/>
  <c r="S26" i="33"/>
  <c r="AA26" i="33"/>
  <c r="AZ425" i="3"/>
  <c r="C44" i="71"/>
  <c r="D43" i="71"/>
  <c r="AZ108" i="3"/>
  <c r="AZ41" i="3"/>
  <c r="C56" i="71"/>
  <c r="D55" i="71"/>
  <c r="AZ223" i="3"/>
  <c r="U41" i="40"/>
  <c r="AB41" i="40"/>
  <c r="AC9" i="34"/>
  <c r="W9" i="34"/>
  <c r="AZ415" i="3"/>
  <c r="AZ398"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AE11" i="1"/>
  <c r="AE12" i="1"/>
  <c r="AE10" i="1"/>
  <c r="AE9" i="1"/>
  <c r="AE8" i="1"/>
  <c r="F33" i="12"/>
  <c r="C18" i="12"/>
  <c r="F27" i="68"/>
  <c r="G1" i="73"/>
  <c r="C19" i="15"/>
  <c r="C38" i="81"/>
  <c r="C6" i="15" l="1"/>
  <c r="C16" i="15" s="1"/>
  <c r="S7" i="36"/>
  <c r="E21" i="3"/>
  <c r="E63" i="3"/>
  <c r="E184" i="3"/>
  <c r="E23" i="3"/>
  <c r="E267" i="3"/>
  <c r="E467" i="3"/>
  <c r="E76" i="3"/>
  <c r="E241" i="3"/>
  <c r="E37" i="3"/>
  <c r="E435" i="3"/>
  <c r="E449" i="3"/>
  <c r="E502" i="3"/>
  <c r="E199" i="3"/>
  <c r="G16" i="1"/>
  <c r="H12" i="40" s="1"/>
  <c r="AB12" i="40" s="1"/>
  <c r="E58" i="40"/>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C6" i="3"/>
  <c r="U7" i="36"/>
  <c r="D56" i="71"/>
  <c r="T56" i="71"/>
  <c r="T44" i="71"/>
  <c r="D44" i="71"/>
  <c r="D36" i="71"/>
  <c r="T36" i="71"/>
  <c r="Q61" i="15"/>
  <c r="F1" i="15"/>
  <c r="J9" i="81"/>
  <c r="C10" i="15"/>
  <c r="C62" i="15"/>
  <c r="C54" i="80"/>
  <c r="Q84" i="15"/>
  <c r="C29" i="80"/>
  <c r="K16" i="1"/>
  <c r="C10" i="80"/>
  <c r="E53" i="40"/>
  <c r="E58" i="39"/>
  <c r="F69" i="39"/>
  <c r="G69" i="39" s="1"/>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F12" i="39"/>
  <c r="F12" i="40"/>
  <c r="S12" i="40" s="1"/>
  <c r="J12" i="39"/>
  <c r="W12" i="39" s="1"/>
  <c r="H12" i="39"/>
  <c r="U12" i="39" s="1"/>
  <c r="Q61" i="81"/>
  <c r="F1" i="81"/>
  <c r="C34" i="12"/>
  <c r="J6" i="15"/>
  <c r="J5" i="15" s="1"/>
  <c r="C58"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M27" i="67"/>
  <c r="M29" i="15"/>
  <c r="M29" i="81"/>
  <c r="F41" i="67"/>
  <c r="F29" i="15"/>
  <c r="AE6" i="1"/>
  <c r="C5" i="15" l="1"/>
  <c r="C26" i="15" s="1"/>
  <c r="M18" i="9"/>
  <c r="B118" i="9" s="1"/>
  <c r="B1" i="74" s="1"/>
  <c r="B14" i="74"/>
  <c r="J12" i="40"/>
  <c r="AC12" i="40" s="1"/>
  <c r="E6" i="3"/>
  <c r="J6" i="81"/>
  <c r="J16" i="81" s="1"/>
  <c r="C57"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L31" i="1" s="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F29" i="81"/>
  <c r="C36" i="81"/>
  <c r="C14" i="67"/>
  <c r="C17" i="67"/>
  <c r="C39" i="15"/>
  <c r="C39" i="81"/>
  <c r="C28" i="15" l="1"/>
  <c r="D17" i="80"/>
  <c r="F81" i="81"/>
  <c r="L36" i="1"/>
  <c r="L33" i="1"/>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D31" i="6"/>
  <c r="I5" i="6"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F21" i="81"/>
  <c r="M21" i="15"/>
  <c r="F21" i="15"/>
  <c r="F35" i="67"/>
  <c r="M21" i="67"/>
  <c r="M21" i="81"/>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49" i="34" l="1"/>
  <c r="C50" i="34"/>
  <c r="U17" i="1" s="1"/>
  <c r="G53" i="34"/>
  <c r="H53" i="34" s="1"/>
  <c r="G54" i="34"/>
  <c r="H54" i="34" s="1"/>
  <c r="E54" i="34"/>
  <c r="F54" i="34" s="1"/>
  <c r="C64" i="80"/>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6"/>
  <c r="F2" i="34"/>
  <c r="L60" i="81"/>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C19" i="9"/>
  <c r="AO10" i="1"/>
  <c r="AO11" i="1"/>
  <c r="AO12" i="1"/>
  <c r="C102" i="9" l="1"/>
  <c r="B3" i="34"/>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35" i="9"/>
  <c r="D34" i="9"/>
  <c r="G20" i="9" l="1"/>
  <c r="I20" i="9" s="1"/>
  <c r="D14" i="74" s="1"/>
  <c r="D103"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G24" i="9" l="1"/>
  <c r="C32" i="9"/>
  <c r="N119" i="9" s="1"/>
  <c r="I118" i="9" s="1"/>
  <c r="E14" i="74"/>
  <c r="B3" i="40"/>
  <c r="B4" i="40"/>
  <c r="B5" i="40"/>
  <c r="C95" i="15"/>
  <c r="C94" i="15" s="1"/>
  <c r="AO6" i="1"/>
  <c r="AO8" i="1"/>
  <c r="AO9" i="1"/>
  <c r="N117" i="9" l="1"/>
  <c r="H118" i="9" s="1"/>
  <c r="I4" i="52" s="1"/>
  <c r="C35" i="9"/>
  <c r="C34" i="9" s="1"/>
  <c r="L119" i="9" s="1"/>
  <c r="B9" i="70"/>
  <c r="B8" i="70"/>
  <c r="B6" i="70"/>
  <c r="B3" i="15"/>
  <c r="C104" i="9"/>
  <c r="H4" i="52"/>
  <c r="H119" i="9"/>
  <c r="H5" i="52" s="1"/>
  <c r="H101" i="9"/>
  <c r="D5" i="53" s="1"/>
  <c r="M119" i="9" l="1"/>
  <c r="G118" i="9" s="1"/>
  <c r="F118" i="9" s="1"/>
  <c r="M117" i="9"/>
  <c r="L117" i="9"/>
  <c r="E118" i="9"/>
  <c r="B2" i="70"/>
  <c r="B3" i="70" s="1"/>
  <c r="D45" i="9"/>
  <c r="M48" i="9"/>
  <c r="B20" i="72"/>
  <c r="D6" i="53"/>
  <c r="B22" i="72" s="1"/>
  <c r="H102" i="9"/>
  <c r="D7" i="53" s="1"/>
  <c r="B21" i="72" s="1"/>
  <c r="H107" i="9"/>
  <c r="G14" i="74" s="1"/>
  <c r="B6" i="74" s="1"/>
  <c r="D6" i="74" s="1"/>
  <c r="C105" i="9"/>
  <c r="C6" i="74" l="1"/>
  <c r="B5" i="74"/>
  <c r="F14"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<sst xmlns="http://schemas.openxmlformats.org/spreadsheetml/2006/main" count="9182" uniqueCount="4127">
  <si>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</si>
  <si>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</si>
  <si>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</si>
  <si>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</si>
  <si>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</si>
  <si>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</si>
  <si>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</si>
  <si>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</si>
  <si>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</si>
  <si>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</si>
  <si>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</si>
  <si>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</si>
  <si>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</si>
  <si>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</si>
  <si>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</si>
  <si>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</si>
  <si>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</si>
  <si>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</si>
  <si>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</si>
  <si>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</si>
  <si>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</si>
  <si>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</si>
  <si>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</si>
  <si>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</si>
  <si>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</si>
  <si>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</si>
  <si>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</si>
  <si>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</si>
  <si>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</si>
  <si>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</si>
  <si>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</si>
  <si>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</si>
  <si>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</si>
  <si>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</si>
  <si>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</si>
  <si>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</si>
  <si>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</si>
  <si>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</si>
  <si>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</si>
  <si>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</si>
  <si>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</si>
  <si>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</si>
  <si>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</si>
  <si>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</si>
  <si>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</si>
  <si>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</si>
  <si>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</si>
  <si>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</si>
  <si>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</si>
  <si>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</si>
  <si>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</si>
  <si>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</si>
  <si>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</si>
  <si>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</si>
  <si>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</si>
  <si>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</si>
  <si>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</si>
  <si>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</si>
  <si>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</si>
  <si>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</si>
  <si>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</si>
  <si>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</si>
  <si>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</si>
  <si>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</si>
  <si>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</si>
  <si>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</si>
  <si>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</si>
  <si>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</si>
  <si>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</si>
  <si>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</si>
  <si>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</si>
  <si>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</si>
  <si>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</si>
  <si>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</si>
  <si>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</si>
  <si>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</si>
  <si>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</si>
  <si>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</si>
  <si>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</si>
  <si>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</si>
  <si>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</si>
  <si>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</si>
  <si>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</si>
  <si>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</si>
  <si>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</si>
  <si>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</si>
  <si>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</si>
  <si>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</si>
  <si>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</si>
  <si>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</si>
  <si>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</si>
  <si>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</si>
  <si>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</si>
  <si>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</si>
  <si>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</si>
  <si>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</si>
  <si>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</si>
  <si>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</si>
  <si>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</si>
  <si>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</si>
  <si>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</si>
  <si>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</si>
  <si>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</si>
  <si>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</si>
  <si>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</si>
  <si>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</si>
  <si>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</si>
  <si>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</si>
  <si>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</si>
  <si>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</si>
  <si>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</si>
  <si>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</si>
  <si>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</si>
  <si>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</si>
  <si>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</si>
  <si>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</si>
  <si>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</si>
  <si>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</si>
  <si>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</si>
  <si>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</si>
  <si>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</si>
  <si>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</si>
  <si>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</si>
  <si>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</si>
  <si>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</si>
  <si>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</si>
  <si>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</si>
  <si>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</si>
  <si>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</si>
  <si>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</si>
  <si>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</si>
  <si>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</si>
  <si>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</si>
  <si>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</si>
  <si>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</si>
  <si>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</si>
  <si>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</si>
  <si>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</si>
  <si>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</si>
  <si>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</si>
  <si>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</si>
  <si>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</si>
  <si>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</si>
  <si>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</si>
  <si>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</si>
  <si>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</si>
  <si>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</si>
  <si>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</si>
  <si>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</si>
  <si>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</si>
  <si>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</si>
  <si>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</si>
  <si>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</si>
  <si>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</si>
  <si>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</si>
  <si>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</si>
  <si>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</si>
  <si>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</si>
  <si>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</si>
  <si>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</si>
  <si>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</si>
  <si>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</si>
  <si>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</si>
  <si>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</si>
  <si>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</si>
  <si>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</si>
  <si>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</si>
  <si>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</si>
  <si>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</si>
  <si>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</si>
  <si>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</si>
  <si>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</si>
  <si>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</si>
  <si>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</si>
  <si>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</si>
  <si>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</si>
  <si>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</si>
  <si>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</si>
  <si>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</si>
  <si>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</si>
  <si>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</si>
  <si>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</si>
  <si>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</si>
  <si>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</si>
  <si>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</si>
  <si>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</si>
  <si>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</si>
  <si>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</si>
  <si>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</si>
  <si>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</si>
  <si>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</si>
  <si>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</si>
  <si>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</si>
  <si>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</si>
  <si>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</si>
  <si>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</si>
  <si>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</si>
  <si>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</si>
  <si>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</si>
  <si>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</si>
  <si>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</si>
  <si>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</si>
  <si>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</si>
  <si>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</si>
  <si>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</si>
  <si>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</si>
  <si>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</si>
  <si>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</si>
  <si>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</si>
  <si>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</si>
  <si>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</si>
  <si>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</si>
  <si>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</si>
  <si>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</si>
  <si>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</si>
  <si>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</si>
  <si>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</si>
  <si>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</si>
  <si>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</si>
  <si>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</si>
  <si>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</si>
  <si>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</si>
  <si>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</si>
  <si>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</si>
  <si>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</si>
  <si>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</si>
  <si>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</si>
  <si>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</si>
  <si>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</si>
  <si>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</si>
  <si>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</si>
  <si>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</si>
  <si>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</si>
  <si>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</si>
  <si>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</si>
  <si>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</si>
  <si>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</si>
  <si>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</si>
  <si>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</si>
  <si>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</si>
  <si>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</si>
  <si>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</si>
  <si>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</si>
  <si>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</si>
  <si>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</si>
  <si>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</si>
  <si>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</si>
  <si>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</si>
  <si>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</si>
  <si>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</si>
  <si>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</si>
  <si>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</si>
  <si>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</si>
  <si>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</si>
  <si>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</si>
  <si>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</si>
  <si>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</si>
  <si>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</si>
  <si>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</si>
  <si>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</si>
  <si>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</si>
  <si>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</si>
  <si>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</si>
  <si>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</si>
  <si>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</si>
  <si>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</si>
  <si>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</si>
  <si>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</si>
  <si>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</si>
  <si>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</si>
  <si>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</si>
  <si>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</si>
  <si>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</si>
  <si>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</si>
  <si>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</si>
  <si>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</si>
  <si>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</si>
  <si>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</si>
  <si>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</si>
  <si>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</si>
  <si>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</si>
  <si>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</si>
  <si>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</si>
  <si>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</si>
  <si>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</si>
  <si>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</si>
  <si>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</si>
  <si>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</si>
  <si>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</si>
  <si>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</si>
  <si>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</si>
  <si>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</si>
  <si>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</si>
  <si>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</si>
  <si>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</si>
  <si>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</si>
  <si>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</si>
  <si>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</si>
  <si>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</si>
  <si>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</si>
  <si>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</si>
  <si>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</si>
  <si>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</si>
  <si>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</si>
  <si>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</si>
  <si>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</si>
  <si>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</si>
  <si>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</si>
  <si>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</si>
  <si>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</si>
  <si>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</si>
  <si>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</si>
  <si>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</si>
  <si>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</si>
  <si>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</si>
  <si>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</si>
  <si>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</si>
  <si>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</si>
  <si>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</si>
  <si>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</si>
  <si>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</si>
  <si>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</si>
  <si>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</si>
  <si>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</si>
  <si>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</si>
  <si>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</si>
  <si>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</si>
  <si>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</si>
  <si>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</si>
  <si>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</si>
  <si>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</si>
  <si>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</si>
  <si>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</si>
  <si>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</si>
  <si>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</si>
  <si>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</si>
  <si>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</si>
  <si>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</si>
  <si>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</si>
  <si>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</si>
  <si>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</si>
  <si>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</si>
  <si>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</si>
  <si>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</si>
  <si>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</si>
  <si>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</si>
  <si>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</si>
  <si>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</si>
  <si>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</si>
  <si>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</si>
  <si>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</si>
  <si>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</si>
  <si>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</si>
  <si>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</si>
  <si>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</si>
  <si>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</si>
  <si>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</si>
  <si>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</si>
  <si>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</si>
  <si>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</si>
  <si>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</si>
  <si>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</si>
  <si>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</si>
  <si>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</si>
  <si>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</si>
  <si>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</si>
  <si>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</si>
  <si>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</si>
  <si>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</si>
  <si>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</si>
  <si>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</si>
  <si>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</si>
  <si>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</si>
  <si>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</si>
  <si>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</si>
  <si>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</si>
  <si>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</si>
  <si>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</si>
  <si>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</si>
  <si>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</si>
  <si>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</si>
  <si>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</si>
  <si>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</si>
  <si>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</si>
  <si>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</si>
  <si>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</si>
  <si>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</si>
  <si>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</si>
  <si>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</si>
  <si>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</si>
  <si>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</si>
  <si>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</si>
  <si>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</si>
  <si>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</si>
  <si>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</si>
  <si>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</si>
  <si>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</si>
  <si>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</si>
  <si>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</si>
  <si>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</si>
  <si>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</si>
  <si>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</si>
  <si>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</si>
  <si>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</si>
  <si>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</si>
  <si>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</si>
  <si>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</si>
  <si>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</si>
  <si>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</si>
  <si>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</si>
  <si>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</si>
  <si>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</si>
  <si>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</si>
  <si>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</si>
  <si>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</si>
  <si>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</si>
  <si>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</si>
  <si>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</si>
  <si>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</si>
  <si>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</si>
  <si>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</si>
  <si>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</si>
  <si>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</si>
  <si>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</si>
  <si>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</si>
  <si>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</si>
  <si>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</si>
  <si>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</si>
  <si>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</si>
  <si>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</si>
  <si>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</si>
  <si>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</si>
  <si>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</si>
  <si>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</si>
  <si>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</si>
  <si>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</si>
  <si>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</si>
  <si>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</si>
  <si>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</si>
  <si>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</si>
  <si>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</si>
  <si>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</si>
  <si>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</si>
  <si>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</si>
  <si>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</si>
  <si>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</si>
  <si>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</si>
  <si>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</si>
  <si>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</si>
  <si>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</si>
  <si>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</si>
  <si>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</si>
  <si>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</si>
  <si>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</si>
  <si>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</si>
  <si>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</si>
  <si>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</si>
  <si>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</si>
  <si>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</si>
  <si>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</si>
  <si>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</si>
  <si>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</si>
  <si>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</si>
  <si>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</si>
  <si>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</si>
  <si>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</si>
  <si>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</si>
  <si>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</si>
  <si>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</si>
  <si>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</si>
  <si>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</si>
  <si>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</si>
  <si>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</si>
  <si>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</si>
  <si>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</si>
  <si>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</si>
  <si>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</si>
  <si>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</si>
  <si>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</si>
  <si>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</si>
  <si>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</si>
  <si>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</si>
  <si>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</si>
  <si>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</si>
  <si>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</si>
  <si>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</si>
  <si>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</si>
  <si>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</si>
  <si>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</si>
  <si>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</si>
  <si>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</si>
  <si>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</si>
  <si>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</si>
  <si>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</si>
  <si>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</si>
  <si>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</si>
  <si>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</si>
  <si>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</si>
  <si>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</si>
  <si>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</si>
  <si>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</si>
  <si>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</si>
  <si>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</si>
  <si>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</si>
  <si>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</si>
  <si>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</si>
  <si>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</si>
  <si>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</si>
  <si>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</si>
  <si>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</si>
  <si>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</si>
  <si>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</si>
  <si>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</si>
  <si>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</si>
  <si>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</si>
  <si>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</si>
  <si>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</si>
  <si>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</si>
  <si>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</si>
  <si>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</si>
  <si>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</si>
  <si>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</si>
  <si>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</si>
  <si>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</si>
  <si>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</si>
  <si>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</si>
  <si>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</si>
  <si>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</si>
  <si>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</si>
  <si>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</si>
  <si>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</si>
  <si>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</si>
  <si>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</si>
  <si>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</si>
  <si>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</si>
  <si>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</si>
  <si>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</si>
  <si>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</si>
  <si>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</si>
  <si>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</si>
  <si>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</si>
  <si>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</si>
  <si>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</si>
  <si>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</si>
  <si>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</si>
  <si>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</si>
  <si>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</si>
  <si>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</si>
  <si>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</si>
  <si>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</si>
  <si>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</si>
  <si>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</si>
  <si>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</si>
  <si>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</si>
  <si>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</si>
  <si>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</si>
  <si>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</si>
  <si>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</si>
  <si>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</si>
  <si>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</si>
  <si>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</si>
  <si>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</si>
  <si>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</si>
  <si>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</si>
  <si>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</si>
  <si>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</si>
  <si>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</si>
  <si>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</si>
  <si>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</si>
  <si>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</si>
  <si>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</si>
  <si>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</si>
  <si>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</si>
  <si>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</si>
  <si>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</si>
  <si>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</si>
  <si>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</si>
  <si>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</si>
  <si>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</si>
  <si>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</si>
  <si>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</si>
  <si>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</si>
  <si>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</si>
  <si>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</si>
  <si>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</si>
  <si>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</si>
  <si>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</si>
  <si>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</si>
  <si>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</si>
  <si>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</si>
  <si>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</si>
  <si>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</si>
  <si>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</si>
  <si>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</si>
  <si>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</si>
  <si>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</si>
  <si>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</si>
  <si>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</si>
  <si>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</si>
  <si>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</si>
  <si>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</si>
  <si>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</si>
  <si>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</si>
  <si>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</si>
  <si>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</si>
  <si>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</si>
  <si>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</si>
  <si>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</si>
  <si>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</si>
  <si>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</si>
  <si>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</si>
  <si>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</si>
  <si>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</si>
  <si>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</si>
  <si>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</si>
  <si>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</si>
  <si>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</si>
  <si>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</si>
  <si>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</si>
  <si>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</si>
  <si>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</si>
  <si>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</si>
  <si>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</si>
  <si>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</si>
  <si>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</si>
  <si>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</si>
  <si>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</si>
  <si>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</si>
  <si>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</si>
  <si>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</si>
  <si>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</si>
  <si>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</si>
  <si>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</si>
  <si>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</si>
  <si>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</si>
  <si>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</si>
  <si>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</si>
  <si>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</si>
  <si>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</si>
  <si>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</si>
  <si>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</si>
  <si>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</si>
  <si>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</si>
  <si>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</si>
  <si>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</si>
  <si>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</si>
  <si>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</si>
  <si>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</si>
  <si>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</si>
  <si>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</si>
  <si>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</si>
  <si>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</si>
  <si>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</si>
  <si>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</si>
  <si>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</si>
  <si>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</si>
  <si>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</si>
  <si>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</si>
  <si>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</si>
  <si>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</si>
  <si>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</si>
  <si>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</si>
  <si>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</si>
  <si>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</si>
  <si>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</si>
  <si>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</si>
  <si>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</si>
  <si>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</si>
  <si>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</si>
  <si>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</si>
  <si>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</si>
  <si>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</si>
  <si>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</si>
  <si>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</si>
  <si>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</si>
  <si>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</si>
  <si>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</si>
  <si>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</si>
  <si>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</si>
  <si>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</si>
  <si>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</si>
  <si>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</si>
  <si>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</si>
  <si>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</si>
  <si>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</si>
  <si>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</si>
  <si>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</si>
  <si>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</si>
  <si>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</si>
  <si>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</si>
  <si>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</si>
  <si>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</si>
  <si>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</si>
  <si>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</si>
  <si>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</si>
  <si>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</si>
  <si>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</si>
  <si>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</si>
  <si>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</si>
  <si>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</si>
  <si>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</si>
  <si>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</si>
  <si>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</si>
  <si>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</si>
  <si>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</si>
  <si>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</si>
  <si>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</si>
  <si>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</si>
  <si>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</si>
  <si>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</si>
  <si>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</si>
  <si>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</si>
  <si>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</si>
  <si>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</si>
  <si>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</si>
  <si>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</si>
  <si>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</si>
  <si>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</si>
  <si>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</si>
  <si>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</si>
  <si>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</si>
  <si>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</si>
  <si>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</si>
  <si>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</si>
  <si>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</si>
  <si>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</si>
  <si>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</si>
  <si>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</si>
  <si>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</si>
  <si>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</si>
  <si>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</si>
  <si>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</si>
  <si>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</si>
  <si>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</si>
  <si>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</si>
  <si>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</si>
  <si>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</si>
  <si>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</si>
  <si>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</si>
  <si>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</si>
  <si>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</si>
  <si>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</si>
  <si>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</si>
  <si>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</si>
  <si>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</si>
  <si>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</si>
  <si>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</si>
  <si>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</si>
  <si>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</si>
  <si>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</si>
  <si>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</si>
  <si>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</si>
  <si>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</si>
  <si>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</si>
  <si>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</si>
  <si>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</si>
  <si>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</si>
  <si>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</si>
  <si>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</si>
  <si>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</si>
  <si>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</si>
  <si>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</si>
  <si>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</si>
  <si>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</si>
  <si>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</si>
  <si>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</si>
  <si>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</si>
  <si>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</si>
  <si>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</si>
  <si>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</si>
  <si>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</si>
  <si>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</si>
  <si>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</si>
  <si>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</si>
  <si>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</si>
  <si>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</si>
  <si>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</si>
  <si>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</si>
  <si>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</si>
  <si>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</si>
  <si>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</si>
  <si>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</si>
  <si>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</si>
  <si>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</si>
  <si>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</si>
  <si>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</si>
  <si>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</si>
  <si>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</si>
  <si>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</si>
  <si>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</si>
  <si>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</si>
  <si>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</si>
  <si>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</si>
  <si>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</si>
  <si>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</si>
  <si>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</si>
  <si>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</si>
  <si>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</si>
  <si>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</si>
  <si>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</si>
  <si>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</si>
  <si>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</si>
  <si>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</si>
  <si>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</si>
  <si>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</si>
  <si>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</si>
  <si>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</si>
  <si>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</si>
  <si>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</si>
  <si>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</si>
  <si>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</si>
  <si>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</si>
  <si>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</si>
  <si>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</si>
  <si>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</si>
  <si>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</si>
  <si>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</si>
  <si>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</si>
  <si>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</si>
  <si>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</si>
  <si>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</si>
  <si>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</si>
  <si>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</si>
  <si>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</si>
  <si>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</si>
  <si>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</si>
  <si>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</si>
  <si>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</si>
  <si>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</si>
  <si>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</si>
  <si>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</si>
  <si>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</si>
  <si>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</si>
  <si>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</si>
  <si>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</si>
  <si>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</si>
  <si>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</si>
  <si>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</si>
  <si>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</si>
  <si>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</si>
  <si>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</si>
  <si>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</si>
  <si>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</si>
  <si>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</si>
  <si>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</si>
  <si>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</si>
  <si>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</si>
  <si>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</si>
  <si>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</si>
  <si>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</si>
  <si>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</si>
  <si>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</si>
  <si>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</si>
  <si>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</si>
  <si>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</si>
  <si>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</si>
  <si>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</si>
  <si>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</si>
  <si>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</si>
  <si>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</si>
  <si>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</si>
  <si>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</si>
  <si>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</si>
  <si>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</si>
  <si>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</si>
  <si>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</si>
  <si>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</si>
  <si>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</si>
  <si>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</si>
  <si>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</si>
  <si>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</si>
  <si>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</si>
  <si>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</si>
  <si>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</si>
  <si>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</si>
  <si>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</si>
  <si>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</si>
  <si>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</si>
  <si>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</si>
  <si>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</si>
  <si>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</si>
  <si>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</si>
  <si>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</si>
  <si>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</si>
  <si>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</si>
  <si>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</si>
  <si>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</si>
  <si>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</si>
  <si>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</si>
  <si>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</si>
  <si>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</si>
  <si>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</si>
  <si>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</si>
  <si>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</si>
  <si>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</si>
  <si>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</si>
  <si>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</si>
  <si>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</si>
  <si>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</si>
  <si>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</si>
  <si>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</si>
  <si>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</si>
  <si>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</si>
  <si>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</si>
  <si>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</si>
  <si>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</si>
  <si>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</si>
  <si>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</si>
  <si>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</si>
  <si>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</si>
  <si>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</si>
  <si>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</si>
  <si>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</si>
  <si>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</si>
  <si>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</si>
  <si>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</si>
  <si>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</si>
  <si>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</si>
  <si>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</si>
  <si>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</si>
  <si>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</si>
  <si>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</si>
  <si>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</si>
  <si>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</si>
  <si>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</si>
  <si>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</si>
  <si>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</si>
  <si>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</si>
  <si>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</si>
  <si>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</si>
  <si>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</si>
  <si>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</si>
  <si>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</si>
  <si>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</si>
  <si>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</si>
  <si>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</si>
  <si>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</si>
  <si>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</si>
  <si>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</si>
  <si>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</si>
  <si>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</si>
  <si>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</si>
  <si>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</si>
  <si>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</si>
  <si>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</si>
  <si>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</si>
  <si>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</si>
  <si>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</si>
  <si>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</si>
  <si>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</si>
  <si>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</si>
  <si>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</si>
  <si>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</si>
  <si>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</si>
  <si>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</si>
  <si>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</si>
  <si>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</si>
  <si>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</si>
  <si>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</si>
  <si>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</si>
  <si>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</si>
  <si>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</si>
  <si>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</si>
  <si>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</si>
  <si>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</si>
  <si>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</si>
  <si>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</si>
  <si>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</si>
  <si>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</si>
  <si>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</si>
  <si>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</si>
  <si>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</si>
  <si>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</si>
  <si>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</si>
  <si>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</si>
  <si>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</si>
  <si>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</si>
  <si>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</si>
  <si>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</si>
  <si>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</si>
  <si>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</si>
  <si>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</si>
  <si>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</si>
  <si>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</si>
  <si>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</si>
  <si>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</si>
  <si>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</si>
  <si>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</si>
  <si>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</si>
  <si>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</si>
  <si>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</si>
  <si>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</si>
  <si>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</si>
  <si>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</si>
  <si>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</si>
  <si>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</si>
  <si>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</si>
  <si>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</si>
  <si>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</si>
  <si>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</si>
  <si>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</si>
  <si>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</si>
  <si>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</si>
  <si>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</si>
  <si>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</si>
  <si>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</si>
  <si>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</si>
  <si>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</si>
  <si>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</si>
  <si>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</si>
  <si>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</si>
  <si>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</si>
  <si>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</si>
  <si>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</si>
  <si>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</si>
  <si>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</si>
  <si>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</si>
  <si>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</si>
  <si>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</si>
  <si>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</si>
  <si>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</si>
  <si>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</si>
  <si>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</si>
  <si>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</si>
  <si>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</si>
  <si>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</si>
  <si>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</si>
  <si>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</si>
  <si>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</si>
  <si>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</si>
  <si>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</si>
  <si>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</si>
  <si>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</si>
  <si>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</si>
  <si>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</si>
  <si>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</si>
  <si>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</si>
  <si>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</si>
  <si>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</si>
  <si>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</si>
  <si>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</si>
  <si>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</si>
  <si>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</si>
  <si>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</si>
  <si>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</si>
  <si>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</si>
  <si>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</si>
  <si>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</si>
  <si>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</si>
  <si>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</si>
  <si>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</si>
  <si>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</si>
  <si>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</si>
  <si>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</si>
  <si>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</si>
  <si>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</si>
  <si>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</si>
  <si>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</si>
  <si>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</si>
  <si>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</si>
  <si>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</si>
  <si>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</si>
  <si>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</si>
  <si>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</si>
  <si>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</si>
  <si>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</si>
  <si>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</si>
  <si>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</si>
  <si>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</si>
  <si>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</si>
  <si>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</si>
  <si>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</si>
  <si>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</si>
  <si>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</si>
  <si>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</si>
  <si>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</si>
  <si>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</si>
  <si>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</si>
  <si>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</si>
  <si>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</si>
  <si>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</si>
  <si>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</si>
  <si>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</si>
  <si>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</si>
  <si>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</si>
  <si>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</si>
  <si>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</si>
  <si>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</si>
  <si>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</si>
  <si>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</si>
  <si>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</si>
  <si>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</si>
  <si>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</si>
  <si>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</si>
  <si>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</si>
  <si>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</si>
  <si>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</si>
  <si>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</si>
  <si>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</si>
  <si>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</si>
  <si>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</si>
  <si>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</si>
  <si>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</si>
  <si>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</si>
  <si>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</si>
  <si>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</si>
  <si>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</si>
  <si>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</si>
  <si>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</si>
  <si>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</si>
  <si>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</si>
  <si>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</si>
  <si>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</si>
  <si>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</si>
  <si>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</si>
  <si>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</si>
  <si>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</si>
  <si>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</si>
  <si>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</si>
  <si>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</si>
  <si>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</si>
  <si>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</si>
  <si>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</si>
  <si>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</si>
  <si>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</si>
  <si>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</si>
  <si>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</si>
  <si>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</si>
  <si>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</si>
  <si>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</si>
  <si>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</si>
  <si>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</si>
  <si>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</si>
  <si>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</si>
  <si>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</si>
  <si>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</si>
  <si>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</si>
  <si>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</si>
  <si>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</si>
  <si>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</si>
  <si>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</si>
  <si>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</si>
  <si>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</si>
  <si>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</si>
  <si>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</si>
  <si>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</si>
  <si>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</si>
  <si>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</si>
  <si>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</si>
  <si>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</si>
  <si>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</si>
  <si>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</si>
  <si>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</si>
  <si>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</si>
  <si>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</si>
  <si>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</si>
  <si>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</si>
  <si>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</si>
  <si>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</si>
  <si>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</si>
  <si>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</si>
  <si>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</si>
  <si>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</si>
  <si>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</si>
  <si>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</si>
  <si>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</si>
  <si>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</si>
  <si>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</si>
  <si>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</si>
  <si>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</si>
  <si>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</si>
  <si>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</si>
  <si>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</si>
  <si>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</si>
  <si>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</si>
  <si>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</si>
  <si>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</si>
  <si>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</si>
  <si>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</si>
  <si>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</si>
  <si>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</si>
  <si>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</si>
  <si>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</si>
  <si>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</si>
  <si>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</si>
  <si>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</si>
  <si>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</si>
  <si>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</si>
  <si>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</si>
  <si>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</si>
  <si>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</si>
  <si>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</si>
  <si>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</si>
  <si>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</si>
  <si>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</si>
  <si>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</si>
  <si>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</si>
  <si>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</si>
  <si>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</si>
  <si>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</si>
  <si>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</si>
  <si>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</si>
  <si>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</si>
  <si>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</si>
  <si>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</si>
  <si>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</si>
  <si>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</si>
  <si>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</si>
  <si>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</si>
  <si>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</si>
  <si>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</si>
  <si>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</si>
  <si>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</si>
  <si>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</si>
  <si>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</si>
  <si>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</si>
  <si>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</si>
  <si>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</si>
  <si>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</si>
  <si>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</si>
  <si>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</si>
  <si>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</si>
  <si>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</si>
  <si>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</si>
  <si>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</si>
  <si>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</si>
  <si>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</si>
  <si>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</si>
  <si>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</si>
  <si>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</si>
  <si>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</si>
  <si>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</si>
  <si>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</si>
  <si>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</si>
  <si>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</si>
  <si>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</si>
  <si>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</si>
  <si>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</si>
  <si>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</si>
  <si>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</si>
  <si>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</si>
  <si>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</si>
  <si>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</si>
  <si>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</si>
  <si>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</si>
  <si>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</si>
  <si>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</si>
  <si>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</si>
  <si>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</si>
  <si>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</si>
  <si>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</si>
  <si>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</si>
  <si>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</si>
  <si>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</si>
  <si>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</si>
  <si>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</si>
  <si>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</si>
  <si>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</si>
  <si>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</si>
  <si>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</si>
  <si>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</si>
  <si>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</si>
  <si>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</si>
  <si>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</si>
  <si>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</si>
  <si>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</si>
  <si>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</si>
  <si>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</si>
  <si>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</si>
  <si>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</si>
  <si>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</si>
  <si>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</si>
  <si>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</si>
  <si>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</si>
  <si>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</si>
  <si>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</si>
  <si>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</si>
  <si>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</si>
  <si>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</si>
  <si>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</si>
  <si>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</si>
  <si>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</si>
  <si>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</si>
  <si>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</si>
  <si>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</si>
  <si>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</si>
  <si>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</si>
  <si>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</si>
  <si>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</si>
  <si>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</si>
  <si>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</si>
  <si>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</si>
  <si>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</si>
  <si>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</si>
  <si>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</si>
  <si>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</si>
  <si>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</si>
  <si>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</si>
  <si>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</si>
  <si>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</si>
  <si>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</si>
  <si>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</si>
  <si>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</si>
  <si>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</si>
  <si>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</si>
  <si>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</si>
  <si>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</si>
  <si>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</si>
  <si>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</si>
  <si>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</si>
  <si>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</si>
  <si>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</si>
  <si>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</si>
  <si>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</si>
  <si>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</si>
  <si>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</si>
  <si>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</si>
  <si>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</si>
  <si>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</si>
  <si>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</si>
  <si>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</si>
  <si>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</si>
  <si>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</si>
  <si>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</si>
  <si>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</si>
  <si>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</si>
  <si>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</si>
  <si>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</si>
  <si>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</si>
  <si>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</si>
  <si>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</si>
  <si>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</si>
  <si>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</si>
  <si>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</si>
  <si>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</si>
  <si>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</si>
  <si>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</si>
  <si>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</si>
  <si>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</si>
  <si>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</si>
  <si>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</si>
  <si>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</si>
  <si>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</si>
  <si>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</si>
  <si>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</si>
  <si>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</si>
  <si>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</si>
  <si>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</si>
  <si>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</si>
  <si>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</si>
  <si>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</si>
  <si>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</si>
  <si>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</si>
  <si>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</si>
  <si>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</si>
  <si>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</si>
  <si>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</si>
  <si>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</si>
  <si>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</si>
  <si>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</si>
  <si>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</si>
  <si>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</si>
  <si>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</si>
  <si>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</si>
  <si>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</si>
  <si>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</si>
  <si>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</si>
  <si>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</si>
  <si>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</si>
  <si>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</si>
  <si>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</si>
  <si>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</si>
  <si>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</si>
  <si>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</si>
  <si>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</si>
  <si>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</si>
  <si>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</si>
  <si>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</si>
  <si>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</si>
  <si>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</si>
  <si>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</si>
  <si>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</si>
  <si>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</si>
  <si>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</si>
  <si>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</si>
  <si>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</si>
  <si>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</si>
  <si>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</si>
  <si>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</si>
  <si>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</si>
  <si>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</si>
  <si>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</si>
  <si>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</si>
  <si>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</si>
  <si>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</si>
  <si>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</si>
  <si>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</si>
  <si>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</si>
  <si>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</si>
  <si>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</si>
  <si>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</si>
  <si>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</si>
  <si>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</si>
  <si>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</si>
  <si>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</si>
  <si>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</si>
  <si>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</si>
  <si>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</si>
  <si>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</si>
  <si>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</si>
  <si>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</si>
  <si>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</si>
  <si>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</si>
  <si>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</si>
  <si>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</si>
  <si>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</si>
  <si>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</si>
  <si>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</si>
  <si>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</si>
  <si>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</si>
  <si>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</si>
  <si>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</si>
  <si>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</si>
  <si>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</si>
  <si>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</si>
  <si>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</si>
  <si>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</si>
  <si>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</si>
  <si>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</si>
  <si>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</si>
  <si>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</si>
  <si>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</si>
  <si>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</si>
  <si>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</si>
  <si>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</si>
  <si>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</si>
  <si>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</si>
  <si>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</si>
  <si>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</si>
  <si>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</si>
  <si>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</si>
  <si>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</si>
  <si>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</si>
  <si>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</si>
  <si>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</si>
  <si>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</si>
  <si>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</si>
  <si>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</si>
  <si>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</si>
  <si>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</si>
  <si>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</si>
  <si>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</si>
  <si>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</si>
  <si>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</si>
  <si>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</si>
  <si>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</si>
  <si>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</si>
  <si>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</si>
  <si>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</si>
  <si>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</si>
  <si>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</si>
  <si>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</si>
  <si>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</si>
  <si>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</si>
  <si>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</si>
  <si>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</si>
  <si>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</si>
  <si>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</si>
  <si>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</si>
  <si>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</si>
  <si>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</si>
  <si>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</si>
  <si>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</si>
  <si>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</si>
  <si>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</si>
  <si>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</si>
  <si>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</si>
  <si>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</si>
  <si>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</si>
  <si>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</si>
  <si>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</si>
  <si>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</si>
  <si>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</si>
  <si>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</si>
  <si>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</si>
  <si>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</si>
  <si>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</si>
  <si>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</si>
  <si>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</si>
  <si>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</si>
  <si>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</si>
  <si>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</si>
  <si>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</si>
  <si>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</si>
  <si>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</si>
  <si>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</si>
  <si>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</si>
  <si>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</si>
  <si>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</si>
  <si>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</si>
  <si>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</si>
  <si>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</si>
  <si>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</si>
  <si>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</si>
  <si>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</si>
  <si>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</si>
  <si>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</si>
  <si>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</si>
  <si>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</si>
  <si>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</si>
  <si>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</si>
  <si>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</si>
  <si>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</si>
  <si>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</si>
  <si>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</si>
  <si>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</si>
  <si>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</si>
  <si>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</si>
  <si>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</si>
  <si>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</si>
  <si>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</si>
  <si>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</si>
  <si>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</si>
  <si>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</si>
  <si>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</si>
  <si>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</si>
  <si>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</si>
  <si>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</si>
  <si>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</si>
  <si>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</si>
  <si>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</si>
  <si>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</si>
  <si>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</si>
  <si>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</si>
  <si>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</si>
  <si>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</si>
  <si>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</si>
  <si>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</si>
  <si>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</si>
  <si>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</si>
  <si>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</si>
  <si>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</si>
  <si>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</si>
  <si>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</si>
  <si>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</si>
  <si>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</si>
  <si>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</si>
  <si>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</si>
  <si>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</si>
  <si>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</si>
  <si>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</si>
  <si>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</si>
  <si>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</si>
  <si>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</si>
  <si>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</si>
  <si>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</si>
  <si>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</si>
  <si>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</si>
  <si>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</si>
  <si>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</si>
  <si>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</si>
  <si>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</si>
  <si>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</si>
  <si>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</si>
  <si>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</si>
  <si>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</si>
  <si>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</si>
  <si>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</si>
  <si>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</si>
  <si>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</si>
  <si>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</si>
  <si>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</si>
  <si>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</si>
  <si>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</si>
  <si>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</si>
  <si>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</si>
  <si>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</si>
  <si>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</si>
  <si>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</si>
  <si>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</si>
  <si>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</si>
  <si>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</si>
  <si>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</si>
  <si>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</si>
  <si>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</si>
  <si>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</si>
  <si>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</si>
  <si>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</si>
  <si>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</si>
  <si>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</si>
  <si>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</si>
  <si>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</si>
  <si>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</si>
  <si>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</si>
  <si>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</si>
  <si>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</si>
  <si>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</si>
  <si>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</si>
  <si>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</si>
  <si>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</si>
  <si>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</si>
  <si>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</si>
  <si>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</si>
  <si>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</si>
  <si>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</si>
  <si>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</si>
  <si>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</si>
  <si>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</si>
  <si>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</si>
  <si>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</si>
  <si>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</si>
  <si>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</si>
  <si>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</si>
  <si>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</si>
  <si>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</si>
  <si>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</si>
  <si>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</si>
  <si>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</si>
  <si>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</si>
  <si>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</si>
  <si>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</si>
  <si>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</si>
  <si>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</si>
  <si>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</si>
  <si>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</si>
  <si>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</si>
  <si>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</si>
  <si>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</si>
  <si>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</si>
  <si>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</si>
  <si>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</si>
  <si>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</si>
  <si>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</si>
  <si>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</si>
  <si>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</si>
  <si>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</si>
  <si>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</si>
  <si>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</si>
  <si>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</si>
  <si>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</si>
  <si>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</si>
  <si>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</si>
  <si>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</si>
  <si>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</si>
  <si>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</si>
  <si>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</si>
  <si>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</si>
  <si>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</si>
  <si>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</si>
  <si>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</si>
  <si>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</si>
  <si>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</si>
  <si>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</si>
  <si>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</si>
  <si>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</si>
  <si>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</si>
  <si>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</si>
  <si>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</si>
  <si>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</si>
  <si>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</si>
  <si>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</si>
  <si>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</si>
  <si>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</si>
  <si>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</si>
  <si>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</si>
  <si>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</si>
  <si>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</si>
  <si>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</si>
  <si>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</si>
  <si>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</si>
  <si>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</si>
  <si>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</si>
  <si>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</si>
  <si>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</si>
  <si>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</si>
  <si>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</si>
  <si>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</si>
  <si>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</si>
  <si>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</si>
  <si>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</si>
  <si>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</si>
  <si>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</si>
  <si>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</si>
  <si>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</si>
  <si>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</si>
  <si>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</si>
  <si>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</si>
  <si>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</si>
  <si>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</si>
  <si>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</si>
  <si>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</si>
  <si>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</si>
  <si>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</si>
  <si>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</si>
  <si>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</si>
  <si>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</si>
  <si>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</si>
  <si>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</si>
  <si>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</si>
  <si>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</si>
  <si>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</si>
  <si>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</si>
  <si>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</si>
  <si>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</si>
  <si>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</si>
  <si>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</si>
  <si>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</si>
  <si>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</si>
  <si>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</si>
  <si>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</si>
  <si>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</si>
  <si>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</si>
  <si>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</si>
  <si>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</si>
  <si>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</si>
  <si>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</si>
  <si>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</si>
  <si>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</si>
  <si>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</si>
  <si>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</si>
  <si>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</si>
  <si>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</si>
  <si>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</si>
  <si>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</si>
  <si>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</si>
  <si>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</si>
  <si>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</si>
  <si>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</si>
  <si>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</si>
  <si>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</si>
  <si>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</si>
  <si>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</si>
  <si>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</si>
  <si>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</si>
  <si>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</si>
  <si>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</si>
  <si>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</si>
  <si>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</si>
  <si>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</si>
  <si>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</si>
  <si>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</si>
  <si>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</si>
  <si>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</si>
  <si>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</si>
  <si>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</si>
  <si>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</si>
  <si>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</si>
  <si>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</si>
  <si>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</si>
  <si>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</si>
  <si>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</si>
  <si>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</si>
  <si>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</si>
  <si>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</si>
  <si>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</si>
  <si>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</si>
  <si>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</si>
  <si>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</si>
  <si>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</si>
  <si>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</si>
  <si>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</si>
  <si>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</si>
  <si>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</si>
  <si>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</si>
  <si>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</si>
  <si>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</si>
  <si>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</si>
  <si>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</si>
  <si>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</si>
  <si>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</si>
  <si>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</si>
  <si>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</si>
  <si>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</si>
  <si>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</si>
  <si>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</si>
  <si>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</si>
  <si>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</si>
  <si>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</si>
  <si>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</si>
  <si>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</si>
  <si>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</si>
  <si>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</si>
  <si>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</si>
  <si>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</si>
  <si>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</si>
  <si>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</si>
  <si>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</si>
  <si>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</si>
  <si>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</si>
  <si>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</si>
  <si>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</si>
  <si>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</si>
  <si>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</si>
  <si>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</si>
  <si>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</si>
  <si>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</si>
  <si>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</si>
  <si>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</si>
  <si>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</si>
  <si>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</si>
  <si>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</si>
  <si>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</si>
  <si>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</si>
  <si>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</si>
  <si>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</si>
  <si>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</si>
  <si>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</si>
  <si>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</si>
  <si>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</si>
  <si>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</si>
  <si>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</si>
  <si>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</si>
  <si>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</si>
  <si>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</si>
  <si>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</si>
  <si>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</si>
  <si>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</si>
  <si>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</si>
  <si>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</si>
  <si>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</si>
  <si>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</si>
  <si>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</si>
  <si>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</si>
  <si>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</si>
  <si>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</si>
  <si>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</si>
  <si>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</si>
  <si>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</si>
  <si>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</si>
  <si>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</si>
  <si>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</si>
  <si>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</si>
  <si>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</si>
  <si>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</si>
  <si>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</si>
  <si>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</si>
  <si>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</si>
  <si>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</si>
  <si>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</si>
  <si>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</si>
  <si>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</si>
  <si>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</si>
  <si>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</si>
  <si>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</si>
  <si>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</si>
  <si>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</si>
  <si>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</si>
  <si>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</si>
  <si>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</si>
  <si>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</si>
  <si>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</si>
  <si>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</si>
  <si>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</si>
  <si>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</si>
  <si>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</si>
  <si>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</si>
  <si>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</si>
  <si>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</si>
  <si>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</si>
  <si>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</si>
  <si>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</si>
  <si>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</si>
  <si>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</si>
  <si>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</si>
  <si>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</si>
  <si>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</si>
  <si>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</si>
  <si>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</si>
  <si>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</si>
  <si>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</si>
  <si>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</si>
  <si>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</si>
  <si>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</si>
  <si>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</si>
  <si>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</si>
  <si>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</si>
  <si>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</si>
  <si>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</si>
  <si>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</si>
  <si>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</si>
  <si>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</si>
  <si>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</si>
  <si>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</si>
  <si>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</si>
  <si>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</si>
  <si>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</si>
  <si>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</si>
  <si>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</si>
  <si>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</si>
  <si>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</si>
  <si>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</si>
  <si>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</si>
  <si>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</si>
  <si>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</si>
  <si>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</si>
  <si>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</si>
  <si>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</si>
  <si>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</si>
  <si>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</si>
  <si>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</si>
  <si>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</si>
  <si>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</si>
  <si>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</si>
  <si>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</si>
  <si>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</si>
  <si>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</si>
  <si>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</si>
  <si>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</si>
  <si>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</si>
  <si>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</si>
  <si>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</si>
  <si>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</si>
  <si>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</si>
  <si>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</si>
  <si>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</si>
  <si>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</si>
  <si>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</si>
  <si>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</si>
  <si>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</si>
  <si>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</si>
  <si>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</si>
  <si>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</si>
  <si>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</si>
  <si>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</si>
  <si>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</si>
  <si>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</si>
  <si>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</si>
  <si>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</si>
  <si>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</si>
  <si>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</si>
  <si>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</si>
  <si>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</si>
  <si>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</si>
  <si>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</si>
  <si>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</si>
  <si>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</si>
  <si>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</si>
  <si>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</si>
  <si>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</si>
  <si>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</si>
  <si>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</si>
  <si>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</si>
  <si>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</si>
  <si>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</si>
  <si>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</si>
  <si>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</si>
  <si>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</si>
  <si>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</si>
  <si>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</si>
  <si>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</si>
  <si>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</si>
  <si>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</si>
  <si>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</si>
  <si>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</si>
  <si>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</si>
  <si>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</si>
  <si>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</si>
  <si>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</si>
  <si>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</si>
  <si>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</si>
  <si>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</si>
  <si>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</si>
  <si>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</si>
  <si>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</si>
  <si>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</si>
  <si>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</si>
  <si>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</si>
  <si>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</si>
  <si>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</si>
  <si>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</si>
  <si>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</si>
  <si>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</si>
  <si>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</si>
  <si>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</si>
  <si>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</si>
  <si>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</si>
  <si>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</si>
  <si>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</si>
  <si>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</si>
  <si>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</si>
  <si>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</si>
  <si>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</si>
  <si>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</si>
  <si>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</si>
  <si>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</si>
  <si>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</si>
  <si>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</si>
  <si>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</si>
  <si>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</si>
  <si>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</si>
  <si>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</si>
  <si>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</si>
  <si>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</si>
  <si>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</si>
  <si>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</si>
  <si>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</si>
  <si>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</si>
  <si>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</si>
  <si>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</si>
  <si>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</si>
  <si>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</si>
  <si>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</si>
  <si>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</si>
  <si>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</si>
  <si>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</si>
  <si>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</si>
  <si>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</si>
  <si>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</si>
  <si>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</si>
  <si>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</si>
  <si>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</si>
  <si>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</si>
  <si>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</si>
  <si>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</si>
  <si>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</si>
  <si>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</si>
  <si>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</si>
  <si>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</si>
  <si>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</si>
  <si>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</si>
  <si>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</si>
  <si>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</si>
  <si>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</si>
  <si>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</si>
  <si>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</si>
  <si>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</si>
  <si>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</si>
  <si>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</si>
  <si>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</si>
  <si>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</si>
  <si>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</si>
  <si>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</si>
  <si>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</si>
  <si>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</si>
  <si>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</si>
  <si>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</si>
  <si>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</si>
  <si>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</si>
  <si>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</si>
  <si>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</si>
  <si>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</si>
  <si>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</si>
  <si>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</si>
  <si>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</si>
  <si>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</si>
  <si>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</si>
  <si>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</si>
  <si>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</si>
  <si>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</si>
  <si>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</si>
  <si>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</si>
  <si>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</si>
  <si>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</si>
  <si>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</si>
  <si>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</si>
  <si>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</si>
  <si>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</si>
  <si>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</si>
  <si>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</si>
  <si>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</si>
  <si>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</si>
  <si>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</si>
  <si>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</si>
  <si>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</si>
  <si>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</si>
  <si>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</si>
  <si>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</si>
  <si>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</si>
  <si>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</si>
  <si>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</si>
  <si>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</si>
  <si>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</si>
  <si>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</si>
  <si>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</si>
  <si>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</si>
  <si>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</si>
  <si>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</si>
  <si>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</si>
  <si>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</si>
  <si>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</si>
  <si>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</si>
  <si>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</si>
  <si>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</si>
  <si>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</si>
  <si>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</si>
  <si>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</si>
  <si>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</si>
  <si>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</si>
  <si>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</si>
  <si>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</si>
  <si>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</si>
  <si>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</si>
  <si>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</si>
  <si>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</si>
  <si>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</si>
  <si>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</si>
  <si>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</si>
  <si>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</si>
  <si>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</si>
  <si>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</si>
  <si>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</si>
  <si>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</si>
  <si>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</si>
  <si>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</si>
  <si>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</si>
  <si>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</si>
  <si>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</si>
  <si>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</si>
  <si>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</si>
  <si>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</si>
  <si>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</si>
  <si>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</si>
  <si>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</si>
  <si>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</si>
  <si>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</si>
  <si>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</si>
  <si>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</si>
  <si>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</si>
  <si>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</si>
  <si>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</si>
  <si>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</si>
  <si>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</si>
  <si>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</si>
  <si>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</si>
  <si>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</si>
  <si>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</si>
  <si>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</si>
  <si>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</si>
  <si>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</si>
  <si>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</si>
  <si>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</si>
  <si>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</si>
  <si>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</si>
  <si>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</si>
  <si>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</si>
  <si>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</si>
  <si>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</si>
  <si>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</si>
  <si>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</si>
  <si>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</si>
  <si>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</si>
  <si>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</si>
  <si>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</si>
  <si>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</si>
  <si>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</si>
  <si>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</si>
  <si>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</si>
  <si>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</si>
  <si>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</si>
  <si>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</si>
  <si>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</si>
  <si>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</si>
  <si>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</si>
  <si>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</si>
  <si>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</si>
  <si>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</si>
  <si>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</si>
  <si>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</si>
  <si>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</si>
  <si>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</si>
  <si>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</si>
  <si>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</si>
  <si>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</si>
  <si>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</si>
  <si>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</si>
  <si>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</si>
  <si>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</si>
  <si>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</si>
  <si>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</si>
  <si>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</si>
  <si>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</si>
  <si>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</si>
  <si>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</si>
  <si>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</si>
  <si>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</si>
  <si>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</si>
  <si>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</si>
  <si>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</si>
  <si>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</si>
  <si>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</si>
  <si>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</si>
  <si>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</si>
  <si>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</si>
  <si>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</si>
  <si>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</si>
  <si>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</si>
  <si>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</si>
  <si>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</si>
  <si>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</si>
  <si>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</si>
  <si>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</si>
  <si>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</si>
  <si>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</si>
  <si>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</si>
  <si>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</si>
  <si>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</si>
  <si>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</si>
  <si>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</si>
  <si>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</si>
  <si>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</si>
  <si>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</si>
  <si>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</si>
  <si>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</si>
  <si>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</si>
  <si>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</si>
  <si>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</si>
  <si>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</si>
  <si>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</si>
  <si>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</si>
  <si>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</si>
  <si>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</si>
  <si>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</si>
  <si>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</si>
  <si>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</si>
  <si>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</si>
  <si>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</si>
  <si>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</si>
  <si>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</si>
  <si>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</si>
  <si>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</si>
  <si>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</si>
  <si>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</si>
  <si>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</si>
  <si>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</si>
  <si>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</si>
  <si>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</si>
  <si>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</si>
  <si>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</si>
  <si>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</si>
  <si>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</si>
  <si>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</si>
  <si>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</si>
  <si>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</si>
  <si>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</si>
  <si>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</si>
  <si>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</si>
  <si>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</si>
  <si>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</si>
  <si>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</si>
  <si>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</si>
  <si>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</si>
  <si>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</si>
  <si>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</si>
  <si>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</si>
  <si>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</si>
  <si>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</si>
  <si>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</si>
  <si>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</si>
  <si>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</si>
  <si>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</si>
  <si>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</si>
  <si>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</si>
  <si>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</si>
  <si>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</si>
  <si>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</si>
  <si>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</si>
  <si>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</si>
  <si>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</si>
  <si>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</si>
  <si>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</si>
  <si>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</si>
  <si>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</si>
  <si>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</si>
  <si>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</si>
  <si>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</si>
  <si>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</si>
  <si>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</si>
  <si>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</si>
  <si>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</si>
  <si>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</si>
  <si>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</si>
  <si>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</si>
  <si>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</si>
  <si>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</si>
  <si>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</si>
  <si>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</si>
  <si>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</si>
  <si>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</si>
  <si>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</si>
  <si>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</si>
  <si>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</si>
  <si>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</si>
  <si>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</si>
  <si>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</si>
  <si>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</si>
  <si>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</si>
  <si>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</si>
  <si>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</si>
  <si>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</si>
  <si>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</si>
  <si>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</si>
  <si>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</si>
  <si>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</si>
  <si>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</si>
  <si>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</si>
  <si>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</si>
  <si>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</si>
  <si>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</si>
  <si>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</si>
  <si>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</si>
  <si>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</si>
  <si>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</si>
  <si>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</si>
  <si>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</si>
  <si>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</si>
  <si>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</si>
  <si>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</si>
  <si>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</si>
  <si>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</si>
  <si>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</si>
  <si>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</si>
  <si>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</si>
  <si>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</si>
  <si>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</si>
  <si>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</si>
  <si>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</si>
  <si>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</si>
  <si>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</si>
  <si>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</si>
  <si>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</si>
  <si>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</si>
  <si>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</si>
  <si>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</si>
  <si>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</si>
  <si>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</si>
  <si>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</si>
  <si>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</si>
  <si>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</si>
  <si>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</si>
  <si>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</si>
  <si>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</si>
  <si>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</si>
  <si>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</si>
  <si>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</si>
  <si>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</si>
  <si>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</si>
  <si>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</si>
  <si>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</si>
  <si>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</si>
  <si>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</si>
  <si>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</si>
  <si>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</si>
  <si>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</si>
  <si>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</si>
  <si>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</si>
  <si>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</si>
  <si>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</si>
  <si>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</si>
  <si>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</si>
  <si>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</si>
  <si>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</si>
  <si>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</si>
  <si>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</si>
  <si>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</si>
  <si>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</si>
  <si>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</si>
  <si>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</si>
  <si>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</si>
  <si>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</si>
  <si>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</si>
  <si>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</si>
  <si>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</si>
  <si>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</si>
  <si>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</si>
  <si>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</si>
  <si>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</si>
  <si>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</si>
  <si>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</si>
  <si>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</si>
  <si>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</si>
  <si>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</si>
  <si>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</si>
  <si>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</si>
  <si>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</si>
  <si>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</si>
  <si>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</si>
  <si>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</si>
  <si>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</si>
  <si>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</si>
  <si>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</si>
  <si>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</si>
  <si>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</si>
  <si>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</si>
  <si>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</si>
  <si>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</si>
  <si>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</si>
  <si>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</si>
  <si>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</si>
  <si>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</si>
  <si>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</si>
  <si>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</si>
  <si>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</si>
  <si>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</si>
  <si>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</si>
  <si>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</si>
  <si>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</si>
  <si>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</si>
  <si>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</si>
  <si>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</si>
  <si>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</si>
  <si>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</si>
  <si>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</si>
  <si>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</si>
  <si>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</si>
  <si>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</si>
  <si>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</si>
  <si>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</si>
  <si>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</si>
  <si>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</si>
  <si>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</si>
  <si>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</si>
  <si>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</si>
  <si>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</si>
  <si>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</si>
  <si>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</si>
  <si>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</si>
  <si>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</si>
  <si>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</si>
  <si>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</si>
  <si>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</si>
  <si>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</si>
  <si>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</si>
  <si>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</si>
  <si>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</si>
  <si>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</si>
  <si>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</si>
  <si>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</si>
  <si>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</si>
  <si>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</si>
  <si>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</si>
  <si>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</si>
  <si>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</si>
  <si>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</si>
  <si>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</si>
  <si>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</si>
  <si>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</si>
  <si>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</si>
  <si>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</si>
  <si>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</si>
  <si>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</si>
  <si>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</si>
  <si>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</si>
  <si>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</si>
  <si>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</si>
  <si>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</si>
  <si>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</si>
  <si>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</si>
  <si>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</si>
  <si>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</si>
  <si>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</si>
  <si>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</si>
  <si>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</si>
  <si>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</si>
  <si>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</si>
  <si>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</si>
  <si>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</si>
  <si>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</si>
  <si>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</si>
  <si>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</si>
  <si>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</si>
  <si>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</si>
  <si>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</si>
  <si>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</si>
  <si>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</si>
  <si>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</si>
  <si>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</si>
  <si>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</si>
  <si>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</si>
  <si>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</si>
  <si>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</si>
  <si>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</si>
  <si>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</si>
  <si>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</si>
  <si>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</si>
  <si>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</si>
  <si>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</si>
  <si>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</si>
  <si>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</si>
  <si>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</si>
  <si>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</si>
  <si>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</si>
  <si>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</si>
  <si>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</si>
  <si>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</si>
  <si>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</si>
  <si>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</si>
  <si>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</si>
  <si>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</si>
  <si>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</si>
  <si>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</si>
  <si>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</si>
  <si>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</si>
  <si>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</si>
  <si>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</si>
  <si>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</si>
  <si>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</si>
  <si>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</si>
  <si>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</si>
  <si>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</si>
  <si>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</si>
  <si>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</si>
  <si>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</si>
  <si>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</si>
  <si>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</si>
  <si>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</si>
  <si>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</si>
  <si>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</si>
  <si>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</si>
  <si>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</si>
  <si>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</si>
  <si>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</si>
  <si>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</si>
  <si>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</si>
  <si>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</si>
  <si>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</si>
  <si>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</si>
  <si>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</si>
  <si>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</si>
  <si>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</si>
  <si>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</si>
  <si>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</si>
  <si>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</si>
  <si>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</si>
  <si>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</si>
  <si>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</si>
  <si>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</si>
  <si>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</si>
  <si>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</si>
  <si>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</si>
  <si>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</si>
  <si>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</si>
  <si>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</si>
  <si>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</si>
  <si>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</si>
  <si>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</si>
  <si>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</si>
  <si>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</si>
  <si>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</si>
  <si>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</si>
  <si>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</si>
  <si>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</si>
  <si>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</si>
  <si>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</si>
  <si>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</si>
  <si>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</si>
  <si>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</si>
  <si>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</si>
  <si>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</si>
  <si>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</si>
  <si>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</si>
  <si>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</si>
  <si>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</si>
  <si>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</si>
  <si>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</si>
  <si>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</si>
  <si>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</si>
  <si>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</si>
  <si>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</si>
  <si>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</si>
  <si>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</si>
  <si>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</si>
  <si>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</si>
  <si>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</si>
  <si>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</si>
  <si>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</si>
  <si>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</si>
  <si>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</si>
  <si>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</si>
  <si>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</si>
  <si>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</si>
  <si>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</si>
  <si>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</si>
  <si>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</si>
  <si>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</si>
  <si>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</si>
  <si>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</si>
  <si>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</si>
  <si>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</si>
  <si>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</si>
  <si>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</si>
  <si>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</si>
  <si>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</si>
  <si>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</si>
  <si>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</si>
  <si>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</si>
  <si>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</si>
  <si>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</si>
  <si>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</si>
  <si>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</si>
  <si>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</si>
  <si>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</si>
  <si>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</si>
  <si>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</si>
  <si>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</si>
  <si>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</si>
  <si>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</si>
  <si>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</si>
  <si>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</si>
  <si>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</si>
  <si>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</si>
  <si>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</si>
  <si>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</si>
  <si>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</si>
  <si>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</si>
  <si>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</si>
  <si>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</si>
  <si>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</si>
  <si>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</si>
  <si>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</si>
  <si>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</si>
  <si>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</si>
  <si>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</si>
  <si>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</si>
  <si>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</si>
  <si>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</si>
  <si>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</si>
  <si>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</si>
  <si>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</si>
  <si>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</si>
  <si>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</si>
  <si>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</si>
  <si>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</si>
  <si>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</si>
  <si>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</si>
  <si>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</si>
  <si>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</si>
  <si>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</si>
  <si>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</si>
  <si>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</si>
  <si>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</si>
  <si>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</si>
  <si>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</si>
  <si>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</si>
  <si>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</si>
  <si>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</si>
  <si>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</si>
  <si>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</si>
  <si>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</si>
  <si>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</si>
  <si>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</si>
  <si>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</si>
  <si>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</si>
  <si>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</si>
  <si>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</si>
  <si>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</si>
  <si>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</si>
  <si>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</si>
  <si>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</si>
  <si>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</si>
  <si>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</si>
  <si>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</si>
  <si>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</si>
  <si>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</si>
  <si>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</si>
  <si>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</si>
  <si>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</si>
  <si>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</si>
  <si>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</si>
  <si>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</si>
  <si>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</si>
  <si>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</si>
  <si>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</si>
  <si>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</si>
  <si>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</si>
  <si>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</si>
  <si>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</si>
  <si>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</si>
  <si>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</si>
  <si>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</si>
  <si>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</si>
  <si>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</si>
  <si>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</si>
  <si>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</si>
  <si>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</si>
  <si>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</si>
  <si>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</si>
  <si>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</si>
  <si>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</si>
  <si>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</si>
  <si>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</si>
  <si>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</si>
  <si>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</si>
  <si>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</si>
  <si>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</si>
  <si>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</si>
  <si>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</si>
  <si>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</si>
  <si>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</si>
  <si>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</si>
  <si>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</si>
  <si>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</si>
  <si>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</si>
  <si>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</si>
  <si>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</si>
  <si>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</si>
  <si>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</si>
  <si>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</si>
  <si>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</si>
  <si>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</si>
  <si>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</si>
  <si>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</si>
  <si>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</si>
  <si>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</si>
  <si>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</si>
  <si>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</si>
  <si>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</si>
  <si>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</si>
  <si>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</si>
  <si>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</si>
  <si>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</si>
  <si>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</si>
  <si>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</si>
  <si>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</si>
  <si>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</si>
  <si>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</si>
  <si>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</si>
  <si>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</si>
  <si>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</si>
  <si>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</si>
  <si>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</si>
  <si>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</si>
  <si>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</si>
  <si>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</si>
  <si>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</si>
  <si>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</si>
  <si>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</si>
  <si>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</si>
  <si>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</si>
  <si>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</si>
  <si>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</si>
  <si>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</si>
  <si>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</si>
  <si>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</si>
  <si>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</si>
  <si>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</si>
  <si>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</si>
  <si>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</si>
  <si>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</si>
  <si>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</si>
  <si>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</si>
  <si>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</si>
  <si>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</si>
  <si>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</si>
  <si>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</si>
  <si>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</si>
  <si>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</si>
  <si>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</si>
  <si>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</si>
  <si>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</si>
  <si>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</si>
  <si>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</si>
  <si>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</si>
  <si>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</si>
  <si>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</si>
  <si>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</si>
  <si>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</si>
  <si>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</si>
  <si>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</si>
  <si>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</si>
  <si>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</si>
  <si>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</si>
  <si>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</si>
  <si>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</si>
  <si>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</si>
  <si>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</si>
  <si>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</si>
  <si>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</si>
  <si>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</si>
  <si>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</si>
  <si>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</si>
  <si>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</si>
  <si>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</si>
  <si>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</si>
  <si>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</si>
  <si>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</si>
  <si>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</si>
  <si>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</si>
  <si>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</si>
  <si>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</si>
  <si>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</si>
  <si>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</si>
  <si>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</si>
  <si>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</si>
  <si>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</si>
  <si>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</si>
  <si>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</si>
  <si>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</si>
  <si>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</si>
  <si>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</si>
  <si>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</si>
  <si>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</si>
  <si>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</si>
  <si>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</si>
  <si>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</si>
  <si>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</si>
  <si>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</si>
  <si>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</si>
  <si>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</si>
  <si>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</si>
  <si>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</si>
  <si>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</si>
  <si>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</si>
  <si>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</si>
  <si>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</si>
  <si>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</si>
  <si>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</si>
  <si>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</si>
  <si>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</si>
  <si>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</si>
  <si>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</si>
  <si>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</si>
  <si>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</si>
  <si>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</si>
  <si>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</si>
  <si>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</si>
  <si>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</si>
  <si>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</si>
  <si>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</si>
  <si>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</si>
  <si>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</si>
  <si>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</si>
  <si>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</si>
  <si>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</si>
  <si>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</si>
  <si>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</si>
  <si>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</si>
  <si>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</si>
  <si>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</si>
  <si>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</si>
  <si>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</si>
  <si>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</si>
  <si>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</si>
  <si>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</si>
  <si>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</si>
  <si>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</si>
  <si>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</si>
  <si>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</si>
  <si>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</si>
  <si>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</si>
  <si>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</si>
  <si>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</si>
  <si>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</si>
  <si>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</si>
  <si>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</si>
  <si>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</si>
  <si>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</si>
  <si>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</si>
  <si>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</si>
  <si>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</si>
  <si>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</si>
  <si>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</si>
  <si>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</si>
  <si>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</si>
  <si>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</si>
  <si>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</si>
  <si>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</si>
  <si>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</si>
  <si>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</si>
  <si>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</si>
  <si>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</si>
  <si>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</si>
  <si>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</si>
  <si>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</si>
  <si>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</si>
  <si>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</si>
  <si>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</si>
  <si>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</si>
  <si>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</si>
  <si>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</si>
  <si>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</si>
  <si>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</si>
  <si>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</si>
  <si>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</si>
  <si>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</si>
  <si>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</si>
  <si>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</si>
  <si>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</si>
  <si>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</si>
  <si>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</si>
  <si>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</si>
  <si>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</si>
  <si>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</si>
  <si>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</si>
  <si>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</si>
  <si>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</si>
  <si>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</si>
  <si>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</si>
  <si>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</si>
  <si>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</si>
  <si>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</si>
  <si>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</si>
  <si>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</si>
  <si>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</si>
  <si>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</si>
  <si>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</si>
  <si>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</si>
  <si>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</si>
  <si>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</si>
  <si>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</si>
  <si>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</si>
  <si>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</si>
  <si>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</si>
  <si>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</si>
  <si>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</si>
  <si>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</si>
  <si>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</si>
  <si>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</si>
  <si>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</si>
  <si>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</si>
  <si>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</si>
  <si>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</si>
  <si>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</si>
  <si>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</si>
  <si>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</si>
  <si>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</si>
  <si>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</si>
  <si>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</si>
  <si>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</si>
  <si>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</si>
  <si>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</si>
  <si>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</si>
  <si>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</si>
  <si>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</si>
  <si>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</si>
  <si>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</si>
  <si>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</si>
  <si>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</si>
  <si>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</si>
  <si>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</si>
  <si>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</si>
  <si>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</si>
  <si>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</si>
  <si>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</si>
  <si>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</si>
  <si>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</si>
  <si>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</si>
  <si>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</si>
  <si>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</si>
  <si>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</si>
  <si>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</si>
  <si>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</si>
  <si>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</si>
  <si>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</si>
  <si>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</si>
  <si>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</si>
  <si>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</si>
  <si>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</si>
  <si>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</si>
  <si>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</si>
  <si>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</si>
  <si>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</si>
  <si>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</si>
  <si>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</si>
  <si>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</si>
  <si>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</si>
  <si>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</si>
  <si>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</si>
  <si>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</si>
  <si>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</si>
  <si>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</si>
  <si>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</si>
  <si>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</si>
  <si>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</si>
  <si>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</si>
  <si>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</si>
  <si>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</si>
  <si>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</si>
  <si>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</si>
  <si>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</si>
  <si>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</si>
  <si>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</si>
  <si>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</si>
  <si>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</si>
  <si>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</si>
  <si>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</si>
  <si>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</si>
  <si>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</si>
  <si>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</si>
  <si>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</si>
  <si>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</si>
  <si>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</si>
  <si>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</si>
  <si>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</si>
  <si>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</si>
  <si>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</si>
  <si>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</si>
  <si>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</si>
  <si>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</si>
  <si>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</si>
  <si>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</si>
  <si>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</si>
  <si>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</si>
  <si>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</si>
  <si>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</si>
  <si>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</si>
  <si>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</si>
  <si>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</si>
  <si>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</si>
  <si>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</si>
  <si>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</si>
  <si>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</si>
  <si>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</si>
  <si>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</si>
  <si>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</si>
  <si>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</si>
  <si>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</si>
  <si>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</si>
  <si>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</si>
  <si>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</si>
  <si>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</si>
  <si>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</si>
  <si>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</si>
  <si>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</si>
  <si>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</si>
  <si>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</si>
  <si>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</si>
  <si>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</si>
  <si>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</si>
  <si>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</si>
  <si>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</si>
  <si>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</si>
  <si>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</si>
  <si>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</si>
  <si>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</si>
  <si>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</si>
  <si>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</si>
  <si>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</si>
  <si>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</si>
  <si>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</si>
  <si>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</si>
  <si>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</si>
  <si>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</si>
  <si>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</si>
  <si>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</si>
  <si>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</si>
  <si>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</si>
  <si>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</si>
  <si>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</si>
  <si>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</si>
  <si>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</si>
  <si>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</si>
  <si>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</si>
  <si>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</si>
  <si>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</si>
  <si>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</si>
  <si>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</si>
  <si>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</si>
  <si>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</si>
  <si>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</si>
  <si>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</si>
  <si>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</si>
  <si>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</si>
  <si>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</si>
  <si>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</si>
  <si>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</si>
  <si>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</si>
  <si>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</si>
  <si>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</si>
  <si>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</si>
  <si>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</si>
  <si>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</si>
  <si>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</si>
  <si>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</si>
  <si>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</si>
  <si>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</si>
  <si>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</si>
  <si>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</si>
  <si>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</si>
  <si>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</si>
  <si>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</si>
  <si>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</si>
  <si>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</si>
  <si>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</si>
  <si>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</si>
  <si>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</si>
  <si>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</si>
  <si>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</si>
  <si>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</si>
  <si>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</si>
  <si>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</si>
  <si>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</si>
  <si>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</si>
  <si>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</si>
  <si>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</si>
  <si>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</si>
  <si>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</si>
  <si>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</si>
  <si>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</si>
  <si>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</si>
  <si>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</si>
  <si>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</si>
  <si>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</si>
  <si>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</si>
  <si>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</si>
  <si>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</si>
  <si>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</si>
  <si>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</si>
  <si>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</si>
  <si>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</si>
  <si>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</si>
  <si>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</si>
  <si>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</si>
  <si>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</si>
  <si>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</si>
  <si>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</si>
  <si>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</si>
  <si>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</si>
  <si>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</si>
  <si>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</si>
  <si>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</si>
  <si>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</si>
  <si>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</si>
  <si>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</si>
  <si>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</si>
  <si>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</si>
  <si>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</si>
  <si>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</si>
  <si>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</si>
  <si>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</si>
  <si>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</si>
  <si>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</si>
  <si>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</si>
  <si>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</si>
  <si>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</si>
  <si>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</si>
  <si>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</si>
  <si>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</si>
  <si>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</si>
  <si>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</si>
  <si>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</si>
  <si>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</si>
  <si>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</si>
  <si>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</si>
  <si>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</si>
  <si>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</si>
  <si>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</si>
  <si>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</si>
  <si>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</si>
  <si>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</si>
  <si>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</si>
  <si>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</si>
  <si>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</si>
  <si>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</si>
  <si>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</si>
  <si>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</si>
  <si>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</si>
  <si>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</si>
  <si>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</si>
  <si>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</si>
  <si>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</si>
  <si>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</si>
  <si>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</si>
  <si>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</si>
  <si>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</si>
  <si>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</si>
  <si>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</si>
  <si>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</si>
  <si>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</si>
  <si>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</si>
  <si>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</si>
  <si>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</si>
  <si>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</si>
  <si>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</si>
  <si>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</si>
  <si>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</si>
  <si>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</si>
  <si>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</si>
  <si>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</si>
  <si>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</si>
  <si>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</si>
  <si>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</si>
  <si>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</si>
  <si>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</si>
  <si>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</si>
  <si>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</si>
  <si>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</si>
  <si>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</si>
  <si>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</si>
  <si>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</si>
  <si>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</si>
  <si>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</si>
  <si>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</si>
  <si>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</si>
  <si>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</si>
  <si>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</si>
  <si>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</si>
  <si>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</si>
  <si>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</si>
  <si>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</si>
  <si>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</si>
  <si>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</si>
  <si>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</si>
  <si>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</si>
  <si>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</si>
  <si>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</si>
  <si>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</si>
  <si>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</si>
  <si>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</si>
  <si>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</si>
  <si>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</si>
  <si>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</si>
  <si>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</si>
  <si>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</si>
  <si>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</si>
  <si>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</si>
  <si>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</si>
  <si>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</si>
  <si>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</si>
  <si>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</si>
  <si>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</si>
  <si>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</si>
  <si>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</si>
  <si>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</si>
  <si>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</si>
  <si>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</si>
  <si>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</si>
  <si>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</si>
  <si>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</si>
  <si>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</si>
  <si>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</si>
  <si>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</si>
  <si>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</si>
  <si>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</si>
  <si>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</si>
  <si>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</si>
  <si>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</si>
  <si>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</si>
  <si>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</si>
  <si>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</si>
  <si>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</si>
  <si>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</si>
  <si>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</si>
  <si>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</si>
  <si>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</si>
  <si>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</si>
  <si>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</si>
  <si>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</si>
  <si>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</si>
  <si>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</si>
  <si>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</si>
  <si>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</si>
  <si>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</si>
  <si>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</si>
  <si>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</si>
  <si>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</si>
  <si>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</si>
  <si>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</si>
  <si>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</si>
  <si>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</si>
  <si>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</si>
  <si>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</si>
  <si>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</si>
  <si>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</si>
  <si>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</si>
  <si>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</si>
  <si>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</si>
  <si>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</si>
  <si>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</si>
  <si>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</si>
  <si>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</si>
  <si>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</si>
  <si>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</si>
  <si>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</si>
  <si>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</si>
  <si>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</si>
  <si>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</si>
  <si>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</si>
  <si>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</si>
  <si>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</si>
  <si>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</si>
  <si>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</si>
  <si>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</si>
  <si>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</si>
  <si>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</si>
  <si>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</si>
  <si>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</si>
  <si>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</si>
  <si>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</si>
  <si>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</si>
  <si>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</si>
  <si>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</si>
  <si>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</si>
  <si>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</si>
  <si>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</si>
  <si>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</si>
  <si>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</si>
  <si>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</si>
  <si>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</si>
  <si>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</si>
  <si>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</si>
  <si>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</si>
  <si>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</si>
  <si>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</si>
  <si>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</si>
  <si>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</si>
  <si>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</si>
  <si>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</si>
  <si>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</si>
  <si>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</si>
  <si>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</si>
  <si>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</si>
  <si>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</si>
  <si>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</si>
  <si>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</si>
  <si>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</si>
  <si>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</si>
  <si>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</si>
  <si>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</si>
  <si>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</si>
  <si>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</si>
  <si>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</si>
  <si>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</si>
  <si>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</si>
  <si>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</si>
  <si>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</si>
  <si>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</si>
  <si>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</si>
  <si>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</si>
  <si>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</si>
  <si>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</si>
  <si>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</si>
  <si>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</si>
  <si>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</si>
  <si>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</si>
  <si>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</si>
  <si>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</si>
  <si>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</si>
  <si>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</si>
  <si>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</si>
  <si>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</si>
  <si>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</si>
  <si>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</si>
  <si>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</si>
  <si>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</si>
  <si>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</si>
  <si>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</si>
  <si>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</si>
  <si>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</si>
  <si>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</si>
  <si>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</si>
  <si>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</si>
  <si>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</si>
  <si>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</si>
  <si>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</si>
  <si>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</si>
  <si>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</si>
  <si>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</si>
  <si>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</si>
  <si>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</si>
  <si>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</si>
  <si>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</si>
  <si>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</si>
  <si>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</si>
  <si>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</si>
  <si>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</si>
  <si>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</si>
  <si>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</si>
  <si>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</si>
  <si>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</si>
  <si>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</si>
  <si>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</si>
  <si>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</si>
  <si>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</si>
  <si>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</si>
  <si>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</si>
  <si>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</si>
  <si>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</si>
  <si>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</si>
  <si>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</si>
  <si>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</si>
  <si>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</si>
  <si>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</si>
  <si>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</si>
  <si>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</si>
  <si>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</si>
  <si>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</si>
  <si>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</si>
  <si>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</si>
  <si>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</si>
  <si>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</si>
  <si>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</si>
  <si>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</si>
  <si>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</si>
  <si>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</si>
  <si>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</si>
  <si>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</si>
  <si>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</si>
  <si>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</si>
  <si>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</si>
  <si>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</si>
  <si>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</si>
  <si>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</si>
  <si>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</si>
  <si>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</si>
  <si>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</si>
  <si>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</si>
  <si>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</si>
  <si>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</si>
  <si>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</si>
  <si>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</si>
  <si>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</si>
  <si>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</si>
  <si>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</si>
  <si>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</si>
  <si>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</si>
  <si>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</si>
  <si>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</si>
  <si>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</si>
  <si>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</si>
  <si>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</si>
  <si>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</si>
  <si>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</si>
  <si>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</si>
  <si>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</si>
  <si>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</si>
  <si>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</si>
  <si>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</si>
  <si>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</si>
  <si>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</si>
  <si>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</si>
  <si>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</si>
  <si>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</si>
  <si>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</si>
  <si>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</si>
  <si>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</si>
  <si>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</si>
  <si>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</si>
  <si>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</si>
  <si>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</si>
  <si>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</si>
  <si>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</si>
  <si>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</si>
  <si>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</si>
  <si>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</si>
  <si>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</si>
  <si>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</si>
  <si>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</si>
  <si>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</si>
  <si>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</si>
  <si>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</si>
  <si>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</si>
  <si>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</si>
  <si>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</si>
  <si>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</si>
  <si>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</si>
  <si>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</si>
  <si>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</si>
  <si>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</si>
  <si>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</si>
  <si>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</si>
  <si>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</si>
  <si>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</si>
  <si>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</si>
  <si>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</si>
  <si>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</si>
  <si>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</si>
  <si>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</si>
  <si>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</si>
  <si>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</si>
  <si>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</si>
  <si>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</si>
  <si>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</si>
  <si>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</si>
  <si>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</si>
  <si>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</si>
  <si>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</si>
  <si>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</si>
  <si>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</si>
  <si>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</si>
  <si>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</si>
  <si>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</si>
  <si>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</si>
  <si>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</si>
  <si>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</si>
  <si>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</si>
  <si>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</si>
  <si>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</si>
  <si>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</si>
  <si>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</si>
  <si>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</si>
  <si>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</si>
  <si>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</si>
  <si>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</si>
  <si>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</si>
  <si>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</si>
  <si>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</si>
  <si>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</si>
  <si>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</si>
  <si>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</si>
  <si>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</si>
  <si>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</si>
  <si>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</si>
  <si>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</si>
  <si>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</si>
  <si>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</si>
  <si>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</si>
  <si>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</si>
  <si>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</si>
  <si>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</si>
  <si>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</si>
  <si>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</si>
  <si>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</si>
  <si>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</si>
  <si>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</si>
  <si>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</si>
  <si>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</si>
  <si>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</si>
  <si>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</si>
  <si>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</si>
  <si>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</si>
  <si>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</si>
  <si>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</si>
  <si>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</si>
  <si>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</si>
  <si>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</si>
  <si>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</si>
  <si>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</si>
  <si>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</si>
  <si>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</si>
  <si>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</si>
  <si>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</si>
  <si>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</si>
  <si>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</si>
  <si>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</si>
  <si>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</si>
  <si>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</si>
  <si>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</si>
  <si>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</si>
  <si>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</si>
  <si>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</si>
  <si>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</si>
  <si>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</si>
  <si>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</si>
  <si>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</si>
  <si>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</si>
  <si>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</si>
  <si>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</si>
  <si>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</si>
  <si>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</si>
  <si>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</si>
  <si>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</si>
  <si>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</si>
  <si>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</si>
  <si>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</si>
  <si>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</si>
  <si>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</si>
  <si>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</si>
  <si>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</si>
  <si>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</si>
  <si>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</si>
  <si>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</si>
  <si>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</si>
  <si>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</si>
  <si>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</si>
  <si>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</si>
  <si>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</si>
  <si>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</si>
  <si>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</si>
  <si>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</si>
  <si>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</si>
  <si>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</si>
  <si>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</si>
  <si>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</si>
  <si>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</si>
  <si>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</si>
  <si>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</si>
  <si>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</si>
  <si>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</si>
  <si>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</si>
  <si>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</si>
  <si>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</si>
  <si>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</si>
  <si>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</si>
  <si>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</si>
  <si>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</si>
  <si>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</si>
  <si>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</si>
  <si>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</si>
  <si>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</si>
  <si>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</si>
  <si>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</si>
  <si>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</si>
  <si>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</si>
  <si>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</si>
  <si>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</si>
  <si>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</si>
  <si>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</si>
  <si>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</si>
  <si>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</si>
  <si>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</si>
  <si>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</si>
  <si>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</si>
  <si>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</si>
  <si>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</si>
  <si>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</si>
  <si>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</si>
  <si>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</si>
  <si>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</si>
  <si>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</si>
  <si>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</si>
  <si>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</si>
  <si>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</si>
  <si>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</si>
  <si>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</si>
  <si>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</si>
  <si>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</si>
  <si>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</si>
  <si>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</si>
  <si>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</si>
  <si>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</si>
  <si>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</si>
  <si>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</si>
  <si>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</si>
  <si>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</si>
  <si>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</si>
  <si>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</si>
  <si>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</si>
  <si>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</si>
  <si>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</si>
  <si>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</si>
  <si>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</si>
  <si>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</si>
  <si>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</si>
  <si>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</si>
  <si>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</si>
  <si>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</si>
  <si>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</si>
  <si>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</si>
  <si>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</si>
  <si>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</si>
  <si>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</si>
  <si>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</si>
  <si>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</si>
  <si>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</si>
  <si>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</si>
  <si>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</si>
  <si>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</si>
  <si>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</si>
  <si>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</si>
  <si>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</si>
  <si>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</si>
  <si>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</si>
  <si>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</si>
  <si>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</si>
  <si>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</si>
  <si>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</si>
  <si>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</si>
  <si>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</si>
  <si>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</si>
  <si>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</si>
  <si>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</si>
  <si>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</si>
  <si>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</si>
  <si>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</si>
  <si>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</si>
  <si>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</si>
  <si>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</si>
  <si>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</si>
  <si>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</si>
  <si>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</si>
  <si>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</si>
  <si>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</si>
  <si>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</si>
  <si>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</si>
  <si>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</si>
  <si>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</si>
  <si>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</si>
  <si>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</si>
  <si>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</si>
  <si>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</si>
  <si>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</si>
  <si>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</si>
  <si>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</si>
  <si>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</si>
  <si>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</si>
  <si>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</si>
  <si>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</si>
  <si>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</si>
  <si>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</si>
  <si>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</si>
  <si>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</si>
  <si>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</si>
  <si>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</si>
  <si>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</si>
  <si>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</si>
  <si>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</si>
  <si>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</si>
  <si>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</si>
  <si>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</si>
  <si>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</si>
  <si>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</si>
  <si>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</si>
  <si>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</si>
  <si>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</si>
  <si>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</si>
  <si>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</si>
  <si>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</si>
  <si>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</si>
  <si>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</si>
  <si>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</si>
  <si>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</si>
  <si>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</si>
  <si>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</si>
  <si>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</si>
  <si>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</si>
  <si>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</si>
  <si>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</si>
  <si>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</si>
  <si>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</si>
  <si>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</si>
  <si>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</si>
  <si>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</si>
  <si>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</si>
  <si>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</si>
  <si>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</si>
  <si>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</si>
  <si>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</si>
  <si>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</si>
  <si>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</si>
  <si>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</si>
  <si>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</si>
  <si>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</si>
  <si>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</si>
  <si>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</si>
  <si>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</si>
  <si>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</si>
  <si>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</si>
  <si>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</si>
  <si>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</si>
  <si>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</si>
  <si>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</si>
  <si>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</si>
  <si>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</si>
  <si>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</si>
  <si>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</si>
  <si>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</si>
  <si>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</si>
  <si>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</si>
  <si>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</si>
  <si>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</si>
  <si>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</si>
  <si>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</si>
  <si>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</si>
  <si>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</si>
  <si>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</si>
  <si>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</si>
  <si>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</si>
  <si>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</si>
  <si>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</si>
  <si>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</si>
  <si>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</si>
  <si>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</si>
  <si>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</si>
  <si>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</si>
  <si>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</si>
  <si>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</si>
  <si>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</si>
  <si>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</si>
  <si>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</si>
  <si>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</si>
  <si>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</si>
  <si>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</si>
  <si>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</si>
  <si>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</si>
  <si>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</si>
  <si>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</si>
  <si>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</si>
  <si>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</si>
  <si>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</si>
  <si>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</si>
  <si>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</si>
  <si>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</si>
  <si>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</si>
  <si>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</si>
  <si>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</si>
  <si>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</si>
  <si>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</si>
  <si>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</si>
  <si>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</si>
  <si>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</si>
  <si>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</si>
  <si>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</si>
  <si>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</si>
  <si>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</si>
  <si>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</si>
  <si>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</si>
  <si>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</si>
  <si>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</si>
  <si>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</si>
  <si>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</si>
  <si>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</si>
  <si>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</si>
  <si>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</si>
  <si>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</si>
  <si>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</si>
  <si>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</si>
  <si>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</si>
  <si>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</si>
  <si>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</si>
  <si>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</si>
  <si>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</si>
  <si>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</si>
  <si>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</si>
  <si>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</si>
  <si>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</si>
  <si>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</si>
  <si>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</si>
  <si>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</si>
  <si>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</si>
  <si>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</si>
  <si>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</si>
  <si>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</si>
  <si>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</si>
  <si>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</si>
  <si>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</si>
  <si>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</si>
  <si>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</si>
  <si>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</si>
  <si>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</si>
  <si>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</si>
  <si>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</si>
  <si>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</si>
  <si>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</si>
  <si>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</si>
  <si>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</si>
  <si>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</si>
  <si>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</si>
  <si>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</si>
  <si>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</si>
  <si>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</si>
  <si>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</si>
  <si>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</si>
  <si>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</si>
  <si>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</si>
  <si>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</si>
  <si>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</si>
  <si>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</si>
  <si>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</si>
  <si>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</si>
  <si>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</si>
  <si>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</si>
  <si>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</si>
  <si>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</si>
  <si>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</si>
  <si>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</si>
  <si>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</si>
  <si>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</si>
  <si>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</si>
  <si>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</si>
  <si>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</si>
  <si>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</si>
  <si>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</si>
  <si>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</si>
  <si>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</si>
  <si>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</si>
  <si>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</si>
  <si>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</si>
  <si>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</si>
  <si>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</si>
  <si>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</si>
  <si>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</si>
  <si>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</si>
  <si>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</si>
  <si>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</si>
  <si>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</si>
  <si>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</si>
  <si>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</si>
  <si>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</si>
  <si>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</si>
  <si>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</si>
  <si>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</si>
  <si>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</si>
  <si>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</si>
  <si>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</si>
  <si>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</si>
  <si>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</si>
  <si>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</si>
  <si>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</si>
  <si>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</si>
  <si>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</si>
  <si>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</si>
  <si>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</si>
  <si>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</si>
  <si>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</si>
  <si>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</si>
  <si>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</si>
  <si>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</si>
  <si>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</si>
  <si>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</si>
  <si>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</si>
  <si>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</si>
  <si>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</si>
  <si>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</si>
  <si>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</si>
  <si>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</si>
  <si>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</si>
  <si>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</si>
  <si>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</si>
  <si>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</si>
  <si>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</si>
  <si>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</si>
  <si>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</si>
  <si>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</si>
  <si>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</si>
  <si>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</si>
  <si>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</si>
  <si>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</si>
  <si>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</si>
  <si>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</si>
  <si>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</si>
  <si>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</si>
  <si>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</si>
  <si>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</si>
  <si>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</si>
  <si>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</si>
  <si>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</si>
  <si>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</si>
  <si>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</si>
  <si>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</si>
  <si>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</si>
  <si>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</si>
  <si>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</si>
  <si>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</si>
  <si>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</si>
  <si>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</si>
  <si>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</si>
  <si>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</si>
  <si>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</si>
  <si>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</si>
  <si>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</si>
  <si>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</si>
  <si>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</si>
  <si>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</si>
  <si>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</si>
  <si>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</si>
  <si>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</si>
  <si>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</si>
  <si>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</si>
  <si>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</si>
  <si>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</si>
  <si>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</si>
  <si>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</si>
  <si>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</si>
  <si>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</si>
  <si>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</si>
  <si>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</si>
  <si>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</si>
  <si>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</si>
  <si>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</si>
  <si>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</si>
  <si>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</si>
  <si>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</si>
  <si>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</si>
  <si>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</si>
  <si>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</si>
  <si>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</si>
  <si>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</si>
  <si>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</si>
  <si>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</si>
  <si>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</si>
  <si>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</si>
  <si>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</si>
  <si>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</si>
  <si>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</si>
  <si>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</si>
  <si>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</si>
  <si>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</si>
  <si>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</si>
  <si>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</si>
  <si>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</si>
  <si>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</si>
  <si>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</si>
  <si>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</si>
  <si>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</si>
  <si>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</si>
  <si>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</si>
  <si>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</si>
  <si>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</si>
  <si>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</si>
  <si>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</si>
  <si>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</si>
  <si>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</si>
  <si>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</si>
  <si>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</si>
  <si>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</si>
  <si>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</si>
  <si>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</si>
  <si>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</si>
  <si>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</si>
  <si>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</si>
  <si>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</si>
  <si>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</si>
  <si>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</si>
  <si>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</si>
  <si>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</si>
  <si>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</si>
  <si>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</si>
  <si>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</si>
  <si>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</si>
  <si>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</si>
  <si>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</si>
  <si>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</si>
  <si>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</si>
  <si>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</si>
  <si>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</si>
  <si>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</si>
  <si>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</si>
  <si>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</si>
  <si>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</si>
  <si>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</si>
  <si>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</si>
  <si>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</si>
  <si>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</si>
  <si>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</si>
  <si>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</si>
  <si>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</si>
  <si>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</si>
  <si>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</si>
  <si>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</si>
  <si>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</si>
  <si>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</si>
  <si>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</si>
  <si>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</si>
  <si>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</si>
  <si>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</si>
  <si>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</si>
  <si>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</si>
  <si>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</si>
  <si>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</si>
  <si>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</si>
  <si>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</si>
  <si>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</si>
  <si>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</si>
  <si>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</si>
  <si>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</si>
  <si>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</si>
  <si>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</si>
  <si>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</si>
  <si>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</si>
  <si>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</si>
  <si>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</si>
  <si>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</si>
  <si>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</si>
  <si>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</si>
  <si>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</si>
  <si>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</si>
  <si>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</si>
  <si>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</si>
  <si>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</si>
  <si>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</si>
  <si>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</si>
  <si>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</si>
  <si>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</si>
  <si>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</si>
  <si>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</si>
  <si>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</si>
  <si>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</si>
  <si>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</si>
  <si>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</si>
  <si>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</si>
  <si>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</si>
  <si>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</si>
  <si>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</si>
  <si>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</si>
  <si>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</si>
  <si>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</si>
  <si>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</si>
  <si>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</si>
  <si>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</si>
  <si>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</si>
  <si>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</si>
  <si>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办公项目</t>
  </si>
  <si>
    <t>现房</t>
  </si>
  <si>
    <t>地上</t>
  </si>
  <si>
    <t>是</t>
  </si>
  <si>
    <t>办公</t>
    <phoneticPr fontId="7" type="noConversion"/>
  </si>
  <si>
    <t>成新度</t>
  </si>
  <si>
    <t>收益法 (元)</t>
  </si>
  <si>
    <t>建安</t>
    <phoneticPr fontId="3" type="noConversion"/>
  </si>
  <si>
    <t>前期</t>
    <phoneticPr fontId="3" type="noConversion"/>
  </si>
  <si>
    <t>其他</t>
    <phoneticPr fontId="3" type="noConversion"/>
  </si>
  <si>
    <t>含税</t>
  </si>
  <si>
    <t>押一</t>
  </si>
  <si>
    <t>按不含税租金收入（有效毛租金收入）计税</t>
  </si>
  <si>
    <t>钢混</t>
  </si>
  <si>
    <t>非生产用房</t>
  </si>
  <si>
    <t>否</t>
  </si>
  <si>
    <t>单套模式</t>
  </si>
  <si>
    <t>售价</t>
  </si>
  <si>
    <t>北京经开壹中心</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</si>
  <si>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</si>
  <si>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</si>
  <si>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</si>
  <si>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</si>
  <si>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</si>
  <si>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</si>
  <si>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</si>
  <si>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</si>
  <si>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</si>
  <si>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</si>
  <si>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</si>
  <si>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</si>
  <si>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</si>
  <si>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</si>
  <si>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</si>
  <si>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</si>
  <si>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</si>
  <si>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</si>
  <si>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</si>
  <si>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</si>
  <si>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</si>
  <si>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较高层高</t>
  </si>
  <si>
    <t>较高层高</t>
    <phoneticPr fontId="31" type="noConversion"/>
  </si>
  <si>
    <t>标准层高</t>
  </si>
  <si>
    <t>标准层高</t>
    <phoneticPr fontId="31" type="noConversion"/>
  </si>
  <si>
    <t>专业</t>
  </si>
  <si>
    <t>专业</t>
    <phoneticPr fontId="31" type="noConversion"/>
  </si>
  <si>
    <t>普通</t>
    <phoneticPr fontId="31" type="noConversion"/>
  </si>
  <si>
    <t>挂牌</t>
  </si>
  <si>
    <t>挂牌</t>
    <phoneticPr fontId="31" type="noConversion"/>
  </si>
  <si>
    <t>比较法-办公</t>
  </si>
  <si>
    <t>楼面单价</t>
  </si>
  <si>
    <t>成本比率</t>
  </si>
  <si>
    <r>
      <t>1000</t>
    </r>
    <r>
      <rPr>
        <sz val="10"/>
        <color indexed="8"/>
        <rFont val="宋体"/>
        <family val="3"/>
        <charset val="134"/>
      </rPr>
      <t>万以上</t>
    </r>
    <phoneticPr fontId="8" type="noConversion"/>
  </si>
  <si>
    <t>荣华国际</t>
    <phoneticPr fontId="3" type="noConversion"/>
  </si>
  <si>
    <t>北京经开壹中心</t>
    <phoneticPr fontId="3" type="noConversion"/>
  </si>
  <si>
    <t>亦城国际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</si>
</sst>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58" fillId="0" borderId="0" xfId="12"/>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7" xfId="0" applyFont="1" applyBorder="1" applyAlignment="1" applyProtection="1">
      <alignment horizontal="center" vertical="center" wrapText="1"/>
      <protection locked="0"/>
    </xf>
    <xf numFmtId="0" fontId="165" fillId="0" borderId="48" xfId="0" applyFont="1" applyBorder="1" applyAlignment="1" applyProtection="1">
      <alignment horizontal="center" vertical="center" wrapText="1"/>
      <protection locked="0"/>
    </xf>
    <xf numFmtId="0" fontId="207" fillId="0" borderId="48"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637410</xdr:colOff>
      <xdr:row>33</xdr:row>
      <xdr:rowOff>170722</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123810" cy="5828572"/>
        </a:xfrm>
        <a:prstGeom prst="rect">
          <a:avLst/>
        </a:prstGeom>
      </xdr:spPr>
    </xdr:pic>
    <xdr:clientData/>
  </xdr:twoCellAnchor>
  <xdr:twoCellAnchor editAs="oneCell">
    <xdr:from>
      <xdr:col>9</xdr:col>
      <xdr:colOff>0</xdr:colOff>
      <xdr:row>0</xdr:row>
      <xdr:rowOff>0</xdr:rowOff>
    </xdr:from>
    <xdr:to>
      <xdr:col>17</xdr:col>
      <xdr:colOff>646934</xdr:colOff>
      <xdr:row>34</xdr:row>
      <xdr:rowOff>46891</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6172200" y="0"/>
          <a:ext cx="6133334" cy="5876191"/>
        </a:xfrm>
        <a:prstGeom prst="rect">
          <a:avLst/>
        </a:prstGeom>
      </xdr:spPr>
    </xdr:pic>
    <xdr:clientData/>
  </xdr:twoCellAnchor>
  <xdr:twoCellAnchor editAs="oneCell">
    <xdr:from>
      <xdr:col>0</xdr:col>
      <xdr:colOff>0</xdr:colOff>
      <xdr:row>35</xdr:row>
      <xdr:rowOff>0</xdr:rowOff>
    </xdr:from>
    <xdr:to>
      <xdr:col>8</xdr:col>
      <xdr:colOff>523124</xdr:colOff>
      <xdr:row>68</xdr:row>
      <xdr:rowOff>161198</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6000750"/>
          <a:ext cx="6009524" cy="5819048"/>
        </a:xfrm>
        <a:prstGeom prst="rect">
          <a:avLst/>
        </a:prstGeom>
      </xdr:spPr>
    </xdr:pic>
    <xdr:clientData/>
  </xdr:twoCellAnchor>
  <xdr:twoCellAnchor editAs="oneCell">
    <xdr:from>
      <xdr:col>9</xdr:col>
      <xdr:colOff>0</xdr:colOff>
      <xdr:row>35</xdr:row>
      <xdr:rowOff>0</xdr:rowOff>
    </xdr:from>
    <xdr:to>
      <xdr:col>18</xdr:col>
      <xdr:colOff>27800</xdr:colOff>
      <xdr:row>69</xdr:row>
      <xdr:rowOff>8796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6172200" y="6000750"/>
          <a:ext cx="6200000" cy="5838096"/>
        </a:xfrm>
        <a:prstGeom prst="rect">
          <a:avLst/>
        </a:prstGeom>
      </xdr:spPr>
    </xdr:pic>
    <xdr:clientData/>
  </xdr:twoCellAnchor>
  <xdr:twoCellAnchor editAs="oneCell">
    <xdr:from>
      <xdr:col>0</xdr:col>
      <xdr:colOff>0</xdr:colOff>
      <xdr:row>72</xdr:row>
      <xdr:rowOff>0</xdr:rowOff>
    </xdr:from>
    <xdr:to>
      <xdr:col>8</xdr:col>
      <xdr:colOff>618362</xdr:colOff>
      <xdr:row>106</xdr:row>
      <xdr:rowOff>8796</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104762" cy="5838096"/>
        </a:xfrm>
        <a:prstGeom prst="rect">
          <a:avLst/>
        </a:prstGeom>
      </xdr:spPr>
    </xdr:pic>
    <xdr:clientData/>
  </xdr:twoCellAnchor>
  <xdr:twoCellAnchor editAs="oneCell">
    <xdr:from>
      <xdr:col>9</xdr:col>
      <xdr:colOff>190500</xdr:colOff>
      <xdr:row>71</xdr:row>
      <xdr:rowOff>152400</xdr:rowOff>
    </xdr:from>
    <xdr:to>
      <xdr:col>18</xdr:col>
      <xdr:colOff>351634</xdr:colOff>
      <xdr:row>106</xdr:row>
      <xdr:rowOff>46888</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6362700" y="12325350"/>
          <a:ext cx="6333334" cy="5895238"/>
        </a:xfrm>
        <a:prstGeom prst="rect">
          <a:avLst/>
        </a:prstGeom>
      </xdr:spPr>
    </xdr:pic>
    <xdr:clientData/>
  </xdr:twoCellAnchor>
  <xdr:twoCellAnchor editAs="oneCell">
    <xdr:from>
      <xdr:col>0</xdr:col>
      <xdr:colOff>0</xdr:colOff>
      <xdr:row>108</xdr:row>
      <xdr:rowOff>0</xdr:rowOff>
    </xdr:from>
    <xdr:to>
      <xdr:col>8</xdr:col>
      <xdr:colOff>665981</xdr:colOff>
      <xdr:row>142</xdr:row>
      <xdr:rowOff>46891</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7"/>
        <a:stretch>
          <a:fillRect/>
        </a:stretch>
      </xdr:blipFill>
      <xdr:spPr>
        <a:xfrm>
          <a:off x="0" y="18516600"/>
          <a:ext cx="6152381" cy="5876191"/>
        </a:xfrm>
        <a:prstGeom prst="rect">
          <a:avLst/>
        </a:prstGeom>
      </xdr:spPr>
    </xdr:pic>
    <xdr:clientData/>
  </xdr:twoCellAnchor>
  <xdr:twoCellAnchor editAs="oneCell">
    <xdr:from>
      <xdr:col>9</xdr:col>
      <xdr:colOff>257175</xdr:colOff>
      <xdr:row>107</xdr:row>
      <xdr:rowOff>133350</xdr:rowOff>
    </xdr:from>
    <xdr:to>
      <xdr:col>18</xdr:col>
      <xdr:colOff>227833</xdr:colOff>
      <xdr:row>135</xdr:row>
      <xdr:rowOff>142274</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8"/>
        <a:stretch>
          <a:fillRect/>
        </a:stretch>
      </xdr:blipFill>
      <xdr:spPr>
        <a:xfrm>
          <a:off x="6429375" y="18478500"/>
          <a:ext cx="6142858" cy="4809524"/>
        </a:xfrm>
        <a:prstGeom prst="rect">
          <a:avLst/>
        </a:prstGeom>
      </xdr:spPr>
    </xdr:pic>
    <xdr:clientData/>
  </xdr:twoCellAnchor>
  <xdr:twoCellAnchor editAs="oneCell">
    <xdr:from>
      <xdr:col>0</xdr:col>
      <xdr:colOff>0</xdr:colOff>
      <xdr:row>145</xdr:row>
      <xdr:rowOff>0</xdr:rowOff>
    </xdr:from>
    <xdr:to>
      <xdr:col>8</xdr:col>
      <xdr:colOff>504077</xdr:colOff>
      <xdr:row>178</xdr:row>
      <xdr:rowOff>132627</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5990477" cy="5790477"/>
        </a:xfrm>
        <a:prstGeom prst="rect">
          <a:avLst/>
        </a:prstGeom>
      </xdr:spPr>
    </xdr:pic>
    <xdr:clientData/>
  </xdr:twoCellAnchor>
  <xdr:twoCellAnchor editAs="oneCell">
    <xdr:from>
      <xdr:col>9</xdr:col>
      <xdr:colOff>0</xdr:colOff>
      <xdr:row>146</xdr:row>
      <xdr:rowOff>0</xdr:rowOff>
    </xdr:from>
    <xdr:to>
      <xdr:col>18</xdr:col>
      <xdr:colOff>265896</xdr:colOff>
      <xdr:row>180</xdr:row>
      <xdr:rowOff>46891</xdr:rowOff>
    </xdr:to>
    <xdr:pic>
      <xdr:nvPicPr>
        <xdr:cNvPr id="11" name="图片 10">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10"/>
        <a:stretch>
          <a:fillRect/>
        </a:stretch>
      </xdr:blipFill>
      <xdr:spPr>
        <a:xfrm>
          <a:off x="6172200" y="25031700"/>
          <a:ext cx="6438096" cy="5876191"/>
        </a:xfrm>
        <a:prstGeom prst="rect">
          <a:avLst/>
        </a:prstGeom>
      </xdr:spPr>
    </xdr:pic>
    <xdr:clientData/>
  </xdr:twoCellAnchor>
  <xdr:twoCellAnchor editAs="oneCell">
    <xdr:from>
      <xdr:col>0</xdr:col>
      <xdr:colOff>0</xdr:colOff>
      <xdr:row>183</xdr:row>
      <xdr:rowOff>0</xdr:rowOff>
    </xdr:from>
    <xdr:to>
      <xdr:col>8</xdr:col>
      <xdr:colOff>685029</xdr:colOff>
      <xdr:row>217</xdr:row>
      <xdr:rowOff>27843</xdr:rowOff>
    </xdr:to>
    <xdr:pic>
      <xdr:nvPicPr>
        <xdr:cNvPr id="12" name="图片 11">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11"/>
        <a:stretch>
          <a:fillRect/>
        </a:stretch>
      </xdr:blipFill>
      <xdr:spPr>
        <a:xfrm>
          <a:off x="0" y="31375350"/>
          <a:ext cx="6171429" cy="5857143"/>
        </a:xfrm>
        <a:prstGeom prst="rect">
          <a:avLst/>
        </a:prstGeom>
      </xdr:spPr>
    </xdr:pic>
    <xdr:clientData/>
  </xdr:twoCellAnchor>
  <xdr:twoCellAnchor editAs="oneCell">
    <xdr:from>
      <xdr:col>9</xdr:col>
      <xdr:colOff>0</xdr:colOff>
      <xdr:row>183</xdr:row>
      <xdr:rowOff>0</xdr:rowOff>
    </xdr:from>
    <xdr:to>
      <xdr:col>17</xdr:col>
      <xdr:colOff>608839</xdr:colOff>
      <xdr:row>217</xdr:row>
      <xdr:rowOff>18319</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2"/>
        <a:stretch>
          <a:fillRect/>
        </a:stretch>
      </xdr:blipFill>
      <xdr:spPr>
        <a:xfrm>
          <a:off x="6172200" y="31375350"/>
          <a:ext cx="6095239" cy="5847619"/>
        </a:xfrm>
        <a:prstGeom prst="rect">
          <a:avLst/>
        </a:prstGeom>
      </xdr:spPr>
    </xdr:pic>
    <xdr:clientData/>
  </xdr:twoCellAnchor>
  <xdr:twoCellAnchor editAs="oneCell">
    <xdr:from>
      <xdr:col>0</xdr:col>
      <xdr:colOff>0</xdr:colOff>
      <xdr:row>218</xdr:row>
      <xdr:rowOff>0</xdr:rowOff>
    </xdr:from>
    <xdr:to>
      <xdr:col>9</xdr:col>
      <xdr:colOff>27800</xdr:colOff>
      <xdr:row>252</xdr:row>
      <xdr:rowOff>8796</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13"/>
        <a:stretch>
          <a:fillRect/>
        </a:stretch>
      </xdr:blipFill>
      <xdr:spPr>
        <a:xfrm>
          <a:off x="0" y="37376100"/>
          <a:ext cx="6200000" cy="5838096"/>
        </a:xfrm>
        <a:prstGeom prst="rect">
          <a:avLst/>
        </a:prstGeom>
      </xdr:spPr>
    </xdr:pic>
    <xdr:clientData/>
  </xdr:twoCellAnchor>
  <xdr:twoCellAnchor editAs="oneCell">
    <xdr:from>
      <xdr:col>9</xdr:col>
      <xdr:colOff>0</xdr:colOff>
      <xdr:row>219</xdr:row>
      <xdr:rowOff>0</xdr:rowOff>
    </xdr:from>
    <xdr:to>
      <xdr:col>17</xdr:col>
      <xdr:colOff>665981</xdr:colOff>
      <xdr:row>252</xdr:row>
      <xdr:rowOff>151674</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14"/>
        <a:stretch>
          <a:fillRect/>
        </a:stretch>
      </xdr:blipFill>
      <xdr:spPr>
        <a:xfrm>
          <a:off x="6172200" y="37547550"/>
          <a:ext cx="6152381" cy="5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394225</xdr:colOff>
      <xdr:row>21</xdr:row>
      <xdr:rowOff>114300</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1" y="171450"/>
          <a:ext cx="7938024" cy="3543300"/>
        </a:xfrm>
        <a:prstGeom prst="rect">
          <a:avLst/>
        </a:prstGeom>
      </xdr:spPr>
    </xdr:pic>
    <xdr:clientData/>
  </xdr:twoCellAnchor>
  <xdr:twoCellAnchor editAs="oneCell">
    <xdr:from>
      <xdr:col>0</xdr:col>
      <xdr:colOff>0</xdr:colOff>
      <xdr:row>24</xdr:row>
      <xdr:rowOff>19050</xdr:rowOff>
    </xdr:from>
    <xdr:to>
      <xdr:col>11</xdr:col>
      <xdr:colOff>241354</xdr:colOff>
      <xdr:row>44</xdr:row>
      <xdr:rowOff>28080</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0" y="4133850"/>
          <a:ext cx="7785154" cy="3438030"/>
        </a:xfrm>
        <a:prstGeom prst="rect">
          <a:avLst/>
        </a:prstGeom>
      </xdr:spPr>
    </xdr:pic>
    <xdr:clientData/>
  </xdr:twoCellAnchor>
  <xdr:twoCellAnchor editAs="oneCell">
    <xdr:from>
      <xdr:col>12</xdr:col>
      <xdr:colOff>571499</xdr:colOff>
      <xdr:row>0</xdr:row>
      <xdr:rowOff>0</xdr:rowOff>
    </xdr:from>
    <xdr:to>
      <xdr:col>23</xdr:col>
      <xdr:colOff>227482</xdr:colOff>
      <xdr:row>18</xdr:row>
      <xdr:rowOff>141918</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3"/>
        <a:stretch>
          <a:fillRect/>
        </a:stretch>
      </xdr:blipFill>
      <xdr:spPr>
        <a:xfrm>
          <a:off x="8801099" y="0"/>
          <a:ext cx="7199783" cy="3228018"/>
        </a:xfrm>
        <a:prstGeom prst="rect">
          <a:avLst/>
        </a:prstGeom>
      </xdr:spPr>
    </xdr:pic>
    <xdr:clientData/>
  </xdr:twoCellAnchor>
  <xdr:twoCellAnchor editAs="oneCell">
    <xdr:from>
      <xdr:col>0</xdr:col>
      <xdr:colOff>0</xdr:colOff>
      <xdr:row>46</xdr:row>
      <xdr:rowOff>161925</xdr:rowOff>
    </xdr:from>
    <xdr:to>
      <xdr:col>11</xdr:col>
      <xdr:colOff>91846</xdr:colOff>
      <xdr:row>66</xdr:row>
      <xdr:rowOff>94609</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4"/>
        <a:stretch>
          <a:fillRect/>
        </a:stretch>
      </xdr:blipFill>
      <xdr:spPr>
        <a:xfrm>
          <a:off x="0" y="8048625"/>
          <a:ext cx="7635646" cy="3361684"/>
        </a:xfrm>
        <a:prstGeom prst="rect">
          <a:avLst/>
        </a:prstGeom>
      </xdr:spPr>
    </xdr:pic>
    <xdr:clientData/>
  </xdr:twoCellAnchor>
  <xdr:twoCellAnchor editAs="oneCell">
    <xdr:from>
      <xdr:col>0</xdr:col>
      <xdr:colOff>0</xdr:colOff>
      <xdr:row>69</xdr:row>
      <xdr:rowOff>142875</xdr:rowOff>
    </xdr:from>
    <xdr:to>
      <xdr:col>11</xdr:col>
      <xdr:colOff>535633</xdr:colOff>
      <xdr:row>90</xdr:row>
      <xdr:rowOff>75553</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0" y="11972925"/>
          <a:ext cx="8079433" cy="3533128"/>
        </a:xfrm>
        <a:prstGeom prst="rect">
          <a:avLst/>
        </a:prstGeom>
      </xdr:spPr>
    </xdr:pic>
    <xdr:clientData/>
  </xdr:twoCellAnchor>
  <xdr:twoCellAnchor editAs="oneCell">
    <xdr:from>
      <xdr:col>12</xdr:col>
      <xdr:colOff>352424</xdr:colOff>
      <xdr:row>46</xdr:row>
      <xdr:rowOff>21765</xdr:rowOff>
    </xdr:from>
    <xdr:to>
      <xdr:col>22</xdr:col>
      <xdr:colOff>237147</xdr:colOff>
      <xdr:row>67</xdr:row>
      <xdr:rowOff>18529</xdr:rowOff>
    </xdr:to>
    <xdr:pic>
      <xdr:nvPicPr>
        <xdr:cNvPr id="7" name="图片 6">
          <a:extLst>
            <a:ext uri="{FF2B5EF4-FFF2-40B4-BE49-F238E27FC236}">
              <a16:creationId xmlns:a16="http://schemas.microsoft.com/office/drawing/2014/main" xmlns="" id="{00000000-0008-0000-3200-000007000000}"/>
            </a:ext>
          </a:extLst>
        </xdr:cNvPr>
        <xdr:cNvPicPr>
          <a:picLocks noChangeAspect="1"/>
        </xdr:cNvPicPr>
      </xdr:nvPicPr>
      <xdr:blipFill>
        <a:blip xmlns:r="http://schemas.openxmlformats.org/officeDocument/2006/relationships" r:embed="rId6"/>
        <a:stretch>
          <a:fillRect/>
        </a:stretch>
      </xdr:blipFill>
      <xdr:spPr>
        <a:xfrm>
          <a:off x="8582024" y="7908465"/>
          <a:ext cx="6742723" cy="3597214"/>
        </a:xfrm>
        <a:prstGeom prst="rect">
          <a:avLst/>
        </a:prstGeom>
      </xdr:spPr>
    </xdr:pic>
    <xdr:clientData/>
  </xdr:twoCellAnchor>
  <xdr:twoCellAnchor editAs="oneCell">
    <xdr:from>
      <xdr:col>12</xdr:col>
      <xdr:colOff>561975</xdr:colOff>
      <xdr:row>68</xdr:row>
      <xdr:rowOff>132873</xdr:rowOff>
    </xdr:from>
    <xdr:to>
      <xdr:col>22</xdr:col>
      <xdr:colOff>27601</xdr:colOff>
      <xdr:row>89</xdr:row>
      <xdr:rowOff>161366</xdr:rowOff>
    </xdr:to>
    <xdr:pic>
      <xdr:nvPicPr>
        <xdr:cNvPr id="8" name="图片 7">
          <a:extLst>
            <a:ext uri="{FF2B5EF4-FFF2-40B4-BE49-F238E27FC236}">
              <a16:creationId xmlns:a16="http://schemas.microsoft.com/office/drawing/2014/main" xmlns="" id="{00000000-0008-0000-3200-000008000000}"/>
            </a:ext>
          </a:extLst>
        </xdr:cNvPr>
        <xdr:cNvPicPr>
          <a:picLocks noChangeAspect="1"/>
        </xdr:cNvPicPr>
      </xdr:nvPicPr>
      <xdr:blipFill>
        <a:blip xmlns:r="http://schemas.openxmlformats.org/officeDocument/2006/relationships" r:embed="rId7"/>
        <a:stretch>
          <a:fillRect/>
        </a:stretch>
      </xdr:blipFill>
      <xdr:spPr>
        <a:xfrm>
          <a:off x="8791575" y="11791473"/>
          <a:ext cx="6323626" cy="36289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31</xdr:row>
      <xdr:rowOff>151717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2238095" cy="5466667"/>
        </a:xfrm>
        <a:prstGeom prst="rect">
          <a:avLst/>
        </a:prstGeom>
      </xdr:spPr>
    </xdr:pic>
    <xdr:clientData/>
  </xdr:twoCellAnchor>
  <xdr:twoCellAnchor editAs="oneCell">
    <xdr:from>
      <xdr:col>0</xdr:col>
      <xdr:colOff>0</xdr:colOff>
      <xdr:row>33</xdr:row>
      <xdr:rowOff>0</xdr:rowOff>
    </xdr:from>
    <xdr:to>
      <xdr:col>16</xdr:col>
      <xdr:colOff>531962</xdr:colOff>
      <xdr:row>52</xdr:row>
      <xdr:rowOff>37688</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a:stretch>
          <a:fillRect/>
        </a:stretch>
      </xdr:blipFill>
      <xdr:spPr>
        <a:xfrm>
          <a:off x="0" y="5657850"/>
          <a:ext cx="11504762" cy="3295238"/>
        </a:xfrm>
        <a:prstGeom prst="rect">
          <a:avLst/>
        </a:prstGeom>
      </xdr:spPr>
    </xdr:pic>
    <xdr:clientData/>
  </xdr:twoCellAnchor>
  <xdr:twoCellAnchor editAs="oneCell">
    <xdr:from>
      <xdr:col>0</xdr:col>
      <xdr:colOff>0</xdr:colOff>
      <xdr:row>53</xdr:row>
      <xdr:rowOff>0</xdr:rowOff>
    </xdr:from>
    <xdr:to>
      <xdr:col>17</xdr:col>
      <xdr:colOff>84257</xdr:colOff>
      <xdr:row>92</xdr:row>
      <xdr:rowOff>84878</xdr:rowOff>
    </xdr:to>
    <xdr:pic>
      <xdr:nvPicPr>
        <xdr:cNvPr id="4" name="图片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3"/>
        <a:stretch>
          <a:fillRect/>
        </a:stretch>
      </xdr:blipFill>
      <xdr:spPr>
        <a:xfrm>
          <a:off x="0" y="9086850"/>
          <a:ext cx="11742857" cy="6771428"/>
        </a:xfrm>
        <a:prstGeom prst="rect">
          <a:avLst/>
        </a:prstGeom>
      </xdr:spPr>
    </xdr:pic>
    <xdr:clientData/>
  </xdr:twoCellAnchor>
  <xdr:twoCellAnchor editAs="oneCell">
    <xdr:from>
      <xdr:col>0</xdr:col>
      <xdr:colOff>0</xdr:colOff>
      <xdr:row>93</xdr:row>
      <xdr:rowOff>0</xdr:rowOff>
    </xdr:from>
    <xdr:to>
      <xdr:col>17</xdr:col>
      <xdr:colOff>293781</xdr:colOff>
      <xdr:row>110</xdr:row>
      <xdr:rowOff>28207</xdr:rowOff>
    </xdr:to>
    <xdr:pic>
      <xdr:nvPicPr>
        <xdr:cNvPr id="5" name="图片 4">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4"/>
        <a:stretch>
          <a:fillRect/>
        </a:stretch>
      </xdr:blipFill>
      <xdr:spPr>
        <a:xfrm>
          <a:off x="0" y="15944850"/>
          <a:ext cx="11952381" cy="2942857"/>
        </a:xfrm>
        <a:prstGeom prst="rect">
          <a:avLst/>
        </a:prstGeom>
      </xdr:spPr>
    </xdr:pic>
    <xdr:clientData/>
  </xdr:twoCellAnchor>
  <xdr:twoCellAnchor editAs="oneCell">
    <xdr:from>
      <xdr:col>0</xdr:col>
      <xdr:colOff>0</xdr:colOff>
      <xdr:row>111</xdr:row>
      <xdr:rowOff>0</xdr:rowOff>
    </xdr:from>
    <xdr:to>
      <xdr:col>18</xdr:col>
      <xdr:colOff>84171</xdr:colOff>
      <xdr:row>139</xdr:row>
      <xdr:rowOff>151781</xdr:rowOff>
    </xdr:to>
    <xdr:pic>
      <xdr:nvPicPr>
        <xdr:cNvPr id="6" name="图片 5">
          <a:extLst>
            <a:ext uri="{FF2B5EF4-FFF2-40B4-BE49-F238E27FC236}">
              <a16:creationId xmlns:a16="http://schemas.microsoft.com/office/drawing/2014/main" xmlns="" id="{00000000-0008-0000-3300-000006000000}"/>
            </a:ext>
          </a:extLst>
        </xdr:cNvPr>
        <xdr:cNvPicPr>
          <a:picLocks noChangeAspect="1"/>
        </xdr:cNvPicPr>
      </xdr:nvPicPr>
      <xdr:blipFill>
        <a:blip xmlns:r="http://schemas.openxmlformats.org/officeDocument/2006/relationships" r:embed="rId5"/>
        <a:stretch>
          <a:fillRect/>
        </a:stretch>
      </xdr:blipFill>
      <xdr:spPr>
        <a:xfrm>
          <a:off x="0" y="19030950"/>
          <a:ext cx="12428571" cy="4952381"/>
        </a:xfrm>
        <a:prstGeom prst="rect">
          <a:avLst/>
        </a:prstGeom>
      </xdr:spPr>
    </xdr:pic>
    <xdr:clientData/>
  </xdr:twoCellAnchor>
  <xdr:twoCellAnchor editAs="oneCell">
    <xdr:from>
      <xdr:col>0</xdr:col>
      <xdr:colOff>0</xdr:colOff>
      <xdr:row>141</xdr:row>
      <xdr:rowOff>0</xdr:rowOff>
    </xdr:from>
    <xdr:to>
      <xdr:col>17</xdr:col>
      <xdr:colOff>655686</xdr:colOff>
      <xdr:row>147</xdr:row>
      <xdr:rowOff>95110</xdr:rowOff>
    </xdr:to>
    <xdr:pic>
      <xdr:nvPicPr>
        <xdr:cNvPr id="7" name="图片 6">
          <a:extLst>
            <a:ext uri="{FF2B5EF4-FFF2-40B4-BE49-F238E27FC236}">
              <a16:creationId xmlns:a16="http://schemas.microsoft.com/office/drawing/2014/main" xmlns="" id="{00000000-0008-0000-3300-000007000000}"/>
            </a:ext>
          </a:extLst>
        </xdr:cNvPr>
        <xdr:cNvPicPr>
          <a:picLocks noChangeAspect="1"/>
        </xdr:cNvPicPr>
      </xdr:nvPicPr>
      <xdr:blipFill>
        <a:blip xmlns:r="http://schemas.openxmlformats.org/officeDocument/2006/relationships" r:embed="rId6"/>
        <a:stretch>
          <a:fillRect/>
        </a:stretch>
      </xdr:blipFill>
      <xdr:spPr>
        <a:xfrm>
          <a:off x="0" y="24174450"/>
          <a:ext cx="12314286" cy="1123810"/>
        </a:xfrm>
        <a:prstGeom prst="rect">
          <a:avLst/>
        </a:prstGeom>
      </xdr:spPr>
    </xdr:pic>
    <xdr:clientData/>
  </xdr:twoCellAnchor>
  <xdr:twoCellAnchor editAs="oneCell">
    <xdr:from>
      <xdr:col>0</xdr:col>
      <xdr:colOff>0</xdr:colOff>
      <xdr:row>148</xdr:row>
      <xdr:rowOff>0</xdr:rowOff>
    </xdr:from>
    <xdr:to>
      <xdr:col>17</xdr:col>
      <xdr:colOff>493781</xdr:colOff>
      <xdr:row>154</xdr:row>
      <xdr:rowOff>85586</xdr:rowOff>
    </xdr:to>
    <xdr:pic>
      <xdr:nvPicPr>
        <xdr:cNvPr id="8" name="图片 7">
          <a:extLst>
            <a:ext uri="{FF2B5EF4-FFF2-40B4-BE49-F238E27FC236}">
              <a16:creationId xmlns:a16="http://schemas.microsoft.com/office/drawing/2014/main" xmlns="" id="{00000000-0008-0000-3300-000008000000}"/>
            </a:ext>
          </a:extLst>
        </xdr:cNvPr>
        <xdr:cNvPicPr>
          <a:picLocks noChangeAspect="1"/>
        </xdr:cNvPicPr>
      </xdr:nvPicPr>
      <xdr:blipFill>
        <a:blip xmlns:r="http://schemas.openxmlformats.org/officeDocument/2006/relationships" r:embed="rId7"/>
        <a:stretch>
          <a:fillRect/>
        </a:stretch>
      </xdr:blipFill>
      <xdr:spPr>
        <a:xfrm>
          <a:off x="0" y="25374600"/>
          <a:ext cx="12152381" cy="1114286"/>
        </a:xfrm>
        <a:prstGeom prst="rect">
          <a:avLst/>
        </a:prstGeom>
      </xdr:spPr>
    </xdr:pic>
    <xdr:clientData/>
  </xdr:twoCellAnchor>
  <xdr:twoCellAnchor editAs="oneCell">
    <xdr:from>
      <xdr:col>0</xdr:col>
      <xdr:colOff>0</xdr:colOff>
      <xdr:row>155</xdr:row>
      <xdr:rowOff>0</xdr:rowOff>
    </xdr:from>
    <xdr:to>
      <xdr:col>18</xdr:col>
      <xdr:colOff>103219</xdr:colOff>
      <xdr:row>183</xdr:row>
      <xdr:rowOff>123209</xdr:rowOff>
    </xdr:to>
    <xdr:pic>
      <xdr:nvPicPr>
        <xdr:cNvPr id="9" name="图片 8">
          <a:extLst>
            <a:ext uri="{FF2B5EF4-FFF2-40B4-BE49-F238E27FC236}">
              <a16:creationId xmlns:a16="http://schemas.microsoft.com/office/drawing/2014/main" xmlns="" id="{00000000-0008-0000-3300-000009000000}"/>
            </a:ext>
          </a:extLst>
        </xdr:cNvPr>
        <xdr:cNvPicPr>
          <a:picLocks noChangeAspect="1"/>
        </xdr:cNvPicPr>
      </xdr:nvPicPr>
      <xdr:blipFill>
        <a:blip xmlns:r="http://schemas.openxmlformats.org/officeDocument/2006/relationships" r:embed="rId8"/>
        <a:stretch>
          <a:fillRect/>
        </a:stretch>
      </xdr:blipFill>
      <xdr:spPr>
        <a:xfrm>
          <a:off x="0" y="26574750"/>
          <a:ext cx="12447619" cy="4923809"/>
        </a:xfrm>
        <a:prstGeom prst="rect">
          <a:avLst/>
        </a:prstGeom>
      </xdr:spPr>
    </xdr:pic>
    <xdr:clientData/>
  </xdr:twoCellAnchor>
  <xdr:twoCellAnchor editAs="oneCell">
    <xdr:from>
      <xdr:col>0</xdr:col>
      <xdr:colOff>0</xdr:colOff>
      <xdr:row>185</xdr:row>
      <xdr:rowOff>0</xdr:rowOff>
    </xdr:from>
    <xdr:to>
      <xdr:col>18</xdr:col>
      <xdr:colOff>312743</xdr:colOff>
      <xdr:row>224</xdr:row>
      <xdr:rowOff>75355</xdr:rowOff>
    </xdr:to>
    <xdr:pic>
      <xdr:nvPicPr>
        <xdr:cNvPr id="10" name="图片 9">
          <a:extLst>
            <a:ext uri="{FF2B5EF4-FFF2-40B4-BE49-F238E27FC236}">
              <a16:creationId xmlns:a16="http://schemas.microsoft.com/office/drawing/2014/main" xmlns="" id="{00000000-0008-0000-3300-00000A000000}"/>
            </a:ext>
          </a:extLst>
        </xdr:cNvPr>
        <xdr:cNvPicPr>
          <a:picLocks noChangeAspect="1"/>
        </xdr:cNvPicPr>
      </xdr:nvPicPr>
      <xdr:blipFill>
        <a:blip xmlns:r="http://schemas.openxmlformats.org/officeDocument/2006/relationships" r:embed="rId9"/>
        <a:stretch>
          <a:fillRect/>
        </a:stretch>
      </xdr:blipFill>
      <xdr:spPr>
        <a:xfrm>
          <a:off x="0" y="31718250"/>
          <a:ext cx="12657143" cy="6761905"/>
        </a:xfrm>
        <a:prstGeom prst="rect">
          <a:avLst/>
        </a:prstGeom>
      </xdr:spPr>
    </xdr:pic>
    <xdr:clientData/>
  </xdr:twoCellAnchor>
  <xdr:twoCellAnchor editAs="oneCell">
    <xdr:from>
      <xdr:col>0</xdr:col>
      <xdr:colOff>0</xdr:colOff>
      <xdr:row>227</xdr:row>
      <xdr:rowOff>0</xdr:rowOff>
    </xdr:from>
    <xdr:to>
      <xdr:col>18</xdr:col>
      <xdr:colOff>179409</xdr:colOff>
      <xdr:row>247</xdr:row>
      <xdr:rowOff>66238</xdr:rowOff>
    </xdr:to>
    <xdr:pic>
      <xdr:nvPicPr>
        <xdr:cNvPr id="11" name="图片 10">
          <a:extLst>
            <a:ext uri="{FF2B5EF4-FFF2-40B4-BE49-F238E27FC236}">
              <a16:creationId xmlns:a16="http://schemas.microsoft.com/office/drawing/2014/main" xmlns="" id="{00000000-0008-0000-3300-00000B000000}"/>
            </a:ext>
          </a:extLst>
        </xdr:cNvPr>
        <xdr:cNvPicPr>
          <a:picLocks noChangeAspect="1"/>
        </xdr:cNvPicPr>
      </xdr:nvPicPr>
      <xdr:blipFill>
        <a:blip xmlns:r="http://schemas.openxmlformats.org/officeDocument/2006/relationships" r:embed="rId10"/>
        <a:stretch>
          <a:fillRect/>
        </a:stretch>
      </xdr:blipFill>
      <xdr:spPr>
        <a:xfrm>
          <a:off x="0" y="38919150"/>
          <a:ext cx="12523809" cy="3495238"/>
        </a:xfrm>
        <a:prstGeom prst="rect">
          <a:avLst/>
        </a:prstGeom>
      </xdr:spPr>
    </xdr:pic>
    <xdr:clientData/>
  </xdr:twoCellAnchor>
  <xdr:twoCellAnchor editAs="oneCell">
    <xdr:from>
      <xdr:col>0</xdr:col>
      <xdr:colOff>0</xdr:colOff>
      <xdr:row>248</xdr:row>
      <xdr:rowOff>0</xdr:rowOff>
    </xdr:from>
    <xdr:to>
      <xdr:col>18</xdr:col>
      <xdr:colOff>188933</xdr:colOff>
      <xdr:row>275</xdr:row>
      <xdr:rowOff>8945</xdr:rowOff>
    </xdr:to>
    <xdr:pic>
      <xdr:nvPicPr>
        <xdr:cNvPr id="12" name="图片 11">
          <a:extLst>
            <a:ext uri="{FF2B5EF4-FFF2-40B4-BE49-F238E27FC236}">
              <a16:creationId xmlns:a16="http://schemas.microsoft.com/office/drawing/2014/main" xmlns="" id="{00000000-0008-0000-3300-00000C000000}"/>
            </a:ext>
          </a:extLst>
        </xdr:cNvPr>
        <xdr:cNvPicPr>
          <a:picLocks noChangeAspect="1"/>
        </xdr:cNvPicPr>
      </xdr:nvPicPr>
      <xdr:blipFill>
        <a:blip xmlns:r="http://schemas.openxmlformats.org/officeDocument/2006/relationships" r:embed="rId11"/>
        <a:stretch>
          <a:fillRect/>
        </a:stretch>
      </xdr:blipFill>
      <xdr:spPr>
        <a:xfrm>
          <a:off x="0" y="42519600"/>
          <a:ext cx="12533333" cy="4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估价对象为北京市房地产，为所有。根据《国有土地使用证》[]，估价对象（分摊）出让国有建设用地使用权面积为0平方米，建筑面积为498.23平方米。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估价对象为北京市房地产,属开发建设的办公项目，该项目尚在开发建设中。根据《国有土地使用证》[]，估价对象（分摊）出让国有建设用地使用权面积为0平方米，规划建筑面积为498.23平方米。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2026年3月16日（评估专业人员实地查勘之日）</v>
      </c>
    </row>
    <row r="13" spans="1:2">
      <c r="A13" s="793" t="s">
        <v>523</v>
      </c>
      <c r="B13" s="794"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952.06769999999995</v>
      </c>
    </row>
    <row r="21" spans="1:2">
      <c r="A21" s="793" t="s">
        <v>531</v>
      </c>
      <c r="B21" s="794">
        <f ca="1">'预评函-2'!D7</f>
        <v>19109</v>
      </c>
    </row>
    <row r="22" spans="1:2">
      <c r="A22" s="793" t="s">
        <v>532</v>
      </c>
      <c r="B22" s="794" t="str">
        <f ca="1">'预评函-2'!D6</f>
        <v>玖佰伍拾贰万零陆佰柒拾柒元整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952.06769999999995</v>
      </c>
    </row>
    <row r="31" spans="1:2">
      <c r="A31" s="793" t="s">
        <v>570</v>
      </c>
      <c r="B31" s="794">
        <f ca="1">'预评函-2'!D15</f>
        <v>19109</v>
      </c>
    </row>
    <row r="32" spans="1:2">
      <c r="A32" s="793" t="s">
        <v>537</v>
      </c>
      <c r="B32" s="794" t="str">
        <f ca="1">'预评函-2'!D14</f>
        <v>玖佰伍拾贰万零陆佰柒拾柒元整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498.23</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465</v>
      </c>
    </row>
    <row r="48" spans="1:2">
      <c r="A48" s="793" t="s">
        <v>543</v>
      </c>
      <c r="B48" s="794">
        <f ca="1">'预评函-3'!E4</f>
        <v>19109</v>
      </c>
    </row>
    <row r="49" spans="1:2">
      <c r="A49" s="793" t="s">
        <v>544</v>
      </c>
      <c r="B49" s="794" t="str">
        <f ca="1">'预评函-3'!D5</f>
        <v>肆佰陆拾伍万元整</v>
      </c>
    </row>
    <row r="50" spans="1:2">
      <c r="A50" s="793" t="s">
        <v>568</v>
      </c>
      <c r="B50" s="794">
        <f>'预评函-3'!F2</f>
        <v>0</v>
      </c>
    </row>
    <row r="51" spans="1:2">
      <c r="A51" s="793" t="s">
        <v>545</v>
      </c>
      <c r="B51" s="794">
        <f ca="1">'预评函-3'!F4</f>
        <v>487</v>
      </c>
    </row>
    <row r="52" spans="1:2">
      <c r="A52" s="793" t="s">
        <v>546</v>
      </c>
      <c r="B52" s="794">
        <f>'预评函-3'!G4</f>
        <v>0</v>
      </c>
    </row>
    <row r="53" spans="1:2">
      <c r="A53" s="793" t="s">
        <v>574</v>
      </c>
      <c r="B53" s="794" t="str">
        <f ca="1">'预评函-3'!F5</f>
        <v>肆佰捌拾柒万元整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9">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9">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9">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9">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4"/>
      <c r="B54" s="1091" t="s">
        <v>379</v>
      </c>
      <c r="C54" s="1089" t="s">
        <v>577</v>
      </c>
    </row>
    <row r="55" spans="1:4">
      <c r="A55" s="4304"/>
      <c r="B55" s="1091" t="s">
        <v>380</v>
      </c>
      <c r="C55" s="1089" t="s">
        <v>578</v>
      </c>
    </row>
    <row r="56" spans="1:4">
      <c r="A56" s="4304"/>
      <c r="B56" s="1091" t="s">
        <v>381</v>
      </c>
      <c r="C56" s="1089" t="s">
        <v>582</v>
      </c>
    </row>
    <row r="57" spans="1:4">
      <c r="A57" s="430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2389</v>
      </c>
      <c r="B1" s="2185"/>
      <c r="C1" s="2185"/>
      <c r="D1" s="2185"/>
      <c r="E1" s="2185"/>
      <c r="F1" s="2186"/>
      <c r="I1" s="2477" t="s">
        <v>2482</v>
      </c>
      <c r="J1" s="3505"/>
      <c r="K1" s="3505"/>
      <c r="L1" s="3505"/>
      <c r="M1" s="3505"/>
      <c r="N1" s="3506"/>
      <c r="O1" s="3506"/>
      <c r="P1" s="3506"/>
      <c r="Q1" s="3506"/>
      <c r="R1" s="3507"/>
    </row>
    <row r="2" spans="1:19">
      <c r="A2" s="2188"/>
      <c r="B2" s="2189"/>
      <c r="C2" s="2189"/>
      <c r="D2" s="2189"/>
      <c r="E2" s="2189"/>
      <c r="F2" s="2190"/>
      <c r="I2" s="4305" t="s">
        <v>2469</v>
      </c>
      <c r="J2" s="4306"/>
      <c r="K2" s="4306"/>
      <c r="L2" s="4306"/>
      <c r="M2" s="4306"/>
      <c r="N2" s="4306"/>
      <c r="O2" s="4306"/>
      <c r="P2" s="4306"/>
      <c r="Q2" s="4306"/>
      <c r="R2" s="4307"/>
    </row>
    <row r="3" spans="1:19">
      <c r="A3" s="2191" t="s">
        <v>2390</v>
      </c>
      <c r="B3" s="2192">
        <f>项目基本情况!D3</f>
        <v>46097</v>
      </c>
      <c r="C3" s="2193"/>
      <c r="D3" s="2193"/>
      <c r="E3" s="2193"/>
      <c r="F3" s="2190"/>
      <c r="I3" s="2197"/>
      <c r="J3" s="2198" t="s">
        <v>2473</v>
      </c>
      <c r="K3" s="2198" t="s">
        <v>2474</v>
      </c>
      <c r="L3" s="2198" t="s">
        <v>2475</v>
      </c>
      <c r="M3" s="2198" t="s">
        <v>2476</v>
      </c>
      <c r="N3" s="2478" t="s">
        <v>2477</v>
      </c>
      <c r="O3" s="2478" t="s">
        <v>2478</v>
      </c>
      <c r="P3" s="2478" t="s">
        <v>2479</v>
      </c>
      <c r="Q3" s="2478" t="s">
        <v>2480</v>
      </c>
      <c r="R3" s="3492" t="s">
        <v>2481</v>
      </c>
    </row>
    <row r="4" spans="1:19">
      <c r="A4" s="2191" t="s">
        <v>2391</v>
      </c>
      <c r="B4" s="2193" t="s">
        <v>2392</v>
      </c>
      <c r="C4" s="2193" t="s">
        <v>2393</v>
      </c>
      <c r="D4" s="2193" t="s">
        <v>2394</v>
      </c>
      <c r="E4" s="2193" t="s">
        <v>2395</v>
      </c>
      <c r="F4" s="2190"/>
      <c r="I4" s="2197" t="s">
        <v>2470</v>
      </c>
      <c r="J4" s="3970">
        <v>80</v>
      </c>
      <c r="K4" s="3970">
        <v>70</v>
      </c>
      <c r="L4" s="3970">
        <v>20</v>
      </c>
      <c r="M4" s="3970">
        <v>30</v>
      </c>
      <c r="N4" s="3509">
        <v>45</v>
      </c>
      <c r="O4" s="3509">
        <v>60</v>
      </c>
      <c r="P4" s="3509">
        <v>50</v>
      </c>
      <c r="Q4" s="3509">
        <v>20</v>
      </c>
      <c r="R4" s="3971">
        <v>375</v>
      </c>
    </row>
    <row r="5" spans="1:19">
      <c r="A5" s="3508">
        <v>40</v>
      </c>
      <c r="B5" s="2192">
        <v>46375</v>
      </c>
      <c r="C5" s="3509">
        <f>ROUNDDOWN(MIN((B5-B3)/365,A5),2)</f>
        <v>0.76</v>
      </c>
      <c r="D5" s="3510">
        <f>IF(ISERROR(ROUND(POWER(1+E5,A5-C5)*(POWER(1+E5,C5)-1)/(POWER(1+E5,A5)-1),3)),0,ROUND(POWER(1+E5,A5-C5)*(POWER(1+E5,C5)-1)/(POWER(1+E5,A5)-1),4))</f>
        <v>3.7100000000000001E-2</v>
      </c>
      <c r="E5" s="3511">
        <v>0.04</v>
      </c>
      <c r="F5" s="2190"/>
      <c r="I5" s="2197" t="s">
        <v>2471</v>
      </c>
      <c r="J5" s="3970">
        <v>70</v>
      </c>
      <c r="K5" s="3970">
        <v>60</v>
      </c>
      <c r="L5" s="3970">
        <v>15</v>
      </c>
      <c r="M5" s="3970">
        <v>25</v>
      </c>
      <c r="N5" s="3509">
        <v>40</v>
      </c>
      <c r="O5" s="3509">
        <v>50</v>
      </c>
      <c r="P5" s="3509">
        <v>40</v>
      </c>
      <c r="Q5" s="3509">
        <v>15</v>
      </c>
      <c r="R5" s="3971">
        <v>315</v>
      </c>
    </row>
    <row r="6" spans="1:19" ht="14.25" thickBot="1">
      <c r="A6" s="3508">
        <v>50</v>
      </c>
      <c r="B6" s="2192">
        <v>50028</v>
      </c>
      <c r="C6" s="3509">
        <f>ROUNDDOWN(MIN((B6-B3)/365,A6),2)</f>
        <v>10.76</v>
      </c>
      <c r="D6" s="3510">
        <f>IF(ISERROR(ROUND(POWER(1+E6,A6-C6)*(POWER(1+E6,C6)-1)/(POWER(1+E6,A6)-1),3)),0,ROUND(POWER(1+E6,A6-C6)*(POWER(1+E6,C6)-1)/(POWER(1+E6,A6)-1),4))</f>
        <v>0.4007</v>
      </c>
      <c r="E6" s="3511">
        <v>0.04</v>
      </c>
      <c r="F6" s="2190"/>
      <c r="I6" s="3493" t="s">
        <v>2472</v>
      </c>
      <c r="J6" s="3972">
        <v>60</v>
      </c>
      <c r="K6" s="3972">
        <v>50</v>
      </c>
      <c r="L6" s="3972">
        <v>10</v>
      </c>
      <c r="M6" s="3972">
        <v>20</v>
      </c>
      <c r="N6" s="3973">
        <v>35</v>
      </c>
      <c r="O6" s="3973">
        <v>40</v>
      </c>
      <c r="P6" s="3973">
        <v>30</v>
      </c>
      <c r="Q6" s="3973">
        <v>10</v>
      </c>
      <c r="R6" s="3974">
        <v>255</v>
      </c>
    </row>
    <row r="7" spans="1:19">
      <c r="A7" s="3508">
        <v>70</v>
      </c>
      <c r="B7" s="2192">
        <v>57333</v>
      </c>
      <c r="C7" s="3509">
        <f>ROUNDDOWN(MIN((B7-B3)/365,A7),2)</f>
        <v>30.78</v>
      </c>
      <c r="D7" s="3510">
        <f>IF(ISERROR(ROUND(POWER(1+E7,A7-C7)*(POWER(1+E7,C7)-1)/(POWER(1+E7,A7)-1),3)),0,ROUND(POWER(1+E7,A7-C7)*(POWER(1+E7,C7)-1)/(POWER(1+E7,A7)-1),4))</f>
        <v>0.74909999999999999</v>
      </c>
      <c r="E7" s="3511">
        <v>0.04</v>
      </c>
      <c r="F7" s="2190"/>
      <c r="I7" s="3494" t="s">
        <v>3669</v>
      </c>
      <c r="J7" s="3495" t="s">
        <v>3671</v>
      </c>
      <c r="K7" s="3496">
        <v>3.5</v>
      </c>
      <c r="L7" s="3497"/>
      <c r="M7" s="3491"/>
      <c r="N7" s="2185"/>
      <c r="O7" s="2185"/>
      <c r="P7" s="2185"/>
      <c r="Q7" s="2185"/>
      <c r="R7" s="2186"/>
    </row>
    <row r="8" spans="1:19" ht="14.25" thickBot="1">
      <c r="A8" s="2188"/>
      <c r="B8" s="2189"/>
      <c r="C8" s="2189"/>
      <c r="D8" s="2189"/>
      <c r="E8" s="2189"/>
      <c r="F8" s="2190"/>
      <c r="I8" s="4305" t="s">
        <v>3670</v>
      </c>
      <c r="J8" s="4306"/>
      <c r="K8" s="4306"/>
      <c r="L8" s="4306"/>
      <c r="M8" s="4306"/>
      <c r="N8" s="4306"/>
      <c r="O8" s="4306"/>
      <c r="P8" s="4306"/>
      <c r="Q8" s="4306"/>
      <c r="R8" s="4307"/>
    </row>
    <row r="9" spans="1:19">
      <c r="A9" s="2191" t="s">
        <v>2396</v>
      </c>
      <c r="B9" s="2193"/>
      <c r="C9" s="2193"/>
      <c r="D9" s="2193"/>
      <c r="E9" s="2193"/>
      <c r="F9" s="2194"/>
      <c r="I9" s="2197"/>
      <c r="J9" s="2198" t="s">
        <v>2473</v>
      </c>
      <c r="K9" s="2198" t="s">
        <v>2474</v>
      </c>
      <c r="L9" s="2198" t="s">
        <v>2475</v>
      </c>
      <c r="M9" s="2198" t="s">
        <v>2476</v>
      </c>
      <c r="N9" s="2478" t="s">
        <v>2477</v>
      </c>
      <c r="O9" s="2478" t="s">
        <v>2478</v>
      </c>
      <c r="P9" s="2478" t="s">
        <v>2479</v>
      </c>
      <c r="Q9" s="2478" t="s">
        <v>2480</v>
      </c>
      <c r="R9" s="3492" t="s">
        <v>2481</v>
      </c>
      <c r="S9" s="4310" t="s">
        <v>3872</v>
      </c>
    </row>
    <row r="10" spans="1:19">
      <c r="A10" s="2191" t="s">
        <v>2397</v>
      </c>
      <c r="B10" s="2193"/>
      <c r="C10" s="2193"/>
      <c r="D10" s="2193" t="s">
        <v>2395</v>
      </c>
      <c r="E10" s="2193"/>
      <c r="F10" s="2194" t="s">
        <v>2394</v>
      </c>
      <c r="I10" s="2197" t="s">
        <v>2470</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11"/>
    </row>
    <row r="11" spans="1:19">
      <c r="A11" s="3514" t="s">
        <v>2398</v>
      </c>
      <c r="B11" s="3512">
        <v>70</v>
      </c>
      <c r="C11" s="3515" t="s">
        <v>2399</v>
      </c>
      <c r="D11" s="3511">
        <v>4.4999999999999998E-2</v>
      </c>
      <c r="E11" s="3515" t="s">
        <v>2400</v>
      </c>
      <c r="F11" s="3513">
        <f>ROUND(1-(1/(POWER(1+D11,B11))),4)</f>
        <v>0.95409999999999995</v>
      </c>
      <c r="I11" s="2197" t="s">
        <v>2471</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11"/>
    </row>
    <row r="12" spans="1:19" ht="14.25" thickBot="1">
      <c r="A12" s="3514" t="s">
        <v>2401</v>
      </c>
      <c r="B12" s="3512">
        <v>40</v>
      </c>
      <c r="C12" s="3515" t="s">
        <v>2402</v>
      </c>
      <c r="D12" s="3511">
        <v>4.4999999999999998E-2</v>
      </c>
      <c r="E12" s="3515" t="s">
        <v>2403</v>
      </c>
      <c r="F12" s="3513">
        <f>ROUND(1-(1/(POWER(1+D12,B12))),4)</f>
        <v>0.82809999999999995</v>
      </c>
      <c r="I12" s="3498" t="s">
        <v>2472</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11"/>
    </row>
    <row r="13" spans="1:19">
      <c r="A13" s="2191" t="s">
        <v>2404</v>
      </c>
      <c r="B13" s="2193"/>
      <c r="C13" s="2193"/>
      <c r="D13" s="2189"/>
      <c r="E13" s="2189"/>
      <c r="F13" s="2190"/>
      <c r="I13" s="3490" t="s">
        <v>3672</v>
      </c>
      <c r="J13" s="3499">
        <v>2.5</v>
      </c>
      <c r="K13" s="3491" t="s">
        <v>3673</v>
      </c>
      <c r="L13" s="3500">
        <v>0.92630000000000001</v>
      </c>
      <c r="M13" s="3491"/>
      <c r="N13" s="2185"/>
      <c r="O13" s="2185"/>
      <c r="P13" s="2185"/>
      <c r="Q13" s="2185"/>
      <c r="R13" s="2186"/>
      <c r="S13" s="4311"/>
    </row>
    <row r="14" spans="1:19">
      <c r="A14" s="3514" t="s">
        <v>2405</v>
      </c>
      <c r="B14" s="3516">
        <v>5000</v>
      </c>
      <c r="C14" s="3517"/>
      <c r="D14" s="2189"/>
      <c r="E14" s="2189"/>
      <c r="F14" s="2190"/>
      <c r="I14" s="2197"/>
      <c r="J14" s="2198" t="s">
        <v>2473</v>
      </c>
      <c r="K14" s="2198" t="s">
        <v>2474</v>
      </c>
      <c r="L14" s="2198" t="s">
        <v>2475</v>
      </c>
      <c r="M14" s="2198" t="s">
        <v>2476</v>
      </c>
      <c r="N14" s="2478" t="s">
        <v>2477</v>
      </c>
      <c r="O14" s="2478" t="s">
        <v>2478</v>
      </c>
      <c r="P14" s="2478" t="s">
        <v>2479</v>
      </c>
      <c r="Q14" s="2478" t="s">
        <v>2480</v>
      </c>
      <c r="R14" s="3492" t="s">
        <v>2481</v>
      </c>
      <c r="S14" s="4311"/>
    </row>
    <row r="15" spans="1:19">
      <c r="A15" s="3514" t="s">
        <v>2406</v>
      </c>
      <c r="B15" s="3518">
        <f>ROUND(B14*F12/F11,2)</f>
        <v>4339.6899999999996</v>
      </c>
      <c r="C15" s="3510">
        <f>ROUND(F12/F11,4)</f>
        <v>0.8679</v>
      </c>
      <c r="D15" s="2189"/>
      <c r="E15" s="2189"/>
      <c r="F15" s="2190"/>
      <c r="I15" s="2197" t="s">
        <v>2470</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11"/>
    </row>
    <row r="16" spans="1:19">
      <c r="A16" s="2191" t="s">
        <v>2407</v>
      </c>
      <c r="B16" s="2598"/>
      <c r="C16" s="2598"/>
      <c r="D16" s="2189"/>
      <c r="E16" s="2189"/>
      <c r="F16" s="2190"/>
      <c r="I16" s="2197" t="s">
        <v>2471</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11"/>
    </row>
    <row r="17" spans="1:19" ht="14.25" thickBot="1">
      <c r="A17" s="3514" t="s">
        <v>2406</v>
      </c>
      <c r="B17" s="3516">
        <v>4810</v>
      </c>
      <c r="C17" s="3517"/>
      <c r="D17" s="2189"/>
      <c r="E17" s="2189"/>
      <c r="F17" s="2190"/>
      <c r="I17" s="3493" t="s">
        <v>2472</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12"/>
    </row>
    <row r="18" spans="1:19" ht="14.25" thickBot="1">
      <c r="A18" s="3519" t="s">
        <v>2405</v>
      </c>
      <c r="B18" s="3520">
        <f>ROUND(B17*F11/F12,2)</f>
        <v>5541.87</v>
      </c>
      <c r="C18" s="3521">
        <f>ROUND(F11/F12,4)</f>
        <v>1.1521999999999999</v>
      </c>
      <c r="D18" s="2195"/>
      <c r="E18" s="2195"/>
      <c r="F18" s="2196"/>
    </row>
    <row r="19" spans="1:19" s="3502" customFormat="1" ht="14.25" thickBot="1">
      <c r="I19" s="3501"/>
      <c r="J19" s="3501"/>
      <c r="K19" s="3501"/>
      <c r="L19" s="3501"/>
      <c r="M19" s="3501"/>
    </row>
    <row r="20" spans="1:19">
      <c r="A20" s="3503" t="s">
        <v>2408</v>
      </c>
      <c r="B20" s="2351"/>
      <c r="C20" s="2351"/>
      <c r="D20" s="2351"/>
      <c r="E20" s="2351"/>
      <c r="F20" s="2351"/>
      <c r="G20" s="3504"/>
      <c r="I20" s="2218" t="s">
        <v>2453</v>
      </c>
      <c r="J20" s="2218" t="s">
        <v>2458</v>
      </c>
    </row>
    <row r="21" spans="1:19">
      <c r="A21" s="2197"/>
      <c r="B21" s="2198" t="s">
        <v>2409</v>
      </c>
      <c r="C21" s="2198" t="s">
        <v>2410</v>
      </c>
      <c r="D21" s="2198" t="s">
        <v>2411</v>
      </c>
      <c r="E21" s="2198" t="s">
        <v>2412</v>
      </c>
      <c r="F21" s="2198" t="s">
        <v>2413</v>
      </c>
      <c r="G21" s="2199" t="s">
        <v>2414</v>
      </c>
      <c r="I21" s="2600">
        <v>5</v>
      </c>
      <c r="J21" s="2599">
        <v>54.2</v>
      </c>
      <c r="K21" s="2599"/>
    </row>
    <row r="22" spans="1:19">
      <c r="A22" s="2197" t="s">
        <v>2415</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2416</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2456</v>
      </c>
      <c r="N23" s="2485" t="s">
        <v>2457</v>
      </c>
    </row>
    <row r="24" spans="1:19">
      <c r="A24" s="2197" t="s">
        <v>2417</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2455</v>
      </c>
      <c r="N24" s="2601">
        <v>10</v>
      </c>
    </row>
    <row r="25" spans="1:19">
      <c r="A25" s="2197" t="s">
        <v>2418</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2459</v>
      </c>
      <c r="N25" s="2601">
        <v>8</v>
      </c>
    </row>
    <row r="26" spans="1:19">
      <c r="A26" s="2200"/>
      <c r="B26" s="2201"/>
      <c r="C26" s="2201"/>
      <c r="D26" s="2201"/>
      <c r="E26" s="2201"/>
      <c r="F26" s="2201"/>
      <c r="G26" s="2202"/>
      <c r="I26" s="2600">
        <v>30</v>
      </c>
      <c r="J26" s="2599">
        <v>90.5</v>
      </c>
      <c r="K26" s="2599">
        <f t="shared" si="7"/>
        <v>4.2000000000000028</v>
      </c>
      <c r="L26" s="2218" t="s">
        <v>2460</v>
      </c>
      <c r="N26" s="2601">
        <v>5</v>
      </c>
    </row>
    <row r="27" spans="1:19">
      <c r="A27" s="2200" t="s">
        <v>2419</v>
      </c>
      <c r="B27" s="2201"/>
      <c r="C27" s="2201"/>
      <c r="D27" s="2201"/>
      <c r="E27" s="2201"/>
      <c r="F27" s="2201"/>
      <c r="G27" s="2202"/>
      <c r="I27" s="2600">
        <v>35</v>
      </c>
      <c r="J27" s="2599">
        <v>93.8</v>
      </c>
      <c r="K27" s="2599">
        <f t="shared" si="7"/>
        <v>3.2999999999999972</v>
      </c>
      <c r="L27" s="2218" t="s">
        <v>2461</v>
      </c>
      <c r="N27" s="2601">
        <v>3</v>
      </c>
    </row>
    <row r="28" spans="1:19">
      <c r="A28" s="2200" t="s">
        <v>2420</v>
      </c>
      <c r="B28" s="2201"/>
      <c r="C28" s="2201"/>
      <c r="D28" s="2201"/>
      <c r="E28" s="2201"/>
      <c r="F28" s="2201"/>
      <c r="G28" s="2202"/>
      <c r="I28" s="2600">
        <v>40</v>
      </c>
      <c r="J28" s="2599">
        <v>96.4</v>
      </c>
      <c r="K28" s="2599">
        <f t="shared" si="7"/>
        <v>2.6000000000000085</v>
      </c>
      <c r="L28" s="2218" t="s">
        <v>2462</v>
      </c>
      <c r="N28" s="2601">
        <v>2</v>
      </c>
    </row>
    <row r="29" spans="1:19">
      <c r="A29" s="2200" t="s">
        <v>2421</v>
      </c>
      <c r="B29" s="2201"/>
      <c r="C29" s="2201"/>
      <c r="D29" s="2201"/>
      <c r="E29" s="2201"/>
      <c r="F29" s="2201"/>
      <c r="G29" s="2202"/>
      <c r="I29" s="2600">
        <v>45</v>
      </c>
      <c r="J29" s="2599">
        <v>98.4</v>
      </c>
      <c r="K29" s="2599">
        <f t="shared" si="7"/>
        <v>2</v>
      </c>
    </row>
    <row r="30" spans="1:19">
      <c r="A30" s="2200" t="s">
        <v>2422</v>
      </c>
      <c r="B30" s="2201"/>
      <c r="C30" s="2201"/>
      <c r="D30" s="2201"/>
      <c r="E30" s="2201"/>
      <c r="F30" s="2201"/>
      <c r="G30" s="2202"/>
      <c r="I30" s="2600">
        <v>50</v>
      </c>
      <c r="J30" s="2599">
        <v>100</v>
      </c>
      <c r="K30" s="2599">
        <f t="shared" si="7"/>
        <v>1.5999999999999943</v>
      </c>
    </row>
    <row r="31" spans="1:19">
      <c r="A31" s="2200" t="s">
        <v>2423</v>
      </c>
      <c r="B31" s="2201"/>
      <c r="C31" s="2201"/>
      <c r="D31" s="2201"/>
      <c r="E31" s="2201"/>
      <c r="F31" s="2201"/>
      <c r="G31" s="2202"/>
      <c r="I31" s="2218" t="s">
        <v>2454</v>
      </c>
    </row>
    <row r="32" spans="1:19">
      <c r="A32" s="2200" t="s">
        <v>2424</v>
      </c>
      <c r="B32" s="2201"/>
      <c r="C32" s="2201"/>
      <c r="D32" s="2201"/>
      <c r="E32" s="2201"/>
      <c r="F32" s="2201"/>
      <c r="G32" s="2202"/>
    </row>
    <row r="33" spans="1:15">
      <c r="A33" s="2200" t="s">
        <v>2425</v>
      </c>
      <c r="B33" s="2201"/>
      <c r="C33" s="2201"/>
      <c r="D33" s="2201"/>
      <c r="E33" s="2201"/>
      <c r="F33" s="2201"/>
      <c r="G33" s="2202"/>
      <c r="I33" s="2218" t="s">
        <v>2453</v>
      </c>
      <c r="J33" s="2218" t="s">
        <v>2463</v>
      </c>
    </row>
    <row r="34" spans="1:15">
      <c r="A34" s="2200" t="s">
        <v>2426</v>
      </c>
      <c r="B34" s="2201"/>
      <c r="C34" s="2201"/>
      <c r="D34" s="2201"/>
      <c r="E34" s="2201"/>
      <c r="F34" s="2201"/>
      <c r="G34" s="2202"/>
      <c r="I34" s="2600">
        <v>5</v>
      </c>
      <c r="J34" s="2599">
        <v>55.1</v>
      </c>
      <c r="K34" s="2599"/>
    </row>
    <row r="35" spans="1:15">
      <c r="A35" s="2200" t="s">
        <v>2427</v>
      </c>
      <c r="B35" s="2201"/>
      <c r="C35" s="2201"/>
      <c r="D35" s="2201"/>
      <c r="E35" s="2201"/>
      <c r="F35" s="2201"/>
      <c r="G35" s="2202"/>
      <c r="I35" s="2600">
        <v>10</v>
      </c>
      <c r="J35" s="2599">
        <v>67</v>
      </c>
      <c r="K35" s="2599">
        <f>J35-J34</f>
        <v>11.899999999999999</v>
      </c>
    </row>
    <row r="36" spans="1:15">
      <c r="A36" s="2200" t="s">
        <v>2428</v>
      </c>
      <c r="B36" s="2201"/>
      <c r="C36" s="2201"/>
      <c r="D36" s="2201"/>
      <c r="E36" s="2201"/>
      <c r="F36" s="2201"/>
      <c r="G36" s="2202"/>
      <c r="I36" s="2600">
        <v>15</v>
      </c>
      <c r="J36" s="2599">
        <v>76.3</v>
      </c>
      <c r="K36" s="2599">
        <f t="shared" ref="K36:K41" si="8">J36-J35</f>
        <v>9.2999999999999972</v>
      </c>
      <c r="L36" s="2218" t="s">
        <v>2456</v>
      </c>
      <c r="N36" s="2485" t="s">
        <v>2457</v>
      </c>
    </row>
    <row r="37" spans="1:15">
      <c r="A37" s="2200" t="s">
        <v>2429</v>
      </c>
      <c r="B37" s="2201"/>
      <c r="C37" s="2201"/>
      <c r="D37" s="2201"/>
      <c r="E37" s="2201"/>
      <c r="F37" s="2201"/>
      <c r="G37" s="2202"/>
      <c r="I37" s="2600">
        <v>20</v>
      </c>
      <c r="J37" s="2599">
        <v>83.6</v>
      </c>
      <c r="K37" s="2599">
        <f t="shared" si="8"/>
        <v>7.2999999999999972</v>
      </c>
      <c r="L37" s="2218" t="s">
        <v>2455</v>
      </c>
      <c r="N37" s="2601">
        <v>10</v>
      </c>
    </row>
    <row r="38" spans="1:15">
      <c r="A38" s="2200" t="s">
        <v>2430</v>
      </c>
      <c r="B38" s="2201"/>
      <c r="C38" s="2201"/>
      <c r="D38" s="2201"/>
      <c r="E38" s="2201"/>
      <c r="F38" s="2201"/>
      <c r="G38" s="2202"/>
      <c r="I38" s="2600">
        <v>25</v>
      </c>
      <c r="J38" s="2599">
        <v>89.3</v>
      </c>
      <c r="K38" s="2599">
        <f t="shared" si="8"/>
        <v>5.7000000000000028</v>
      </c>
      <c r="L38" s="2218" t="s">
        <v>2459</v>
      </c>
      <c r="N38" s="2601">
        <v>8</v>
      </c>
    </row>
    <row r="39" spans="1:15">
      <c r="A39" s="2200"/>
      <c r="B39" s="2201"/>
      <c r="C39" s="2201"/>
      <c r="D39" s="2201"/>
      <c r="E39" s="2201"/>
      <c r="F39" s="2201"/>
      <c r="G39" s="2202"/>
      <c r="I39" s="2600">
        <v>30</v>
      </c>
      <c r="J39" s="2599">
        <v>93.8</v>
      </c>
      <c r="K39" s="2599">
        <f t="shared" si="8"/>
        <v>4.5</v>
      </c>
      <c r="L39" s="2218" t="s">
        <v>2460</v>
      </c>
      <c r="N39" s="2601">
        <v>6</v>
      </c>
    </row>
    <row r="40" spans="1:15">
      <c r="A40" s="2203" t="s">
        <v>2431</v>
      </c>
      <c r="B40" s="2204"/>
      <c r="C40" s="2204"/>
      <c r="D40" s="2204"/>
      <c r="E40" s="2204"/>
      <c r="F40" s="2204"/>
      <c r="G40" s="2205"/>
      <c r="I40" s="2600">
        <v>35</v>
      </c>
      <c r="J40" s="2599">
        <v>97.2</v>
      </c>
      <c r="K40" s="2599">
        <f t="shared" si="8"/>
        <v>3.4000000000000057</v>
      </c>
      <c r="L40" s="2218" t="s">
        <v>2461</v>
      </c>
      <c r="N40" s="2601">
        <v>3</v>
      </c>
    </row>
    <row r="41" spans="1:15">
      <c r="A41" s="2206" t="s">
        <v>2432</v>
      </c>
      <c r="B41" s="2207" t="s">
        <v>2433</v>
      </c>
      <c r="C41" s="2208" t="s">
        <v>2434</v>
      </c>
      <c r="D41" s="2208" t="s">
        <v>2435</v>
      </c>
      <c r="E41" s="2209"/>
      <c r="F41" s="2210"/>
      <c r="G41" s="2211"/>
      <c r="I41" s="2600">
        <v>40</v>
      </c>
      <c r="J41" s="2599">
        <v>100</v>
      </c>
      <c r="K41" s="2599">
        <f t="shared" si="8"/>
        <v>2.7999999999999972</v>
      </c>
    </row>
    <row r="42" spans="1:15">
      <c r="A42" s="2206" t="s">
        <v>2436</v>
      </c>
      <c r="B42" s="2207" t="s">
        <v>2437</v>
      </c>
      <c r="C42" s="2208" t="s">
        <v>2438</v>
      </c>
      <c r="D42" s="2212" t="s">
        <v>2439</v>
      </c>
      <c r="E42" s="2204" t="s">
        <v>2440</v>
      </c>
      <c r="F42" s="2204"/>
      <c r="G42" s="2205"/>
    </row>
    <row r="43" spans="1:15">
      <c r="A43" s="2206" t="s">
        <v>2441</v>
      </c>
      <c r="B43" s="2207" t="s">
        <v>2442</v>
      </c>
      <c r="C43" s="2208" t="s">
        <v>2443</v>
      </c>
      <c r="D43" s="2208" t="s">
        <v>2444</v>
      </c>
      <c r="E43" s="2209" t="s">
        <v>2445</v>
      </c>
      <c r="F43" s="2210"/>
      <c r="G43" s="2211"/>
      <c r="I43" s="2218" t="s">
        <v>2453</v>
      </c>
      <c r="J43" s="2218" t="s">
        <v>2464</v>
      </c>
    </row>
    <row r="44" spans="1:15">
      <c r="A44" s="2206" t="s">
        <v>2446</v>
      </c>
      <c r="B44" s="2207" t="s">
        <v>2447</v>
      </c>
      <c r="C44" s="2208" t="s">
        <v>2448</v>
      </c>
      <c r="D44" s="2212">
        <v>0.5</v>
      </c>
      <c r="E44" s="2209" t="s">
        <v>2449</v>
      </c>
      <c r="F44" s="2210"/>
      <c r="G44" s="2211"/>
      <c r="I44" s="2600">
        <v>30</v>
      </c>
      <c r="J44" s="2599">
        <v>81.7</v>
      </c>
      <c r="K44" s="2599"/>
    </row>
    <row r="45" spans="1:15" ht="14.25" thickBot="1">
      <c r="A45" s="2213" t="s">
        <v>2450</v>
      </c>
      <c r="B45" s="2214" t="s">
        <v>2437</v>
      </c>
      <c r="C45" s="2215" t="s">
        <v>2437</v>
      </c>
      <c r="D45" s="2215" t="s">
        <v>2451</v>
      </c>
      <c r="E45" s="2216" t="s">
        <v>2452</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2"/>
      <c r="O48" s="3502"/>
    </row>
    <row r="49" spans="1:16" s="3969" customFormat="1" ht="16.5" thickTop="1" thickBot="1">
      <c r="A49" s="3967" t="s">
        <v>3349</v>
      </c>
      <c r="B49" s="3968"/>
      <c r="C49" s="3968"/>
      <c r="D49" s="3968"/>
      <c r="E49" s="3968"/>
      <c r="I49" s="4308" t="s">
        <v>3980</v>
      </c>
      <c r="J49" s="4308"/>
      <c r="K49" s="4308"/>
      <c r="L49" s="4308"/>
      <c r="M49" s="4308"/>
      <c r="N49" s="2195"/>
      <c r="O49" s="2195"/>
    </row>
    <row r="50" spans="1:16" ht="14.25">
      <c r="A50" s="2611" t="s">
        <v>3350</v>
      </c>
      <c r="B50" s="2614" t="s">
        <v>3351</v>
      </c>
      <c r="C50" s="2617" t="s">
        <v>3352</v>
      </c>
      <c r="D50" s="2618" t="s">
        <v>3360</v>
      </c>
      <c r="E50" s="2619" t="s">
        <v>3359</v>
      </c>
      <c r="F50" s="2620" t="s">
        <v>3366</v>
      </c>
      <c r="I50" s="4093" t="s">
        <v>3361</v>
      </c>
      <c r="J50" s="4094" t="s">
        <v>3362</v>
      </c>
      <c r="K50" s="4094" t="s">
        <v>3363</v>
      </c>
      <c r="L50" s="4094" t="s">
        <v>3364</v>
      </c>
      <c r="M50" s="4095" t="s">
        <v>3365</v>
      </c>
      <c r="N50" s="4101" t="s">
        <v>3976</v>
      </c>
      <c r="O50" s="4095" t="s">
        <v>3977</v>
      </c>
    </row>
    <row r="51" spans="1:16" ht="15">
      <c r="A51" s="1881" t="s">
        <v>3825</v>
      </c>
      <c r="B51" s="2615">
        <f>B52+B53</f>
        <v>9993</v>
      </c>
      <c r="C51" s="2615">
        <f>E51/B51</f>
        <v>3673.221254878415</v>
      </c>
      <c r="D51" s="2624"/>
      <c r="E51" s="2627">
        <f>E52+E53</f>
        <v>36706500</v>
      </c>
      <c r="F51" s="3932">
        <f>E51/$E$62</f>
        <v>0.45145729385019301</v>
      </c>
      <c r="I51" s="2197"/>
      <c r="J51" s="2198"/>
      <c r="K51" s="2198"/>
      <c r="L51" s="2198"/>
      <c r="M51" s="2199"/>
      <c r="N51" s="4102"/>
      <c r="O51" s="4103"/>
    </row>
    <row r="52" spans="1:16" ht="14.25">
      <c r="A52" s="2612" t="s">
        <v>3353</v>
      </c>
      <c r="B52" s="2604">
        <v>5508</v>
      </c>
      <c r="C52" s="2623"/>
      <c r="D52" s="2606">
        <v>3000</v>
      </c>
      <c r="E52" s="2626">
        <f>D52*B52</f>
        <v>16524000</v>
      </c>
      <c r="F52" s="2621"/>
      <c r="G52" s="2603" t="s">
        <v>3826</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7" t="s">
        <v>3978</v>
      </c>
    </row>
    <row r="53" spans="1:16" ht="15" thickBot="1">
      <c r="A53" s="2612" t="s">
        <v>3354</v>
      </c>
      <c r="B53" s="2604">
        <v>4485</v>
      </c>
      <c r="C53" s="2623"/>
      <c r="D53" s="2606">
        <v>4500</v>
      </c>
      <c r="E53" s="2626">
        <f>D53*B53</f>
        <v>20182500</v>
      </c>
      <c r="F53" s="2621"/>
      <c r="G53" s="2603" t="s">
        <v>3827</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7" t="s">
        <v>3979</v>
      </c>
    </row>
    <row r="54" spans="1:16" ht="15">
      <c r="A54" s="1881" t="s">
        <v>3355</v>
      </c>
      <c r="B54" s="2615">
        <f>B51</f>
        <v>9993</v>
      </c>
      <c r="C54" s="2615">
        <f>E54/B54</f>
        <v>1283.8637045932153</v>
      </c>
      <c r="D54" s="3933"/>
      <c r="E54" s="2627">
        <f>E55+E56</f>
        <v>12829650</v>
      </c>
      <c r="F54" s="3932">
        <f>E54/$E$62</f>
        <v>0.15779328102775064</v>
      </c>
      <c r="G54" s="2603"/>
      <c r="H54" s="2603"/>
    </row>
    <row r="55" spans="1:16" ht="15">
      <c r="A55" s="2612" t="s">
        <v>3823</v>
      </c>
      <c r="B55" s="3931">
        <f>B52</f>
        <v>5508</v>
      </c>
      <c r="C55" s="2615"/>
      <c r="D55" s="3934">
        <v>1800</v>
      </c>
      <c r="E55" s="2626">
        <f>D55*B55</f>
        <v>9914400</v>
      </c>
      <c r="F55" s="2621"/>
      <c r="G55" s="2603" t="s">
        <v>3828</v>
      </c>
      <c r="H55" s="2603"/>
    </row>
    <row r="56" spans="1:16" ht="15">
      <c r="A56" s="2612" t="s">
        <v>3824</v>
      </c>
      <c r="B56" s="3931">
        <f>B53</f>
        <v>4485</v>
      </c>
      <c r="C56" s="2615"/>
      <c r="D56" s="3934">
        <v>650</v>
      </c>
      <c r="E56" s="2626">
        <f>D56*B56</f>
        <v>2915250</v>
      </c>
      <c r="F56" s="2621"/>
      <c r="G56" s="2603" t="s">
        <v>3829</v>
      </c>
      <c r="H56" s="2603"/>
    </row>
    <row r="57" spans="1:16" ht="15">
      <c r="A57" s="3930" t="s">
        <v>3822</v>
      </c>
      <c r="B57" s="2615">
        <f>B51</f>
        <v>9993</v>
      </c>
      <c r="C57" s="2615">
        <f>E57/B57</f>
        <v>2704.7433203242272</v>
      </c>
      <c r="D57" s="3933"/>
      <c r="E57" s="2627">
        <f>E58+E59</f>
        <v>27028500</v>
      </c>
      <c r="F57" s="2621">
        <f>E57/$E$62</f>
        <v>0.33242650393881035</v>
      </c>
      <c r="G57" s="2603"/>
      <c r="H57" s="2603"/>
      <c r="I57" s="4309" t="s">
        <v>3367</v>
      </c>
      <c r="J57" s="4309"/>
      <c r="K57" s="4309"/>
      <c r="L57" s="4309"/>
      <c r="M57" s="4309"/>
      <c r="N57" s="2189"/>
    </row>
    <row r="58" spans="1:16" ht="14.25">
      <c r="A58" s="2612" t="s">
        <v>3823</v>
      </c>
      <c r="B58" s="3931">
        <f>B52</f>
        <v>5508</v>
      </c>
      <c r="C58" s="2604">
        <v>4500</v>
      </c>
      <c r="D58" s="3949"/>
      <c r="E58" s="2626">
        <f>C58*B58</f>
        <v>24786000</v>
      </c>
      <c r="F58" s="2621"/>
      <c r="G58" s="2603"/>
      <c r="H58" s="2603"/>
      <c r="I58" s="2609">
        <f>I52+I53</f>
        <v>36706500</v>
      </c>
      <c r="J58" s="2609">
        <f t="shared" ref="J58:M58" si="10">J52+J53</f>
        <v>12829650</v>
      </c>
      <c r="K58" s="2609">
        <f t="shared" si="10"/>
        <v>27028500</v>
      </c>
      <c r="L58" s="2609">
        <f t="shared" si="10"/>
        <v>3147795.0000000005</v>
      </c>
      <c r="M58" s="3938">
        <f t="shared" si="10"/>
        <v>1594248.9000000001</v>
      </c>
      <c r="N58" s="3938">
        <f>SUM(I58:M58)</f>
        <v>81306693.900000006</v>
      </c>
    </row>
    <row r="59" spans="1:16" ht="14.25">
      <c r="A59" s="2612" t="s">
        <v>3824</v>
      </c>
      <c r="B59" s="3931">
        <f>B53</f>
        <v>4485</v>
      </c>
      <c r="C59" s="2604">
        <v>500</v>
      </c>
      <c r="D59" s="3949"/>
      <c r="E59" s="2626">
        <f>C59*B59</f>
        <v>2242500</v>
      </c>
      <c r="F59" s="2621"/>
      <c r="G59" s="2603" t="s">
        <v>3838</v>
      </c>
      <c r="H59" s="2603"/>
      <c r="I59" s="2610">
        <f>I58/$E$62</f>
        <v>0.45145729385019301</v>
      </c>
      <c r="J59" s="2610">
        <f t="shared" ref="J59:M59" si="11">J58/$E$62</f>
        <v>0.15779328102775064</v>
      </c>
      <c r="K59" s="2610">
        <f t="shared" si="11"/>
        <v>0.33242650393881035</v>
      </c>
      <c r="L59" s="2610">
        <f t="shared" si="11"/>
        <v>3.8715078045990996E-2</v>
      </c>
      <c r="M59" s="3939">
        <f t="shared" si="11"/>
        <v>1.9607843137254902E-2</v>
      </c>
      <c r="N59" s="3939">
        <f>SUM(I59:M59)</f>
        <v>0.99999999999999989</v>
      </c>
    </row>
    <row r="60" spans="1:16" ht="15">
      <c r="A60" s="1881" t="s">
        <v>3357</v>
      </c>
      <c r="B60" s="2605">
        <f>B51*0.07</f>
        <v>699.5100000000001</v>
      </c>
      <c r="C60" s="2615">
        <f>E60/B51</f>
        <v>315.00000000000006</v>
      </c>
      <c r="D60" s="3936">
        <f>D53</f>
        <v>4500</v>
      </c>
      <c r="E60" s="2627">
        <f>D60*B60</f>
        <v>3147795.0000000005</v>
      </c>
      <c r="F60" s="2621">
        <f>E60/$E$62</f>
        <v>3.8715078045990996E-2</v>
      </c>
      <c r="G60" s="3950">
        <f>B60/(B62+B60)</f>
        <v>6.5420560747663559E-2</v>
      </c>
      <c r="H60" s="3937" t="s">
        <v>3839</v>
      </c>
    </row>
    <row r="61" spans="1:16" ht="15">
      <c r="A61" s="1881" t="s">
        <v>3356</v>
      </c>
      <c r="B61" s="3935">
        <f>B51</f>
        <v>9993</v>
      </c>
      <c r="C61" s="2615">
        <f>E61/B61</f>
        <v>159.53656559591715</v>
      </c>
      <c r="D61" s="2607">
        <v>0.02</v>
      </c>
      <c r="E61" s="2627">
        <f>(E51+E54+E57+E60)*D61</f>
        <v>1594248.9000000001</v>
      </c>
      <c r="F61" s="2621">
        <f>E61/$E$62</f>
        <v>1.9607843137254902E-2</v>
      </c>
      <c r="G61" s="2603" t="s">
        <v>3830</v>
      </c>
    </row>
    <row r="62" spans="1:16" ht="15.75" thickBot="1">
      <c r="A62" s="2613" t="s">
        <v>3358</v>
      </c>
      <c r="B62" s="2616">
        <f>B51</f>
        <v>9993</v>
      </c>
      <c r="C62" s="2625">
        <f>C51+C54+C57+C61+C60</f>
        <v>8136.364845391774</v>
      </c>
      <c r="D62" s="3527">
        <f>E62/B62</f>
        <v>8136.3648453917749</v>
      </c>
      <c r="E62" s="2608">
        <f>E51+E54+E57+E61+E60</f>
        <v>81306693.900000006</v>
      </c>
      <c r="F62" s="2622">
        <f>F51+F54+F57+F60+F61</f>
        <v>0.99999999999999989</v>
      </c>
      <c r="G62" s="3937"/>
    </row>
    <row r="63" spans="1:16">
      <c r="B63" s="2602"/>
      <c r="C63" s="2602"/>
      <c r="D63" s="2602"/>
    </row>
    <row r="65" spans="1:4" ht="14.25" thickBot="1">
      <c r="B65" s="2602"/>
      <c r="C65" s="2602"/>
      <c r="D65" s="2602"/>
    </row>
    <row r="66" spans="1:4">
      <c r="A66" s="3941" t="s">
        <v>3831</v>
      </c>
      <c r="B66" s="3942"/>
      <c r="C66" s="3942"/>
      <c r="D66" s="3943"/>
    </row>
    <row r="67" spans="1:4">
      <c r="A67" s="3944" t="s">
        <v>3834</v>
      </c>
      <c r="B67" s="3940"/>
      <c r="C67" s="3940"/>
      <c r="D67" s="3947" t="s">
        <v>3836</v>
      </c>
    </row>
    <row r="68" spans="1:4">
      <c r="A68" s="3944" t="s">
        <v>3835</v>
      </c>
      <c r="B68" s="3940"/>
      <c r="C68" s="3940"/>
      <c r="D68" s="3947" t="s">
        <v>3837</v>
      </c>
    </row>
    <row r="69" spans="1:4" ht="14.25" thickBot="1">
      <c r="A69" s="3945" t="s">
        <v>3832</v>
      </c>
      <c r="B69" s="3946"/>
      <c r="C69" s="3946"/>
      <c r="D69" s="3948"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5" t="s">
        <v>2072</v>
      </c>
      <c r="B1" s="4313" t="str">
        <f>IF(B10="北京市","北京市",C10)&amp;F10&amp;IF(结果表!G1="在建","出让国有建设用地使用权及在建建筑物",IF(结果表!G1="土地","出让国有建设用地使用权",))&amp;B9&amp;"预评估"</f>
        <v>北京市房地产抵押价值预评估</v>
      </c>
      <c r="C1" s="4314"/>
      <c r="D1" s="4314"/>
      <c r="E1" s="4314"/>
      <c r="F1" s="4314"/>
      <c r="G1" s="4314"/>
      <c r="H1" s="4314"/>
      <c r="I1" s="4315"/>
      <c r="J1" s="1784"/>
      <c r="K1" s="1727"/>
      <c r="L1" s="1728"/>
      <c r="M1" s="1728"/>
      <c r="N1" s="1726"/>
      <c r="O1" s="1110"/>
      <c r="P1" s="1726"/>
      <c r="Q1" s="1726"/>
      <c r="R1" s="1726"/>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6" t="s">
        <v>2073</v>
      </c>
      <c r="B2" s="48"/>
      <c r="D2" s="1936"/>
      <c r="E2" s="1929"/>
      <c r="F2" s="1929"/>
      <c r="G2" s="1930"/>
      <c r="H2" s="1930"/>
      <c r="I2" s="1930"/>
      <c r="J2" s="1784"/>
      <c r="K2" s="1727"/>
      <c r="L2" s="1728"/>
      <c r="M2" s="1728"/>
      <c r="N2" s="1726"/>
      <c r="O2" s="1110"/>
      <c r="P2" s="1726"/>
      <c r="Q2" s="1726"/>
      <c r="R2" s="1726"/>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29">
        <v>46097</v>
      </c>
      <c r="C3" s="1730" t="s">
        <v>2075</v>
      </c>
      <c r="D3" s="1729">
        <f>B3</f>
        <v>46097</v>
      </c>
      <c r="E3" s="1930"/>
      <c r="F3" s="1930"/>
      <c r="G3" s="1930"/>
      <c r="H3" s="1930"/>
      <c r="I3" s="1930"/>
      <c r="J3" s="1784"/>
      <c r="K3" s="1727"/>
      <c r="L3" s="1728"/>
      <c r="M3" s="1728"/>
      <c r="N3" s="1726"/>
      <c r="O3" s="1110"/>
      <c r="P3" s="1726"/>
      <c r="Q3" s="1726"/>
      <c r="R3" s="1726"/>
      <c r="S3" s="1197"/>
      <c r="T3" s="1249"/>
      <c r="U3" s="1249"/>
      <c r="V3" s="1249"/>
      <c r="W3" s="1249"/>
      <c r="X3" s="1249"/>
      <c r="Y3" s="1249"/>
      <c r="Z3" s="1249"/>
      <c r="AA3" s="1249"/>
      <c r="AB3" s="1249"/>
    </row>
    <row r="4" spans="1:30" ht="13.5" thickBot="1">
      <c r="A4" s="727" t="s">
        <v>2076</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10"/>
      <c r="P4" s="1726"/>
      <c r="Q4" s="1726"/>
      <c r="R4" s="1726"/>
      <c r="S4" s="1197"/>
      <c r="T4" s="1249"/>
      <c r="U4" s="1249"/>
      <c r="V4" s="1249"/>
      <c r="W4" s="1249"/>
      <c r="X4" s="1249"/>
      <c r="Y4" s="1249"/>
      <c r="Z4" s="1249"/>
      <c r="AA4" s="1249"/>
      <c r="AB4" s="1249"/>
    </row>
    <row r="5" spans="1:30" ht="13.5" thickTop="1">
      <c r="A5" s="1734" t="s">
        <v>2077</v>
      </c>
      <c r="B5" s="1735"/>
      <c r="C5" s="1736"/>
      <c r="D5" s="1737"/>
      <c r="E5" s="1930"/>
      <c r="F5" s="1930"/>
      <c r="G5" s="1930"/>
      <c r="H5" s="1930"/>
      <c r="I5" s="1930"/>
      <c r="J5" s="1784"/>
      <c r="K5" s="1733" t="str">
        <f>IF(F4="——","",IF(H4="——",F4&amp;"（注册号："&amp;G4&amp;")",CONCATENATE(F4,"（注册号：",G4,")、",H4,"（注册号：",I4,")")))</f>
        <v>（注册号：0)、（注册号：0)</v>
      </c>
      <c r="L5" s="1728"/>
      <c r="M5" s="1728"/>
      <c r="N5" s="1726"/>
      <c r="O5" s="1110"/>
      <c r="P5" s="1726"/>
      <c r="Q5" s="1726"/>
      <c r="R5" s="1726"/>
      <c r="S5" s="1249"/>
      <c r="T5" s="1249"/>
      <c r="U5" s="1249"/>
      <c r="V5" s="1249"/>
      <c r="W5" s="1249"/>
      <c r="X5" s="1249"/>
      <c r="Y5" s="1249"/>
      <c r="Z5" s="1249"/>
      <c r="AA5" s="1249"/>
      <c r="AB5" s="1249"/>
    </row>
    <row r="6" spans="1:30">
      <c r="A6" s="1738" t="s">
        <v>2078</v>
      </c>
      <c r="B6" s="1739"/>
      <c r="C6" s="1740"/>
      <c r="D6" s="1741"/>
      <c r="E6" s="1929"/>
      <c r="F6" s="1930"/>
      <c r="G6" s="1930"/>
      <c r="H6" s="1930"/>
      <c r="I6" s="1930"/>
      <c r="J6" s="1784"/>
      <c r="K6" s="1890" t="str">
        <f>IF(COUNTIF(B6,"*上海银行*"),"上海银行","")</f>
        <v/>
      </c>
      <c r="L6" s="1888"/>
      <c r="M6" s="1888"/>
      <c r="N6" s="1784"/>
      <c r="O6" s="1296"/>
      <c r="P6" s="1784"/>
      <c r="Q6" s="1784"/>
      <c r="R6" s="1784"/>
    </row>
    <row r="7" spans="1:30">
      <c r="A7" s="1738" t="s">
        <v>2079</v>
      </c>
      <c r="B7" s="1742"/>
      <c r="C7" s="1740"/>
      <c r="D7" s="1741"/>
      <c r="E7" s="1929"/>
      <c r="F7" s="1930"/>
      <c r="G7" s="1930"/>
      <c r="H7" s="1930"/>
      <c r="I7" s="1930"/>
      <c r="J7" s="1784"/>
      <c r="K7" s="1891"/>
      <c r="L7" s="1888"/>
      <c r="M7" s="1888"/>
      <c r="N7" s="1784"/>
      <c r="O7" s="1296"/>
      <c r="P7" s="1784"/>
      <c r="Q7" s="1784"/>
      <c r="R7" s="1784"/>
    </row>
    <row r="8" spans="1:30">
      <c r="A8" s="1743" t="s">
        <v>2080</v>
      </c>
      <c r="B8" s="1744" t="s">
        <v>4068</v>
      </c>
      <c r="C8" s="1745"/>
      <c r="D8" s="4316" t="s">
        <v>2081</v>
      </c>
      <c r="E8" s="1746" t="s">
        <v>4069</v>
      </c>
      <c r="F8" s="1747"/>
      <c r="G8" s="1930"/>
      <c r="H8" s="1930"/>
      <c r="I8" s="1930"/>
      <c r="J8" s="1784"/>
      <c r="K8" s="1889"/>
      <c r="L8" s="1888"/>
      <c r="M8" s="1888"/>
      <c r="N8" s="1784"/>
      <c r="O8" s="1296"/>
      <c r="P8" s="1784"/>
      <c r="Q8" s="1784"/>
      <c r="R8" s="1784"/>
    </row>
    <row r="9" spans="1:30" ht="13.5" thickBot="1">
      <c r="A9" s="1748" t="s">
        <v>2082</v>
      </c>
      <c r="B9" s="1749" t="s">
        <v>4069</v>
      </c>
      <c r="C9" s="1750"/>
      <c r="D9" s="4317"/>
      <c r="E9" s="1749" t="s">
        <v>41</v>
      </c>
      <c r="F9" s="1751"/>
      <c r="G9" s="1931"/>
      <c r="H9" s="1931"/>
      <c r="I9" s="1931"/>
      <c r="J9" s="1784"/>
      <c r="K9" s="1891"/>
      <c r="L9" s="1888"/>
      <c r="M9" s="1888"/>
      <c r="N9" s="1784"/>
      <c r="O9" s="1296"/>
      <c r="P9" s="1784"/>
      <c r="Q9" s="1784"/>
      <c r="R9" s="1784"/>
    </row>
    <row r="10" spans="1:30" ht="13.5" thickTop="1">
      <c r="A10" s="1752" t="s">
        <v>2083</v>
      </c>
      <c r="B10" s="3409" t="s">
        <v>4070</v>
      </c>
      <c r="C10" s="1753"/>
      <c r="D10" s="1737"/>
      <c r="E10" s="1754" t="s">
        <v>2084</v>
      </c>
      <c r="F10" s="1932"/>
      <c r="G10" s="1933"/>
      <c r="H10" s="1934"/>
      <c r="I10" s="1935"/>
      <c r="J10" s="1784"/>
      <c r="K10" s="1891"/>
      <c r="L10" s="1888"/>
      <c r="M10" s="1888"/>
      <c r="N10" s="1784"/>
      <c r="O10" s="1296"/>
      <c r="P10" s="1784"/>
      <c r="Q10" s="1784"/>
      <c r="R10" s="1784"/>
    </row>
    <row r="11" spans="1:30">
      <c r="A11" s="1755" t="s">
        <v>2085</v>
      </c>
      <c r="B11" s="2468"/>
      <c r="C11" s="1756"/>
      <c r="D11" s="1757"/>
      <c r="E11" s="1726"/>
      <c r="F11" s="1726"/>
      <c r="G11" s="1726"/>
      <c r="H11" s="1726"/>
      <c r="I11" s="1726"/>
      <c r="J11" s="2220"/>
      <c r="K11" s="1888"/>
      <c r="L11" s="1888"/>
      <c r="M11" s="1888"/>
      <c r="N11" s="1784"/>
      <c r="O11" s="1296"/>
      <c r="P11" s="1784"/>
      <c r="Q11" s="1784"/>
      <c r="R11" s="1784"/>
    </row>
    <row r="12" spans="1:30">
      <c r="A12" s="1758" t="s">
        <v>2086</v>
      </c>
      <c r="B12" s="206" t="s">
        <v>2087</v>
      </c>
      <c r="C12" s="1759" t="s">
        <v>2088</v>
      </c>
      <c r="D12" s="1759" t="s">
        <v>2089</v>
      </c>
      <c r="E12" s="1759" t="s">
        <v>2090</v>
      </c>
      <c r="F12" s="1759" t="s">
        <v>2091</v>
      </c>
      <c r="G12" s="1759" t="s">
        <v>2092</v>
      </c>
      <c r="H12" s="1759" t="s">
        <v>2093</v>
      </c>
      <c r="I12" s="2219" t="s">
        <v>2465</v>
      </c>
      <c r="J12" s="2221"/>
      <c r="K12" s="1888"/>
      <c r="L12" s="1888"/>
      <c r="M12" s="1784"/>
      <c r="N12" s="1296"/>
      <c r="O12" s="1784"/>
      <c r="P12" s="1784"/>
      <c r="Q12" s="1784"/>
      <c r="AD12" s="1249"/>
    </row>
    <row r="13" spans="1:30">
      <c r="A13" s="2468" t="s">
        <v>3219</v>
      </c>
      <c r="B13" s="1760" t="s">
        <v>2094</v>
      </c>
      <c r="C13" s="546"/>
      <c r="D13" s="546"/>
      <c r="E13" s="546">
        <v>59970</v>
      </c>
      <c r="F13" s="546"/>
      <c r="G13" s="546"/>
      <c r="H13" s="546"/>
      <c r="I13" s="546"/>
      <c r="J13" s="2221"/>
      <c r="K13" s="1888"/>
      <c r="L13" s="1888"/>
      <c r="M13" s="1784"/>
      <c r="N13" s="1296"/>
      <c r="O13" s="1784"/>
      <c r="P13" s="1784"/>
      <c r="Q13" s="1784"/>
      <c r="AD13" s="1249"/>
    </row>
    <row r="14" spans="1:30">
      <c r="A14" s="718"/>
      <c r="B14" s="1760" t="s">
        <v>2095</v>
      </c>
      <c r="C14" s="1761"/>
      <c r="D14" s="1761"/>
      <c r="E14" s="1761">
        <v>50</v>
      </c>
      <c r="F14" s="1761"/>
      <c r="G14" s="1761"/>
      <c r="H14" s="1761"/>
      <c r="I14" s="1761"/>
      <c r="J14" s="2222"/>
      <c r="K14" s="1888"/>
      <c r="L14" s="1888"/>
      <c r="M14" s="1784"/>
      <c r="N14" s="1296"/>
      <c r="O14" s="1784"/>
      <c r="P14" s="1784"/>
      <c r="Q14" s="1784"/>
      <c r="AD14" s="1249"/>
    </row>
    <row r="15" spans="1:30">
      <c r="A15" s="203"/>
      <c r="B15" s="1762" t="s">
        <v>2096</v>
      </c>
      <c r="C15" s="6" t="str">
        <f>IF(A13="出让",IF(C13="","",ROUNDDOWN(MIN((C13-$D$3)/365,C14),2)),C14)</f>
        <v/>
      </c>
      <c r="D15" s="6" t="str">
        <f>IF(A13="出让",IF(D13="","",ROUNDDOWN(MIN((D13-$D$3)/365,D14),2)),D14)</f>
        <v/>
      </c>
      <c r="E15" s="6">
        <f>IF(A13="出让",IF(E13="","",ROUNDDOWN(MIN((E13-$D$3)/365,E14),2)),E14)</f>
        <v>38</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6"/>
      <c r="L15" s="1296"/>
      <c r="M15" s="1784"/>
      <c r="N15" s="1296"/>
      <c r="O15" s="1784"/>
      <c r="P15" s="1784"/>
      <c r="Q15" s="1784"/>
      <c r="AD15" s="1249"/>
    </row>
    <row r="16" spans="1:30">
      <c r="A16" s="1754" t="s">
        <v>2097</v>
      </c>
      <c r="B16" s="4323"/>
      <c r="C16" s="4324"/>
      <c r="D16" s="4325"/>
      <c r="E16" s="1763" t="s">
        <v>2098</v>
      </c>
      <c r="F16" s="4326"/>
      <c r="G16" s="4327"/>
      <c r="H16" s="4327"/>
      <c r="I16" s="4328"/>
      <c r="J16" s="1784"/>
      <c r="K16" s="1892"/>
      <c r="L16" s="1296"/>
      <c r="M16" s="1296"/>
      <c r="N16" s="1784"/>
      <c r="O16" s="1296"/>
      <c r="P16" s="1784"/>
      <c r="Q16" s="1784"/>
      <c r="R16" s="1784"/>
    </row>
    <row r="17" spans="1:28">
      <c r="A17" s="197" t="s">
        <v>2099</v>
      </c>
      <c r="B17" s="186" t="s">
        <v>2100</v>
      </c>
      <c r="C17" s="9">
        <f>'数据-汇总表'!E3</f>
        <v>498.23</v>
      </c>
      <c r="D17" s="899" t="s">
        <v>2101</v>
      </c>
      <c r="E17" s="4329" t="s">
        <v>2102</v>
      </c>
      <c r="F17" s="4330"/>
      <c r="G17" s="4330"/>
      <c r="H17" s="4330"/>
      <c r="I17" s="4331"/>
      <c r="J17" s="1784"/>
      <c r="K17" s="1893"/>
      <c r="L17" s="1296"/>
      <c r="M17" s="1296"/>
      <c r="N17" s="1784"/>
      <c r="O17" s="1296"/>
      <c r="P17" s="1784"/>
      <c r="Q17" s="1784"/>
      <c r="R17" s="1784"/>
      <c r="S17" s="1784"/>
      <c r="T17" s="1784"/>
      <c r="U17" s="1784"/>
      <c r="V17" s="1784"/>
    </row>
    <row r="18" spans="1:28" ht="24.75" thickBot="1">
      <c r="A18" s="1764" t="s">
        <v>2103</v>
      </c>
      <c r="B18" s="727" t="s">
        <v>2104</v>
      </c>
      <c r="C18" s="2597">
        <f>'数据-汇总表'!D3</f>
        <v>0</v>
      </c>
      <c r="D18" s="729" t="s">
        <v>2105</v>
      </c>
      <c r="E18" s="4332" t="s">
        <v>2106</v>
      </c>
      <c r="F18" s="4333"/>
      <c r="G18" s="4333"/>
      <c r="H18" s="4333"/>
      <c r="I18" s="4334"/>
      <c r="J18" s="1784"/>
      <c r="K18" s="1893"/>
      <c r="L18" s="1296"/>
      <c r="M18" s="1296"/>
      <c r="N18" s="1784"/>
      <c r="O18" s="1296"/>
      <c r="P18" s="1784"/>
      <c r="Q18" s="1784"/>
      <c r="R18" s="1784"/>
      <c r="S18" s="1784"/>
      <c r="T18" s="1784"/>
      <c r="U18" s="1784"/>
      <c r="V18" s="1784"/>
    </row>
    <row r="19" spans="1:28" ht="37.5" thickTop="1" thickBot="1">
      <c r="A19" s="210" t="s">
        <v>1039</v>
      </c>
      <c r="B19" s="191" t="s">
        <v>2107</v>
      </c>
      <c r="C19" s="1098"/>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c r="A20" s="1906" t="s">
        <v>2109</v>
      </c>
      <c r="B20" s="4319" t="s">
        <v>2110</v>
      </c>
      <c r="C20" s="4320"/>
      <c r="D20" s="4321" t="s">
        <v>2111</v>
      </c>
      <c r="E20" s="4322"/>
      <c r="F20" s="1919" t="s">
        <v>1040</v>
      </c>
      <c r="G20" s="1930"/>
      <c r="H20" s="1930"/>
      <c r="I20" s="1930"/>
      <c r="J20" s="1784"/>
      <c r="K20" s="4318"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10"/>
      <c r="P20" s="1726"/>
      <c r="Q20" s="1726"/>
      <c r="R20" s="1726"/>
      <c r="S20" s="1726"/>
      <c r="T20" s="1726"/>
      <c r="U20" s="1726"/>
      <c r="V20" s="1726"/>
      <c r="W20" s="1249"/>
      <c r="X20" s="1249"/>
      <c r="Y20" s="1249"/>
      <c r="Z20" s="1249"/>
      <c r="AA20" s="1249"/>
      <c r="AB20" s="1249"/>
    </row>
    <row r="21" spans="1:28" ht="24.75" thickBot="1">
      <c r="A21" s="1906"/>
      <c r="B21" s="1907" t="s">
        <v>2113</v>
      </c>
      <c r="C21" s="1835" t="s">
        <v>1041</v>
      </c>
      <c r="D21" s="1103" t="s">
        <v>2114</v>
      </c>
      <c r="E21" s="1908" t="s">
        <v>1041</v>
      </c>
      <c r="F21" s="1920"/>
      <c r="G21" s="1930"/>
      <c r="H21" s="1930"/>
      <c r="I21" s="1930"/>
      <c r="J21" s="1784"/>
      <c r="K21" s="431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10"/>
      <c r="P21" s="1726"/>
      <c r="Q21" s="1726"/>
      <c r="R21" s="1726"/>
      <c r="S21" s="1726"/>
      <c r="T21" s="1726"/>
      <c r="U21" s="1726"/>
      <c r="V21" s="1726"/>
      <c r="W21" s="1249"/>
      <c r="X21" s="1249"/>
      <c r="Y21" s="1249"/>
      <c r="Z21" s="1249"/>
      <c r="AA21" s="1249"/>
      <c r="AB21" s="1249"/>
    </row>
    <row r="22" spans="1:28" ht="24.75" thickBot="1">
      <c r="A22" s="1906"/>
      <c r="B22" s="1909" t="s">
        <v>2115</v>
      </c>
      <c r="C22" s="1835" t="s">
        <v>1042</v>
      </c>
      <c r="D22" s="1930"/>
      <c r="E22" s="1930"/>
      <c r="F22" s="1930"/>
      <c r="G22" s="1930"/>
      <c r="H22" s="1930"/>
      <c r="I22" s="1930"/>
      <c r="J22" s="1784"/>
      <c r="K22" s="431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10"/>
      <c r="P22" s="1726"/>
      <c r="Q22" s="1726"/>
      <c r="R22" s="1726"/>
      <c r="S22" s="1726"/>
      <c r="T22" s="1726"/>
      <c r="U22" s="1726"/>
      <c r="V22" s="1726"/>
      <c r="W22" s="1249"/>
      <c r="X22" s="1249"/>
      <c r="Y22" s="1249"/>
      <c r="Z22" s="1249"/>
      <c r="AA22" s="1249"/>
      <c r="AB22" s="1249"/>
    </row>
    <row r="23" spans="1:28">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36" t="s">
        <v>2118</v>
      </c>
      <c r="B27" s="203" t="s">
        <v>2119</v>
      </c>
      <c r="C27" s="1765" t="s">
        <v>4071</v>
      </c>
      <c r="D27" s="1766"/>
      <c r="E27" s="1930"/>
      <c r="F27" s="1930"/>
      <c r="G27" s="1930"/>
      <c r="H27" s="1930"/>
      <c r="I27" s="1930"/>
      <c r="J27" s="1784"/>
      <c r="K27" s="1892"/>
      <c r="L27" s="1296"/>
      <c r="M27" s="1296"/>
      <c r="N27" s="1784"/>
      <c r="O27" s="1296"/>
      <c r="P27" s="1784"/>
      <c r="Q27" s="1784"/>
      <c r="R27" s="1784"/>
      <c r="S27" s="1784"/>
      <c r="T27" s="1784"/>
      <c r="U27" s="1784"/>
      <c r="V27" s="1784"/>
    </row>
    <row r="28" spans="1:28">
      <c r="A28" s="4336"/>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c r="A29" s="4336"/>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c r="A30" s="4337"/>
      <c r="B30" s="186" t="s">
        <v>2122</v>
      </c>
      <c r="C30" s="4338"/>
      <c r="D30" s="4339"/>
      <c r="E30" s="1930"/>
      <c r="F30" s="1930"/>
      <c r="G30" s="1930"/>
      <c r="H30" s="1930"/>
      <c r="I30" s="1930"/>
      <c r="J30" s="1784"/>
      <c r="K30" s="1891"/>
      <c r="L30" s="1888"/>
      <c r="M30" s="1888"/>
      <c r="N30" s="1784"/>
      <c r="O30" s="1296"/>
      <c r="P30" s="1784"/>
      <c r="Q30" s="1784"/>
      <c r="R30" s="1784"/>
      <c r="S30" s="1784"/>
      <c r="T30" s="1784"/>
      <c r="U30" s="1784"/>
      <c r="V30" s="1784"/>
    </row>
    <row r="31" spans="1:28">
      <c r="A31" s="4340" t="s">
        <v>2123</v>
      </c>
      <c r="B31" s="1771" t="s">
        <v>4072</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41"/>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41"/>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c r="A34" s="186" t="s">
        <v>2124</v>
      </c>
      <c r="B34" s="1464"/>
      <c r="C34" s="1464"/>
      <c r="D34" s="1464"/>
      <c r="E34" s="1464"/>
      <c r="F34" s="1464"/>
      <c r="G34" s="1464"/>
      <c r="H34" s="1464"/>
      <c r="I34" s="1930"/>
      <c r="J34" s="1784"/>
      <c r="K34" s="6">
        <f>COUNTIF(B34:H34,"——")</f>
        <v>0</v>
      </c>
      <c r="L34" s="206" t="s">
        <v>2125</v>
      </c>
      <c r="M34" s="206" t="s">
        <v>2126</v>
      </c>
      <c r="N34" s="206" t="s">
        <v>2127</v>
      </c>
      <c r="O34" s="206" t="s">
        <v>2128</v>
      </c>
      <c r="P34" s="206" t="s">
        <v>2129</v>
      </c>
      <c r="Q34" s="206" t="s">
        <v>2130</v>
      </c>
      <c r="R34" s="206" t="s">
        <v>2131</v>
      </c>
      <c r="S34" s="4335" t="s">
        <v>2132</v>
      </c>
      <c r="T34" s="206" t="str">
        <f>NUMBERSTRING(7-K34,1)&amp;"通"</f>
        <v>七通</v>
      </c>
      <c r="U34" s="1784"/>
      <c r="V34" s="1784"/>
    </row>
    <row r="35" spans="1:30">
      <c r="A35" s="1775"/>
      <c r="B35" s="4335" t="s">
        <v>2133</v>
      </c>
      <c r="C35" s="4335"/>
      <c r="D35" s="4335"/>
      <c r="E35" s="4335"/>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5"/>
      <c r="T35" s="55" t="str">
        <f>IF(T34="一通",L35,IF(T34="二通",M35,IF(T34="三通",N35,IF(T34="四通",O35,IF(T34="五通",P35,IF(T34="六通",Q35,R35))))))</f>
        <v>、、、、、、</v>
      </c>
      <c r="U35" s="1784"/>
      <c r="V35" s="1784"/>
    </row>
    <row r="36" spans="1:30">
      <c r="A36" s="1727"/>
      <c r="B36" s="6" t="s">
        <v>2089</v>
      </c>
      <c r="C36" s="6" t="s">
        <v>2090</v>
      </c>
      <c r="D36" s="6" t="s">
        <v>2088</v>
      </c>
      <c r="E36" s="6" t="s">
        <v>2093</v>
      </c>
      <c r="F36" s="2219" t="s">
        <v>2468</v>
      </c>
      <c r="G36" s="1930"/>
      <c r="H36" s="1930"/>
      <c r="I36" s="1930"/>
      <c r="J36" s="1784"/>
      <c r="K36" s="1891"/>
      <c r="L36" s="1888"/>
      <c r="M36" s="1888"/>
      <c r="N36" s="1784"/>
      <c r="O36" s="1296"/>
      <c r="P36" s="1784"/>
      <c r="Q36" s="1784"/>
      <c r="R36" s="1784"/>
      <c r="S36" s="1784"/>
      <c r="T36" s="1784"/>
      <c r="U36" s="1784"/>
      <c r="V36" s="1784"/>
    </row>
    <row r="37" spans="1:30">
      <c r="A37" s="1904" t="s">
        <v>2134</v>
      </c>
      <c r="B37" s="1776"/>
      <c r="C37" s="1776"/>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25"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10"/>
      <c r="J40" s="1784"/>
      <c r="K40" s="1890"/>
      <c r="L40" s="1296"/>
      <c r="M40" s="1296"/>
      <c r="N40" s="1784"/>
      <c r="O40" s="1296"/>
      <c r="P40" s="1784"/>
      <c r="Q40" s="1784"/>
      <c r="R40" s="1784"/>
      <c r="S40" s="1784"/>
      <c r="T40" s="1784"/>
      <c r="U40" s="1784"/>
      <c r="V40" s="1784"/>
    </row>
    <row r="41" spans="1:30">
      <c r="A41" s="1781" t="s">
        <v>2137</v>
      </c>
      <c r="B41" s="1257"/>
      <c r="C41" s="924"/>
      <c r="D41" s="1726"/>
      <c r="E41" s="1726"/>
      <c r="F41" s="1726"/>
      <c r="G41" s="1726"/>
      <c r="H41" s="1726"/>
      <c r="I41" s="1110"/>
      <c r="J41" s="1784"/>
      <c r="K41" s="1891"/>
      <c r="L41" s="1888"/>
      <c r="M41" s="1888"/>
      <c r="N41" s="1784"/>
      <c r="O41" s="1296"/>
      <c r="P41" s="1784"/>
      <c r="Q41" s="1784"/>
      <c r="R41" s="1784"/>
      <c r="S41" s="1784"/>
      <c r="T41" s="1784"/>
      <c r="U41" s="1784"/>
      <c r="V41" s="1784"/>
    </row>
    <row r="42" spans="1:30" ht="25.5">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498.23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498.23</v>
      </c>
      <c r="H5" s="6">
        <f t="shared" ref="H5:AT5" si="0">SUM(H13:H656)</f>
        <v>498.23</v>
      </c>
      <c r="I5" s="6">
        <f t="shared" si="0"/>
        <v>498.23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498.23</v>
      </c>
      <c r="BA5" s="455">
        <f t="shared" si="1"/>
        <v>498.23</v>
      </c>
      <c r="BB5" s="455">
        <f t="shared" si="1"/>
        <v>498.23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4073</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4074</v>
      </c>
      <c r="E13" s="6">
        <f>IF($C$3="是",ROUND($A$3*G13/$B$3,2),ROUND($A$3*(G13-AT13)/$B$3,2))</f>
        <v>0</v>
      </c>
      <c r="F13" s="579"/>
      <c r="G13" s="18">
        <f>H13+AC13+AT13</f>
        <v>498.23</v>
      </c>
      <c r="H13" s="11">
        <f>SUMIF(I$12:AB$12,"总值",I13:AB13)</f>
        <v>498.23</v>
      </c>
      <c r="I13" s="1105">
        <v>498.23</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498.23</v>
      </c>
      <c r="BA13" s="9">
        <f>SUM(BB13:BK13)</f>
        <v>498.23</v>
      </c>
      <c r="BB13" s="9">
        <f>IF($D13="是",I13-J13,0)</f>
        <v>498.23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f>43/2</f>
        <v>21.5</v>
      </c>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21.5</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1" t="s">
        <v>1114</v>
      </c>
      <c r="B2" s="4351"/>
      <c r="C2" s="4351"/>
      <c r="D2" s="520" t="s">
        <v>1090</v>
      </c>
      <c r="E2" s="1162" t="s">
        <v>1091</v>
      </c>
      <c r="F2" s="1927"/>
      <c r="G2" s="1921"/>
      <c r="H2" s="1922"/>
      <c r="I2" s="1693" t="s">
        <v>1115</v>
      </c>
      <c r="J2" s="1927"/>
      <c r="K2" s="1927"/>
      <c r="L2" s="1927"/>
      <c r="M2" s="1927"/>
      <c r="N2" s="1928"/>
      <c r="O2" s="1927"/>
      <c r="P2" s="1927"/>
    </row>
    <row r="3" spans="1:16" ht="15.75" thickBot="1">
      <c r="A3" s="4352" t="s">
        <v>1088</v>
      </c>
      <c r="B3" s="4352"/>
      <c r="C3" s="4352"/>
      <c r="D3" s="3798">
        <f>'数据-基础表'!AY6</f>
        <v>0</v>
      </c>
      <c r="E3" s="3798">
        <f>'数据-基础表'!AZ5</f>
        <v>498.23</v>
      </c>
      <c r="F3" s="1927"/>
      <c r="G3" s="24"/>
      <c r="H3" s="25" t="s">
        <v>1089</v>
      </c>
      <c r="I3" s="2592" t="e">
        <f>ROUND('数据-基础表'!B3/'数据-基础表'!A3,2)</f>
        <v>#DIV/0!</v>
      </c>
      <c r="J3" s="1927"/>
      <c r="K3" s="1927"/>
      <c r="L3" s="1927"/>
      <c r="M3" s="1927"/>
      <c r="N3" s="1928"/>
      <c r="O3" s="1927"/>
      <c r="P3" s="1927"/>
    </row>
    <row r="4" spans="1:16" ht="15">
      <c r="A4" s="4353"/>
      <c r="B4" s="4354"/>
      <c r="C4" s="4355"/>
      <c r="D4" s="1164" t="s">
        <v>1090</v>
      </c>
      <c r="E4" s="1165"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6" t="s">
        <v>1093</v>
      </c>
      <c r="C5" s="4356"/>
      <c r="D5" s="3780">
        <f>ROUND($D$3*E5/$E$3,2)</f>
        <v>0</v>
      </c>
      <c r="E5" s="3670">
        <f>SUMIF('数据-基础表'!$11:$11,"住宅",'数据-基础表'!$5:$5)</f>
        <v>0</v>
      </c>
      <c r="F5" s="1927"/>
      <c r="G5" s="24"/>
      <c r="H5" s="25" t="s">
        <v>1089</v>
      </c>
      <c r="I5" s="2592" t="e">
        <f>ROUND(E31/D31,2)</f>
        <v>#DIV/0!</v>
      </c>
      <c r="J5" s="1927"/>
      <c r="K5" s="1927"/>
      <c r="L5" s="1927"/>
      <c r="M5" s="1927"/>
      <c r="N5" s="1927"/>
      <c r="O5" s="1927"/>
      <c r="P5" s="1927"/>
    </row>
    <row r="6" spans="1:16" ht="15" thickBot="1">
      <c r="A6" s="1167"/>
      <c r="B6" s="4356" t="s">
        <v>1094</v>
      </c>
      <c r="C6" s="4356"/>
      <c r="D6" s="3780">
        <f>ROUND($D$3*E6/$E$3,2)</f>
        <v>0</v>
      </c>
      <c r="E6" s="3670">
        <f>E3-E5</f>
        <v>498.23</v>
      </c>
      <c r="F6" s="1927"/>
      <c r="G6" s="1169" t="s">
        <v>1095</v>
      </c>
      <c r="H6" s="26" t="s">
        <v>1096</v>
      </c>
      <c r="I6" s="2593" t="e">
        <f>ROUND(F31/D31,2)</f>
        <v>#DIV/0!</v>
      </c>
      <c r="J6" s="1927"/>
      <c r="K6" s="1927"/>
      <c r="L6" s="1927"/>
      <c r="M6" s="1927"/>
      <c r="N6" s="1927"/>
      <c r="O6" s="1927"/>
      <c r="P6" s="1927"/>
    </row>
    <row r="7" spans="1:16" ht="15.75" thickBot="1">
      <c r="A7" s="4348"/>
      <c r="B7" s="4349"/>
      <c r="C7" s="4350"/>
      <c r="D7" s="1164" t="s">
        <v>1090</v>
      </c>
      <c r="E7" s="1168" t="s">
        <v>1097</v>
      </c>
      <c r="F7" s="1927"/>
      <c r="G7" s="1924" t="s">
        <v>1098</v>
      </c>
      <c r="H7" s="1925"/>
      <c r="I7" s="2594"/>
      <c r="J7" s="1927"/>
      <c r="K7" s="1927"/>
      <c r="L7" s="1927"/>
      <c r="M7" s="1927"/>
      <c r="N7" s="1927"/>
      <c r="O7" s="1927"/>
      <c r="P7" s="1927"/>
    </row>
    <row r="8" spans="1:16">
      <c r="A8" s="24" t="s">
        <v>1099</v>
      </c>
      <c r="B8" s="26" t="s">
        <v>1100</v>
      </c>
      <c r="C8" s="25" t="s">
        <v>1101</v>
      </c>
      <c r="D8" s="3780">
        <f t="shared" ref="D8:D15" si="0">ROUND($D$3*E8/$E$3,2)</f>
        <v>0</v>
      </c>
      <c r="E8" s="3670">
        <f>SUMIF('数据-基础表'!BB10:BK10,"地上",'数据-基础表'!BB5:BK5)</f>
        <v>498.23</v>
      </c>
      <c r="F8" s="1927"/>
      <c r="G8" s="1927"/>
      <c r="H8" s="1927"/>
      <c r="I8" s="1927"/>
      <c r="J8" s="1927"/>
      <c r="K8" s="1927"/>
      <c r="L8" s="1927"/>
      <c r="M8" s="1927"/>
      <c r="N8" s="1927"/>
      <c r="O8" s="1927"/>
      <c r="P8" s="1927"/>
    </row>
    <row r="9" spans="1:16">
      <c r="A9" s="1169"/>
      <c r="B9" s="1170"/>
      <c r="C9" s="25" t="s">
        <v>1102</v>
      </c>
      <c r="D9" s="3780">
        <f t="shared" si="0"/>
        <v>0</v>
      </c>
      <c r="E9" s="3799"/>
      <c r="F9" s="1927"/>
      <c r="G9" s="1927"/>
      <c r="H9" s="1927"/>
      <c r="I9" s="1927"/>
      <c r="J9" s="1927"/>
      <c r="K9" s="1927"/>
      <c r="L9" s="1927"/>
      <c r="M9" s="1927"/>
      <c r="N9" s="1927"/>
      <c r="O9" s="1927"/>
      <c r="P9" s="1927"/>
    </row>
    <row r="10" spans="1:16">
      <c r="A10" s="1169"/>
      <c r="B10" s="1170"/>
      <c r="C10" s="25" t="s">
        <v>1111</v>
      </c>
      <c r="D10" s="3780">
        <f t="shared" si="0"/>
        <v>0</v>
      </c>
      <c r="E10" s="3670">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80">
        <f t="shared" si="0"/>
        <v>0</v>
      </c>
      <c r="E11" s="3670">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80">
        <f t="shared" si="0"/>
        <v>0</v>
      </c>
      <c r="E12" s="3670">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80">
        <f t="shared" si="0"/>
        <v>0</v>
      </c>
      <c r="E13" s="3670">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80">
        <f t="shared" si="0"/>
        <v>0</v>
      </c>
      <c r="E14" s="3670">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80">
        <f t="shared" si="0"/>
        <v>0</v>
      </c>
      <c r="E15" s="3670">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24">
        <f>SUM(D8:D15)</f>
        <v>0</v>
      </c>
      <c r="E16" s="3790">
        <f>SUM(E8:E15)</f>
        <v>498.23</v>
      </c>
      <c r="F16" s="1927"/>
      <c r="G16" s="1927"/>
      <c r="H16" s="1171" t="s">
        <v>1118</v>
      </c>
      <c r="I16" s="1172"/>
      <c r="J16" s="763"/>
      <c r="K16" s="4345" t="s">
        <v>1118</v>
      </c>
      <c r="L16" s="4346"/>
      <c r="M16" s="4346"/>
      <c r="N16" s="4346"/>
      <c r="O16" s="4346"/>
      <c r="P16" s="4347"/>
    </row>
    <row r="17" spans="1:19" ht="15">
      <c r="A17" s="1173" t="s">
        <v>1119</v>
      </c>
      <c r="B17" s="1174" t="s">
        <v>1120</v>
      </c>
      <c r="C17" s="1175" t="s">
        <v>1121</v>
      </c>
      <c r="D17" s="1176" t="s">
        <v>1109</v>
      </c>
      <c r="E17" s="1177" t="s">
        <v>1110</v>
      </c>
      <c r="F17" s="1178"/>
      <c r="G17" s="1179"/>
      <c r="H17" s="1180" t="s">
        <v>1122</v>
      </c>
      <c r="I17" s="1181" t="s">
        <v>1107</v>
      </c>
      <c r="J17" s="763"/>
      <c r="K17" s="4342" t="s">
        <v>1123</v>
      </c>
      <c r="L17" s="4343"/>
      <c r="M17" s="4344"/>
      <c r="N17" s="4342" t="s">
        <v>1124</v>
      </c>
      <c r="O17" s="4343"/>
      <c r="P17" s="4344"/>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4" t="s">
        <v>4075</v>
      </c>
      <c r="D19" s="3780">
        <f>ROUND($D$3*E19/$E$3,2)</f>
        <v>0</v>
      </c>
      <c r="E19" s="3780">
        <f t="shared" ref="E19:E26" si="1">SUM(F19:G19)</f>
        <v>498.23</v>
      </c>
      <c r="F19" s="3781">
        <f>'数据-基础表'!I13</f>
        <v>498.23</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498.23</v>
      </c>
    </row>
    <row r="20" spans="1:19">
      <c r="A20" s="1189"/>
      <c r="B20" s="26" t="s">
        <v>1136</v>
      </c>
      <c r="C20" s="2464"/>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4"/>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5"/>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5"/>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5"/>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5"/>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1137</v>
      </c>
      <c r="D27" s="172">
        <f>SUM(D19:D26)</f>
        <v>0</v>
      </c>
      <c r="E27" s="172">
        <f>IF(SUM(E19:E26)='数据-基础表'!BA5,SUM(E19:E26),IF(F27="地上面积有误","面积有误","地下面积有误"))</f>
        <v>498.23</v>
      </c>
      <c r="F27" s="172">
        <f>IF(SUM(F19:F26)=E8,SUM(F19:F26),"地上面积有误")</f>
        <v>498.23</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498.23</v>
      </c>
    </row>
    <row r="28" spans="1:19">
      <c r="A28" s="1189"/>
      <c r="B28" s="26" t="s">
        <v>1138</v>
      </c>
      <c r="C28" s="30" t="s">
        <v>1139</v>
      </c>
      <c r="D28" s="3780">
        <f>ROUND($D$3*E28/$E$3,2)</f>
        <v>0</v>
      </c>
      <c r="E28" s="3780">
        <f>SUM(F28:G28)</f>
        <v>0</v>
      </c>
      <c r="F28" s="3541">
        <f>'数据-基础表'!BQ5+'数据-基础表'!BS5</f>
        <v>0</v>
      </c>
      <c r="G28" s="3788">
        <f>'数据-基础表'!BR5+'数据-基础表'!BT5</f>
        <v>0</v>
      </c>
      <c r="H28" s="1927"/>
      <c r="I28" s="1927"/>
      <c r="J28" s="1927"/>
      <c r="K28" s="1927"/>
      <c r="L28" s="1927"/>
      <c r="M28" s="1927"/>
      <c r="N28" s="1927"/>
      <c r="O28" s="1927"/>
      <c r="P28" s="1927"/>
    </row>
    <row r="29" spans="1:19">
      <c r="A29" s="1189"/>
      <c r="B29" s="26" t="s">
        <v>1138</v>
      </c>
      <c r="C29" s="1191" t="s">
        <v>1140</v>
      </c>
      <c r="D29" s="3780">
        <f>ROUND($D$3*E29/$E$3,2)</f>
        <v>0</v>
      </c>
      <c r="E29" s="3780">
        <f>SUM(F29:G29)</f>
        <v>0</v>
      </c>
      <c r="F29" s="3789">
        <f>'数据-基础表'!BM5+'数据-基础表'!BO5</f>
        <v>0</v>
      </c>
      <c r="G29" s="3790">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68">
        <f>SUM(G28:G29)</f>
        <v>0</v>
      </c>
      <c r="H30" s="1927"/>
      <c r="I30" s="1927"/>
      <c r="J30" s="1927"/>
      <c r="K30" s="1927"/>
      <c r="L30" s="1927"/>
      <c r="M30" s="1927"/>
      <c r="N30" s="1927"/>
      <c r="O30" s="1927"/>
      <c r="P30" s="1927"/>
    </row>
    <row r="31" spans="1:19" ht="15.75" thickBot="1">
      <c r="A31" s="1193"/>
      <c r="B31" s="45"/>
      <c r="C31" s="534" t="s">
        <v>1141</v>
      </c>
      <c r="D31" s="3791">
        <f>D27+D30</f>
        <v>0</v>
      </c>
      <c r="E31" s="3791">
        <f>E27+E30</f>
        <v>498.23</v>
      </c>
      <c r="F31" s="3792">
        <f>F27+F30</f>
        <v>498.23</v>
      </c>
      <c r="G31" s="3793">
        <f>G27+G30</f>
        <v>0</v>
      </c>
      <c r="H31" s="1927"/>
      <c r="I31" s="1927"/>
      <c r="J31" s="1927"/>
      <c r="K31" s="1927"/>
      <c r="L31" s="1927"/>
      <c r="M31" s="1927"/>
      <c r="N31" s="1927"/>
      <c r="O31" s="1927"/>
      <c r="P31" s="1927"/>
    </row>
    <row r="32" spans="1:19">
      <c r="A32" s="1166"/>
      <c r="B32" s="1166" t="s">
        <v>1142</v>
      </c>
      <c r="C32" s="1166"/>
      <c r="D32" s="3623"/>
      <c r="E32" s="3623">
        <f>SUMIF(C19:C26,"*住宅*",E19:E26)</f>
        <v>0</v>
      </c>
      <c r="F32" s="3623"/>
      <c r="G32" s="3623"/>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G19" sqref="AG1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5" customFormat="1" ht="15.75" thickBot="1">
      <c r="A2" s="1198" t="s">
        <v>1144</v>
      </c>
      <c r="B2" s="689">
        <f>项目基本情况!D3</f>
        <v>46097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59970</v>
      </c>
      <c r="F6" s="3294">
        <f>SUMIF(项目基本情况!C$12:I$12,C6,项目基本情况!C$15:I$15)</f>
        <v>38</v>
      </c>
      <c r="G6" s="3295">
        <f t="shared" ref="G6:G13" si="0">IF(ISERROR(ROUND(POWER(1+H6,D6-F6)*(POWER(1+H6,F6)-1)/(POWER(1+H6,D6)-1),4)),0,ROUND(POWER(1+H6,D6-F6)*(POWER(1+H6,F6)-1)/(POWER(1+H6,D6)-1),4))</f>
        <v>0.92400000000000004</v>
      </c>
      <c r="H6" s="3296">
        <v>0.05</v>
      </c>
      <c r="I6" s="3296">
        <v>5.5E-2</v>
      </c>
      <c r="J6" s="3297">
        <v>7.0000000000000007E-2</v>
      </c>
      <c r="K6" s="3800">
        <f>SUMIF('数据-汇总表'!C$19:C$33,A6,'数据-汇总表'!E$19:E$33)</f>
        <v>498.23</v>
      </c>
      <c r="L6" s="3801">
        <v>4100</v>
      </c>
      <c r="M6" s="3802">
        <f t="shared" ref="M6:M14" si="1">ROUND(K6*L6/10000,0)</f>
        <v>204</v>
      </c>
      <c r="N6" s="3284">
        <f>ROUND(1-(1-0%)*(2026-N18)/60,2)</f>
        <v>0.83</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f>ROUND(2/1.09,1)</f>
        <v>1.8</v>
      </c>
      <c r="V6" s="36">
        <v>1.4999999999999999E-2</v>
      </c>
      <c r="W6" s="36">
        <v>0.1</v>
      </c>
      <c r="X6" s="684"/>
      <c r="Y6" s="37">
        <f>N6</f>
        <v>0.83</v>
      </c>
      <c r="Z6" s="3826"/>
      <c r="AA6" s="35"/>
      <c r="AB6" s="35"/>
      <c r="AC6" s="684"/>
      <c r="AD6" s="38"/>
      <c r="AE6" s="685">
        <f ca="1">IF(AN6="",0,SUMIF(INDIRECT("'"&amp;AN6&amp;"'"&amp;"!E:E"),$AE$5,INDIRECT("'"&amp;AN6&amp;"'"&amp;"!F:F")))</f>
        <v>38</v>
      </c>
      <c r="AF6" s="3828"/>
      <c r="AG6" s="52">
        <f>IF(AF6="",0,AE6-AF6)</f>
        <v>0</v>
      </c>
      <c r="AH6" s="3821"/>
      <c r="AI6" s="3829">
        <v>365</v>
      </c>
      <c r="AJ6" s="3828"/>
      <c r="AK6" s="39">
        <v>2E-3</v>
      </c>
      <c r="AL6" s="40">
        <v>1E-3</v>
      </c>
      <c r="AM6" s="41">
        <v>0.02</v>
      </c>
      <c r="AN6" s="1224" t="s">
        <v>4077</v>
      </c>
      <c r="AO6" s="3780">
        <f ca="1">SUMIF(INDIRECT("'"&amp;AN6&amp;"'"&amp;"!A:A"),"总价",INDIRECT("'"&amp;AN6&amp;"'"&amp;"!B:B"))</f>
        <v>516.61890000000005</v>
      </c>
      <c r="AP6" s="3780">
        <f>IF(C6="住宅",K6*L6,0)</f>
        <v>0</v>
      </c>
      <c r="AQ6" s="3780">
        <f>ROUND($L$14*$N$14*S6/10000,0)</f>
        <v>0</v>
      </c>
      <c r="AR6" s="3780">
        <f>ROUND($L$14*(1-$N$14)*S6/10000,0)</f>
        <v>0</v>
      </c>
      <c r="AS6" s="3780">
        <f>ROUND(1-1/(1+H6)^F6,3)</f>
        <v>0.84299999999999997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7"/>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7"/>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0.92400000000000004</v>
      </c>
      <c r="H16" s="3301">
        <f>ROUND(SUMPRODUCT(H6:H13,K6:K13)/SUMPRODUCT((H6:H13&gt;0)*(K6:K13)),3)</f>
        <v>0.05</v>
      </c>
      <c r="I16" s="3302"/>
      <c r="J16" s="3302"/>
      <c r="K16" s="3804">
        <f>SUM(K6:K15)</f>
        <v>498.23</v>
      </c>
      <c r="L16" s="3805">
        <f>ROUND(M16*10000/SUM(K6:K14),0)</f>
        <v>4094</v>
      </c>
      <c r="M16" s="3805">
        <f>SUM(M6:M14)</f>
        <v>204</v>
      </c>
      <c r="N16" s="3290">
        <f>ROUND(SUMPRODUCT(M6:M14,N6:N14)/M16,3)</f>
        <v>0.83</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5"/>
      <c r="AA16" s="43"/>
      <c r="AB16" s="43"/>
      <c r="AC16" s="45"/>
      <c r="AD16" s="45"/>
      <c r="AE16" s="3825"/>
      <c r="AF16" s="43"/>
      <c r="AG16" s="44"/>
      <c r="AH16" s="3825"/>
      <c r="AI16" s="1925"/>
      <c r="AJ16" s="1925"/>
      <c r="AK16" s="43"/>
      <c r="AL16" s="43"/>
      <c r="AM16" s="44"/>
      <c r="AN16" s="1937"/>
      <c r="AO16" s="3317"/>
      <c r="AP16" s="3317"/>
      <c r="AQ16" s="3317"/>
      <c r="AR16" s="3317"/>
      <c r="AS16" s="3780">
        <f>ROUND(SUMPRODUCT(AS6:AS13,K6:K13)/SUMPRODUCT((AS6:AS13&gt;0)*(K6:K13)),3)</f>
        <v>0.84299999999999997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f>U6*1.09*365/'比较法-办公'!C50</f>
        <v>3.1333625027346317E-2</v>
      </c>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7"/>
      <c r="D18" s="1940"/>
      <c r="E18" s="1927"/>
      <c r="F18" s="1927"/>
      <c r="G18" s="1927"/>
      <c r="H18" s="1927"/>
      <c r="I18" s="1927"/>
      <c r="J18" s="1927"/>
      <c r="K18" s="1938"/>
      <c r="L18" s="1938">
        <f>4500/1.09</f>
        <v>4128.440366972477</v>
      </c>
      <c r="M18" s="1937"/>
      <c r="N18" s="1937">
        <v>2016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25">
      <c r="A19" s="3840" t="s">
        <v>1194</v>
      </c>
      <c r="B19" s="3806">
        <v>0</v>
      </c>
      <c r="C19" s="3917" t="s">
        <v>2198</v>
      </c>
      <c r="D19" s="3913"/>
      <c r="E19" s="3914"/>
      <c r="F19" s="3914"/>
      <c r="G19" s="3914"/>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25">
      <c r="A20" s="1229" t="s">
        <v>1195</v>
      </c>
      <c r="B20" s="3807">
        <v>2</v>
      </c>
      <c r="C20" s="3915" t="s">
        <v>3848</v>
      </c>
      <c r="D20" s="3913"/>
      <c r="E20" s="3914"/>
      <c r="F20" s="3914"/>
      <c r="G20" s="3914"/>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25">
      <c r="A21" s="1230" t="s">
        <v>1196</v>
      </c>
      <c r="B21" s="3807">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25">
      <c r="A22" s="1229" t="s">
        <v>1197</v>
      </c>
      <c r="B22" s="3808">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25">
      <c r="A23" s="1230" t="s">
        <v>1198</v>
      </c>
      <c r="B23" s="3808">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1" t="s">
        <v>1199</v>
      </c>
      <c r="B24" s="3809">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5" thickBot="1">
      <c r="A25" s="1093"/>
      <c r="B25" s="1182"/>
      <c r="C25" s="1927"/>
      <c r="D25" s="1940"/>
      <c r="E25" s="1927"/>
      <c r="F25" s="3617"/>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25">
      <c r="A27" s="1233" t="s">
        <v>1202</v>
      </c>
      <c r="B27" s="3810">
        <v>160</v>
      </c>
      <c r="C27" s="3960" t="s">
        <v>2199</v>
      </c>
      <c r="D27" s="3918"/>
      <c r="E27" s="3919"/>
      <c r="F27" s="3919"/>
      <c r="G27" s="3914"/>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25">
      <c r="A28" s="1234" t="s">
        <v>1203</v>
      </c>
      <c r="B28" s="3811">
        <v>200</v>
      </c>
      <c r="C28" s="4106"/>
      <c r="D28" s="3918"/>
      <c r="E28" s="3919"/>
      <c r="F28" s="3919"/>
      <c r="G28" s="3914"/>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15" thickBot="1">
      <c r="A29" s="1235" t="s">
        <v>1204</v>
      </c>
      <c r="B29" s="3812"/>
      <c r="C29" s="3961" t="s">
        <v>3847</v>
      </c>
      <c r="D29" s="3918"/>
      <c r="E29" s="3919"/>
      <c r="F29" s="3919"/>
      <c r="G29" s="3914"/>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25">
      <c r="A30" s="1236" t="s">
        <v>1205</v>
      </c>
      <c r="B30" s="3813">
        <v>120</v>
      </c>
      <c r="C30" s="3966" t="s">
        <v>3975</v>
      </c>
      <c r="D30" s="3918"/>
      <c r="E30" s="3919"/>
      <c r="F30" s="3919"/>
      <c r="G30" s="3914"/>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25">
      <c r="A31" s="1234" t="s">
        <v>1206</v>
      </c>
      <c r="B31" s="3808">
        <f>B30-B32</f>
        <v>120</v>
      </c>
      <c r="C31" s="1941"/>
      <c r="D31" s="1942"/>
      <c r="E31" s="1928"/>
      <c r="F31" s="1928"/>
      <c r="G31" s="1927"/>
      <c r="H31" s="1927"/>
      <c r="I31" s="1927"/>
      <c r="J31" s="1927"/>
      <c r="K31" s="4256" t="s">
        <v>4078</v>
      </c>
      <c r="L31" s="1938">
        <f>L16</f>
        <v>4094</v>
      </c>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7" t="s">
        <v>1207</v>
      </c>
      <c r="B32" s="3814"/>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25">
      <c r="A33" s="3843" t="s">
        <v>3812</v>
      </c>
      <c r="B33" s="3907">
        <v>7.0000000000000007E-2</v>
      </c>
      <c r="C33" s="3951" t="s">
        <v>3840</v>
      </c>
      <c r="D33" s="3913"/>
      <c r="E33" s="3914"/>
      <c r="F33" s="3914"/>
      <c r="G33" s="3914"/>
      <c r="H33" s="1927"/>
      <c r="I33" s="1927"/>
      <c r="J33" s="1927"/>
      <c r="K33" s="4256" t="s">
        <v>4079</v>
      </c>
      <c r="L33" s="1938">
        <f>L31*B33</f>
        <v>286.58000000000004</v>
      </c>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25">
      <c r="A34" s="1234" t="s">
        <v>1208</v>
      </c>
      <c r="B34" s="3908"/>
      <c r="C34" s="3915" t="s">
        <v>3842</v>
      </c>
      <c r="D34" s="3920"/>
      <c r="E34" s="3916"/>
      <c r="F34" s="3914"/>
      <c r="G34" s="3914"/>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25">
      <c r="A35" s="1234" t="s">
        <v>1209</v>
      </c>
      <c r="B35" s="3909">
        <v>280</v>
      </c>
      <c r="C35" s="3917" t="s">
        <v>3844</v>
      </c>
      <c r="D35" s="3918"/>
      <c r="E35" s="3919"/>
      <c r="F35" s="3919"/>
      <c r="G35" s="3914"/>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25">
      <c r="A36" s="3841" t="s">
        <v>3293</v>
      </c>
      <c r="B36" s="3303">
        <v>0.01</v>
      </c>
      <c r="C36" s="3952" t="s">
        <v>3843</v>
      </c>
      <c r="D36" s="3918"/>
      <c r="E36" s="3919"/>
      <c r="F36" s="3919"/>
      <c r="G36" s="3914"/>
      <c r="H36" s="1927"/>
      <c r="I36" s="1927"/>
      <c r="J36" s="1927"/>
      <c r="K36" s="4256" t="s">
        <v>4080</v>
      </c>
      <c r="L36" s="1938">
        <f>L31*B36</f>
        <v>40.94</v>
      </c>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2" t="s">
        <v>3294</v>
      </c>
      <c r="B37" s="3304"/>
      <c r="C37" s="3917" t="s">
        <v>3841</v>
      </c>
      <c r="D37" s="3913"/>
      <c r="E37" s="3914"/>
      <c r="F37" s="3914"/>
      <c r="G37" s="3914"/>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25">
      <c r="A38" s="1236" t="s">
        <v>1210</v>
      </c>
      <c r="B38" s="3305">
        <v>0.03</v>
      </c>
      <c r="C38" s="3915" t="s">
        <v>3269</v>
      </c>
      <c r="D38" s="3913"/>
      <c r="E38" s="3914"/>
      <c r="F38" s="3914"/>
      <c r="G38" s="3914"/>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25">
      <c r="A39" s="1234" t="s">
        <v>1211</v>
      </c>
      <c r="B39" s="3303">
        <v>0.02</v>
      </c>
      <c r="C39" s="3915" t="s">
        <v>3845</v>
      </c>
      <c r="D39" s="3913"/>
      <c r="E39" s="3914"/>
      <c r="F39" s="3914"/>
      <c r="G39" s="3914"/>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25">
      <c r="A40" s="1237" t="s">
        <v>1212</v>
      </c>
      <c r="B40" s="3306">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5" thickBot="1">
      <c r="A41" s="2047" t="s">
        <v>2205</v>
      </c>
      <c r="B41" s="3307">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25">
      <c r="A42" s="3843" t="s">
        <v>3286</v>
      </c>
      <c r="B42" s="3308"/>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25">
      <c r="A43" s="1238" t="s">
        <v>1213</v>
      </c>
      <c r="B43" s="3905">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25">
      <c r="A44" s="1238" t="s">
        <v>1214</v>
      </c>
      <c r="B44" s="3906">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25">
      <c r="A45" s="1239" t="s">
        <v>1215</v>
      </c>
      <c r="B45" s="3309">
        <v>7.0000000000000007E-2</v>
      </c>
      <c r="C45" s="3915" t="s">
        <v>3270</v>
      </c>
      <c r="D45" s="3913"/>
      <c r="E45" s="3914"/>
      <c r="F45" s="3914"/>
      <c r="G45" s="3914"/>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25">
      <c r="A46" s="1239" t="s">
        <v>1216</v>
      </c>
      <c r="B46" s="3310">
        <v>0.03</v>
      </c>
      <c r="C46" s="3961" t="s">
        <v>3849</v>
      </c>
      <c r="D46" s="3962"/>
      <c r="E46" s="3963"/>
      <c r="F46" s="3914"/>
      <c r="G46" s="3914"/>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25">
      <c r="A47" s="1239" t="s">
        <v>1217</v>
      </c>
      <c r="B47" s="3310">
        <v>0.02</v>
      </c>
      <c r="C47" s="3961" t="s">
        <v>3850</v>
      </c>
      <c r="D47" s="3962"/>
      <c r="E47" s="3963"/>
      <c r="F47" s="3914"/>
      <c r="G47" s="3914"/>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0" t="s">
        <v>1218</v>
      </c>
      <c r="B48" s="3311"/>
      <c r="C48" s="3964" t="s">
        <v>2200</v>
      </c>
      <c r="D48" s="3962"/>
      <c r="E48" s="3963"/>
      <c r="F48" s="3914"/>
      <c r="G48" s="3914"/>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25">
      <c r="A49" s="1241" t="s">
        <v>1219</v>
      </c>
      <c r="B49" s="3312">
        <v>0.03</v>
      </c>
      <c r="C49" s="3961" t="s">
        <v>3851</v>
      </c>
      <c r="D49" s="3962"/>
      <c r="E49" s="3963"/>
      <c r="F49" s="3914"/>
      <c r="G49" s="3914"/>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7" t="s">
        <v>1220</v>
      </c>
      <c r="B50" s="3310">
        <v>5.0000000000000001E-4</v>
      </c>
      <c r="C50" s="3961" t="s">
        <v>3852</v>
      </c>
      <c r="D50" s="3962"/>
      <c r="E50" s="3963"/>
      <c r="F50" s="3914"/>
      <c r="G50" s="3914"/>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25">
      <c r="A51" s="1242" t="s">
        <v>1221</v>
      </c>
      <c r="B51" s="3904">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5" t="s">
        <v>1222</v>
      </c>
      <c r="B52" s="3903">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25">
      <c r="A53" s="1242" t="s">
        <v>1223</v>
      </c>
      <c r="B53" s="3313">
        <f>SUMIF(A55:A64,B54,B55:B64)</f>
        <v>0</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25">
      <c r="A54" s="1234" t="s">
        <v>1224</v>
      </c>
      <c r="B54" s="3314"/>
      <c r="C54" s="1938" t="s">
        <v>3853</v>
      </c>
      <c r="D54" s="3965" t="s">
        <v>3854</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25">
      <c r="A55" s="1243" t="s">
        <v>1225</v>
      </c>
      <c r="B55" s="3799"/>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25">
      <c r="A56" s="1243" t="s">
        <v>1226</v>
      </c>
      <c r="B56" s="3799"/>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25">
      <c r="A57" s="1243" t="s">
        <v>1227</v>
      </c>
      <c r="B57" s="3799"/>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25">
      <c r="A58" s="1243" t="s">
        <v>1228</v>
      </c>
      <c r="B58" s="3799"/>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25">
      <c r="A59" s="1243" t="s">
        <v>1229</v>
      </c>
      <c r="B59" s="3799"/>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25">
      <c r="A60" s="1243" t="s">
        <v>1230</v>
      </c>
      <c r="B60" s="3799"/>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25">
      <c r="A61" s="1243" t="s">
        <v>1231</v>
      </c>
      <c r="B61" s="3799"/>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25">
      <c r="A62" s="1243" t="s">
        <v>1232</v>
      </c>
      <c r="B62" s="3799"/>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25">
      <c r="A63" s="1243" t="s">
        <v>1233</v>
      </c>
      <c r="B63" s="3799"/>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4" t="s">
        <v>1234</v>
      </c>
      <c r="B64" s="3815"/>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8" customFormat="1" ht="18.75" thickBot="1">
      <c r="A1" s="4357" t="s">
        <v>2190</v>
      </c>
      <c r="B1" s="4358"/>
      <c r="C1" s="4358"/>
      <c r="D1" s="4358"/>
      <c r="E1" s="4358"/>
      <c r="F1" s="4358"/>
      <c r="G1" s="4358"/>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2185</v>
      </c>
      <c r="D2" s="1228"/>
      <c r="E2" s="1799"/>
      <c r="F2" s="1802"/>
      <c r="G2" s="1801" t="s">
        <v>2186</v>
      </c>
      <c r="H2" s="521"/>
      <c r="I2" s="521"/>
      <c r="J2" s="521"/>
      <c r="K2" s="521"/>
      <c r="L2" s="521"/>
      <c r="M2" s="521"/>
      <c r="N2" s="521"/>
      <c r="O2" s="521"/>
      <c r="P2" s="521"/>
      <c r="Q2" s="521"/>
    </row>
    <row r="3" spans="1:29" ht="48">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6.75">
      <c r="A4" s="1787"/>
      <c r="B4" s="206" t="s">
        <v>2158</v>
      </c>
      <c r="C4" s="1808" t="s">
        <v>2159</v>
      </c>
      <c r="D4" s="1805"/>
      <c r="E4" s="1809"/>
      <c r="F4" s="924" t="s">
        <v>2160</v>
      </c>
      <c r="G4" s="1810" t="s">
        <v>2161</v>
      </c>
      <c r="H4" s="521"/>
      <c r="I4" s="521"/>
      <c r="J4" s="521"/>
      <c r="K4" s="521"/>
      <c r="L4" s="521"/>
      <c r="M4" s="521"/>
      <c r="N4" s="521"/>
      <c r="O4" s="521"/>
      <c r="P4" s="521"/>
      <c r="Q4" s="521"/>
    </row>
    <row r="5" spans="1:29" ht="36.75">
      <c r="A5" s="1787"/>
      <c r="B5" s="206" t="s">
        <v>2162</v>
      </c>
      <c r="C5" s="1808" t="s">
        <v>2163</v>
      </c>
      <c r="D5" s="1805"/>
      <c r="E5" s="1809"/>
      <c r="F5" s="206" t="s">
        <v>2164</v>
      </c>
      <c r="G5" s="1810" t="s">
        <v>2165</v>
      </c>
      <c r="H5" s="521"/>
      <c r="I5" s="521"/>
      <c r="J5" s="521"/>
      <c r="K5" s="521"/>
      <c r="L5" s="521"/>
      <c r="M5" s="521"/>
      <c r="N5" s="521"/>
      <c r="O5" s="521"/>
      <c r="P5" s="521"/>
      <c r="Q5" s="521"/>
    </row>
    <row r="6" spans="1:29" ht="36">
      <c r="A6" s="1787"/>
      <c r="B6" s="206" t="s">
        <v>2166</v>
      </c>
      <c r="C6" s="1810" t="s">
        <v>2161</v>
      </c>
      <c r="D6" s="1805"/>
      <c r="E6" s="1809"/>
      <c r="F6" s="206" t="s">
        <v>2167</v>
      </c>
      <c r="G6" s="1810" t="s">
        <v>2168</v>
      </c>
      <c r="H6" s="521"/>
      <c r="I6" s="521"/>
      <c r="J6" s="521"/>
      <c r="K6" s="521"/>
      <c r="L6" s="521"/>
      <c r="M6" s="521"/>
      <c r="N6" s="521"/>
      <c r="O6" s="521"/>
      <c r="P6" s="521"/>
      <c r="Q6" s="521"/>
    </row>
    <row r="7" spans="1:29" ht="24.75" thickBot="1">
      <c r="A7" s="1787"/>
      <c r="B7" s="206" t="s">
        <v>2164</v>
      </c>
      <c r="C7" s="1810" t="s">
        <v>2165</v>
      </c>
      <c r="D7" s="1784"/>
      <c r="E7" s="1811"/>
      <c r="F7" s="1812" t="s">
        <v>2169</v>
      </c>
      <c r="G7" s="1813" t="s">
        <v>2170</v>
      </c>
      <c r="H7" s="521"/>
      <c r="I7" s="521"/>
      <c r="J7" s="521"/>
      <c r="K7" s="521"/>
      <c r="L7" s="521"/>
      <c r="M7" s="521"/>
      <c r="N7" s="521"/>
      <c r="O7" s="521"/>
      <c r="P7" s="521"/>
      <c r="Q7" s="521"/>
    </row>
    <row r="8" spans="1:29">
      <c r="A8" s="1787"/>
      <c r="B8" s="206" t="s">
        <v>2167</v>
      </c>
      <c r="C8" s="1810" t="s">
        <v>2168</v>
      </c>
      <c r="D8" s="1784"/>
      <c r="E8" s="1784"/>
      <c r="F8" s="47"/>
      <c r="G8" s="47"/>
      <c r="H8" s="521"/>
      <c r="I8" s="521"/>
      <c r="J8" s="521"/>
      <c r="K8" s="521"/>
      <c r="L8" s="521"/>
      <c r="M8" s="521"/>
      <c r="N8" s="521"/>
      <c r="O8" s="521"/>
      <c r="P8" s="521"/>
      <c r="Q8" s="521"/>
    </row>
    <row r="9" spans="1:29" ht="24">
      <c r="A9" s="1787"/>
      <c r="B9" s="206" t="s">
        <v>2171</v>
      </c>
      <c r="C9" s="1808" t="s">
        <v>2172</v>
      </c>
      <c r="D9" s="1805"/>
      <c r="E9" s="1784"/>
      <c r="F9" s="47"/>
      <c r="G9" s="47"/>
      <c r="H9" s="521"/>
      <c r="I9" s="521"/>
      <c r="J9" s="521"/>
      <c r="K9" s="521"/>
      <c r="L9" s="521"/>
      <c r="M9" s="521"/>
      <c r="N9" s="521"/>
      <c r="O9" s="521"/>
      <c r="P9" s="521"/>
      <c r="Q9" s="521"/>
    </row>
    <row r="10" spans="1:29" ht="1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2191</v>
      </c>
      <c r="B13" s="1819"/>
      <c r="C13" s="1819"/>
      <c r="D13" s="1818"/>
      <c r="E13" s="1819"/>
      <c r="F13" s="1819"/>
      <c r="G13" s="1819"/>
    </row>
    <row r="14" spans="1:29" ht="15" thickBot="1">
      <c r="A14" s="1824"/>
      <c r="B14" s="1824"/>
      <c r="C14" s="1825" t="s">
        <v>2174</v>
      </c>
      <c r="D14" s="1805"/>
      <c r="E14" s="1826"/>
      <c r="F14" s="1826"/>
      <c r="G14" s="1801" t="s">
        <v>2175</v>
      </c>
    </row>
    <row r="15" spans="1:29" ht="51">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8.2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8.25">
      <c r="A17" s="1791"/>
      <c r="B17" s="1830" t="s">
        <v>2162</v>
      </c>
      <c r="C17" s="1831" t="str">
        <f>C5</f>
        <v>估价对象位于XX商圈，周边办公楼项目较多，入驻率高，办公集聚程度较好</v>
      </c>
      <c r="D17" s="1784"/>
      <c r="E17" s="1792"/>
      <c r="F17" s="1832" t="s">
        <v>2179</v>
      </c>
      <c r="G17" s="1834"/>
    </row>
    <row r="18" spans="1:17" ht="38.2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5">
      <c r="A19" s="1791"/>
      <c r="B19" s="1832" t="s">
        <v>2180</v>
      </c>
      <c r="C19" s="1834"/>
      <c r="D19" s="1805"/>
      <c r="E19" s="1792"/>
      <c r="F19" s="206" t="s">
        <v>2164</v>
      </c>
      <c r="G19" s="1833" t="str">
        <f>G5</f>
        <v>估价对象所在区域公共配套设施齐备情况</v>
      </c>
    </row>
    <row r="20" spans="1:17" ht="25.5">
      <c r="A20" s="1791"/>
      <c r="B20" s="1832" t="s">
        <v>2181</v>
      </c>
      <c r="C20" s="1831" t="str">
        <f>C9</f>
        <v>区域自然环境：；人文环境；综合评价环境状况一般</v>
      </c>
      <c r="D20" s="1784"/>
      <c r="E20" s="1792"/>
      <c r="F20" s="206" t="s">
        <v>2167</v>
      </c>
      <c r="G20" s="1833" t="str">
        <f>G6</f>
        <v>估价对象所在区域基础设施水平</v>
      </c>
    </row>
    <row r="21" spans="1:17" ht="25.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498.23</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46097</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952.06769999999995</v>
      </c>
      <c r="C5" s="1839">
        <f ca="1">ROUND(B5*10000/$B$1,0)</f>
        <v>19109</v>
      </c>
      <c r="D5" s="1839" t="e">
        <f ca="1">ROUND(B5*10000/$B$2,0)</f>
        <v>#DIV/0!</v>
      </c>
      <c r="E5" s="1948"/>
      <c r="F5" s="1949"/>
      <c r="G5" s="1949"/>
      <c r="H5" s="1949"/>
      <c r="I5" s="1949"/>
      <c r="J5" s="1949"/>
      <c r="K5" s="1949"/>
    </row>
    <row r="6" spans="1:11" ht="16.5">
      <c r="A6" s="1839" t="s">
        <v>644</v>
      </c>
      <c r="B6" s="1839">
        <f ca="1">SUM(G14:G23)</f>
        <v>952.06769999999995</v>
      </c>
      <c r="C6" s="1839">
        <f ca="1">ROUND(B6*10000/$B$1,0)</f>
        <v>19109</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3242</v>
      </c>
      <c r="D10" s="1839" t="s">
        <v>3243</v>
      </c>
      <c r="E10" s="3621"/>
      <c r="F10" s="2481" t="s">
        <v>3244</v>
      </c>
      <c r="G10" s="3622"/>
      <c r="H10" s="1949"/>
      <c r="I10" s="1949"/>
      <c r="J10" s="1949"/>
      <c r="K10" s="1949"/>
    </row>
    <row r="11" spans="1:11" ht="16.5">
      <c r="A11" s="1839" t="s">
        <v>658</v>
      </c>
      <c r="B11" s="3620"/>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8">
        <f>'数据-汇总表'!E3</f>
        <v>498.23</v>
      </c>
      <c r="C14" s="3618"/>
      <c r="D14" s="3618">
        <f ca="1">结果表!I20/10000</f>
        <v>952.06769999999995</v>
      </c>
      <c r="E14" s="3618">
        <f ca="1">结果表!G20</f>
        <v>19109</v>
      </c>
      <c r="F14" s="3618" t="e">
        <f ca="1">ROUND(D14*10000/C14,0)</f>
        <v>#DIV/0!</v>
      </c>
      <c r="G14" s="3618">
        <f ca="1">D14</f>
        <v>952.06769999999995</v>
      </c>
      <c r="H14" s="3618"/>
      <c r="I14" s="3618"/>
      <c r="J14" s="1949"/>
      <c r="K14" s="1949"/>
    </row>
    <row r="15" spans="1:11" ht="16.5">
      <c r="A15" s="1844" t="s">
        <v>637</v>
      </c>
      <c r="B15" s="3619"/>
      <c r="C15" s="3619"/>
      <c r="D15" s="3619"/>
      <c r="E15" s="3618" t="e">
        <f t="shared" ref="E15:E23" si="0">ROUND(D15*10000/B15,0)</f>
        <v>#DIV/0!</v>
      </c>
      <c r="F15" s="3618" t="e">
        <f t="shared" ref="F15:F23" si="1">ROUND(D15*10000/C15,0)</f>
        <v>#DIV/0!</v>
      </c>
      <c r="G15" s="3620"/>
      <c r="H15" s="3620"/>
      <c r="I15" s="3619"/>
      <c r="J15" s="1949"/>
      <c r="K15" s="1949"/>
    </row>
    <row r="16" spans="1:11" ht="16.5">
      <c r="A16" s="1844" t="s">
        <v>636</v>
      </c>
      <c r="B16" s="3619"/>
      <c r="C16" s="3619"/>
      <c r="D16" s="3619"/>
      <c r="E16" s="3618" t="e">
        <f t="shared" si="0"/>
        <v>#DIV/0!</v>
      </c>
      <c r="F16" s="3618" t="e">
        <f t="shared" si="1"/>
        <v>#DIV/0!</v>
      </c>
      <c r="G16" s="3620"/>
      <c r="H16" s="3620"/>
      <c r="I16" s="3619"/>
      <c r="J16" s="1949"/>
      <c r="K16" s="1949"/>
    </row>
    <row r="17" spans="1:11" ht="16.5">
      <c r="A17" s="1844" t="s">
        <v>635</v>
      </c>
      <c r="B17" s="3619"/>
      <c r="C17" s="3619"/>
      <c r="D17" s="3619"/>
      <c r="E17" s="3618" t="e">
        <f t="shared" si="0"/>
        <v>#DIV/0!</v>
      </c>
      <c r="F17" s="3618" t="e">
        <f t="shared" si="1"/>
        <v>#DIV/0!</v>
      </c>
      <c r="G17" s="3620"/>
      <c r="H17" s="3620"/>
      <c r="I17" s="3619"/>
      <c r="J17" s="1949"/>
      <c r="K17" s="1949"/>
    </row>
    <row r="18" spans="1:11" ht="16.5">
      <c r="A18" s="1844" t="s">
        <v>634</v>
      </c>
      <c r="B18" s="3619"/>
      <c r="C18" s="3619"/>
      <c r="D18" s="3619"/>
      <c r="E18" s="3618" t="e">
        <f t="shared" si="0"/>
        <v>#DIV/0!</v>
      </c>
      <c r="F18" s="3618" t="e">
        <f t="shared" si="1"/>
        <v>#DIV/0!</v>
      </c>
      <c r="G18" s="3619"/>
      <c r="H18" s="3619"/>
      <c r="I18" s="3619"/>
      <c r="J18" s="1949"/>
      <c r="K18" s="1949"/>
    </row>
    <row r="19" spans="1:11" ht="16.5">
      <c r="A19" s="1844" t="s">
        <v>633</v>
      </c>
      <c r="B19" s="3619"/>
      <c r="C19" s="3619"/>
      <c r="D19" s="3619"/>
      <c r="E19" s="3618" t="e">
        <f t="shared" si="0"/>
        <v>#DIV/0!</v>
      </c>
      <c r="F19" s="3618" t="e">
        <f t="shared" si="1"/>
        <v>#DIV/0!</v>
      </c>
      <c r="G19" s="3619"/>
      <c r="H19" s="3619"/>
      <c r="I19" s="3619"/>
      <c r="J19" s="1949"/>
      <c r="K19" s="1949"/>
    </row>
    <row r="20" spans="1:11" ht="16.5">
      <c r="A20" s="1844" t="s">
        <v>632</v>
      </c>
      <c r="B20" s="3619"/>
      <c r="C20" s="3619"/>
      <c r="D20" s="3619"/>
      <c r="E20" s="3618" t="e">
        <f t="shared" si="0"/>
        <v>#DIV/0!</v>
      </c>
      <c r="F20" s="3618" t="e">
        <f t="shared" si="1"/>
        <v>#DIV/0!</v>
      </c>
      <c r="G20" s="3619"/>
      <c r="H20" s="3619"/>
      <c r="I20" s="3619"/>
      <c r="J20" s="1949"/>
      <c r="K20" s="1949"/>
    </row>
    <row r="21" spans="1:11" ht="16.5">
      <c r="A21" s="1844" t="s">
        <v>631</v>
      </c>
      <c r="B21" s="3619"/>
      <c r="C21" s="3619"/>
      <c r="D21" s="3619"/>
      <c r="E21" s="3618" t="e">
        <f t="shared" si="0"/>
        <v>#DIV/0!</v>
      </c>
      <c r="F21" s="3618" t="e">
        <f t="shared" si="1"/>
        <v>#DIV/0!</v>
      </c>
      <c r="G21" s="3619"/>
      <c r="H21" s="3619"/>
      <c r="I21" s="3619"/>
      <c r="J21" s="1949"/>
      <c r="K21" s="1949"/>
    </row>
    <row r="22" spans="1:11" ht="16.5">
      <c r="A22" s="1844" t="s">
        <v>630</v>
      </c>
      <c r="B22" s="3619"/>
      <c r="C22" s="3619"/>
      <c r="D22" s="3619"/>
      <c r="E22" s="3618" t="e">
        <f t="shared" si="0"/>
        <v>#DIV/0!</v>
      </c>
      <c r="F22" s="3618" t="e">
        <f t="shared" si="1"/>
        <v>#DIV/0!</v>
      </c>
      <c r="G22" s="3619"/>
      <c r="H22" s="3619"/>
      <c r="I22" s="3619"/>
      <c r="J22" s="1949"/>
      <c r="K22" s="1949"/>
    </row>
    <row r="23" spans="1:11" ht="16.5">
      <c r="A23" s="1844" t="s">
        <v>629</v>
      </c>
      <c r="B23" s="3619"/>
      <c r="C23" s="3619"/>
      <c r="D23" s="3619"/>
      <c r="E23" s="3620" t="e">
        <f t="shared" si="0"/>
        <v>#DIV/0!</v>
      </c>
      <c r="F23" s="3620" t="e">
        <f t="shared" si="1"/>
        <v>#DIV/0!</v>
      </c>
      <c r="G23" s="3619"/>
      <c r="H23" s="3619"/>
      <c r="I23" s="3619"/>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Normal="100" zoomScaleSheetLayoutView="100" zoomScalePageLayoutView="80" workbookViewId="0">
      <selection activeCell="H26" sqref="H26"/>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3" t="str">
        <f>项目基本情况!S2</f>
        <v>北京市房地产</v>
      </c>
      <c r="B2" s="4444"/>
      <c r="C2" s="4444"/>
      <c r="D2" s="4444"/>
      <c r="E2" s="4444"/>
      <c r="F2" s="4444"/>
      <c r="G2" s="4444"/>
      <c r="H2" s="4444"/>
      <c r="I2" s="4445"/>
    </row>
    <row r="3" spans="1:12" ht="12.75">
      <c r="A3" s="4447" t="s">
        <v>1242</v>
      </c>
      <c r="B3" s="4448"/>
      <c r="C3" s="4448"/>
      <c r="D3" s="4448"/>
      <c r="E3" s="4448"/>
      <c r="F3" s="4448"/>
      <c r="G3" s="4448"/>
      <c r="H3" s="4448"/>
      <c r="I3" s="4448"/>
    </row>
    <row r="4" spans="1:12" ht="14.25">
      <c r="A4" s="1255" t="s">
        <v>1243</v>
      </c>
      <c r="B4" s="1256" t="s">
        <v>1244</v>
      </c>
      <c r="C4" s="3542" t="s">
        <v>4120</v>
      </c>
      <c r="D4" s="3542" t="s">
        <v>4077</v>
      </c>
      <c r="E4" s="4449" t="s">
        <v>1245</v>
      </c>
      <c r="F4" s="4450"/>
      <c r="G4" s="4450"/>
      <c r="H4" s="4450"/>
      <c r="I4" s="445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2" t="s">
        <v>1246</v>
      </c>
      <c r="B5" s="4446">
        <v>25</v>
      </c>
      <c r="C5" s="4425"/>
      <c r="D5" s="4420"/>
      <c r="E5" s="49" t="s">
        <v>1247</v>
      </c>
      <c r="F5" s="1257"/>
      <c r="G5" s="1257"/>
      <c r="H5" s="1257"/>
      <c r="I5" s="924"/>
    </row>
    <row r="6" spans="1:12" ht="12.75">
      <c r="A6" s="4382"/>
      <c r="B6" s="4446"/>
      <c r="C6" s="4426"/>
      <c r="D6" s="4420"/>
      <c r="E6" s="49" t="s">
        <v>1248</v>
      </c>
      <c r="F6" s="1257"/>
      <c r="G6" s="1257"/>
      <c r="H6" s="1257"/>
      <c r="I6" s="924"/>
    </row>
    <row r="7" spans="1:12" ht="12.75">
      <c r="A7" s="4382"/>
      <c r="B7" s="4446"/>
      <c r="C7" s="4427"/>
      <c r="D7" s="4420"/>
      <c r="E7" s="49" t="s">
        <v>1249</v>
      </c>
      <c r="F7" s="1257"/>
      <c r="G7" s="1257"/>
      <c r="H7" s="1257"/>
      <c r="I7" s="924"/>
    </row>
    <row r="8" spans="1:12" ht="12.75">
      <c r="A8" s="4382" t="s">
        <v>1250</v>
      </c>
      <c r="B8" s="4446">
        <v>15</v>
      </c>
      <c r="C8" s="4425"/>
      <c r="D8" s="4420"/>
      <c r="E8" s="49" t="s">
        <v>1251</v>
      </c>
      <c r="F8" s="1257"/>
      <c r="G8" s="1257"/>
      <c r="H8" s="1257"/>
      <c r="I8" s="924"/>
    </row>
    <row r="9" spans="1:12" ht="12.75">
      <c r="A9" s="4382"/>
      <c r="B9" s="4446"/>
      <c r="C9" s="4427"/>
      <c r="D9" s="4420"/>
      <c r="E9" s="49" t="s">
        <v>1252</v>
      </c>
      <c r="F9" s="1257"/>
      <c r="G9" s="1257"/>
      <c r="H9" s="1257"/>
      <c r="I9" s="924"/>
    </row>
    <row r="10" spans="1:12" ht="12.75">
      <c r="A10" s="4382" t="s">
        <v>1253</v>
      </c>
      <c r="B10" s="4446">
        <v>15</v>
      </c>
      <c r="C10" s="4425"/>
      <c r="D10" s="4420"/>
      <c r="E10" s="49" t="s">
        <v>1254</v>
      </c>
      <c r="F10" s="1257"/>
      <c r="G10" s="1257"/>
      <c r="H10" s="1257"/>
      <c r="I10" s="924"/>
    </row>
    <row r="11" spans="1:12" ht="12.75">
      <c r="A11" s="4382"/>
      <c r="B11" s="4446"/>
      <c r="C11" s="4427"/>
      <c r="D11" s="4420"/>
      <c r="E11" s="49" t="s">
        <v>1255</v>
      </c>
      <c r="F11" s="1257"/>
      <c r="G11" s="1257"/>
      <c r="H11" s="1257"/>
      <c r="I11" s="924"/>
    </row>
    <row r="12" spans="1:12" ht="12.75">
      <c r="A12" s="4382" t="s">
        <v>1256</v>
      </c>
      <c r="B12" s="4446">
        <v>15</v>
      </c>
      <c r="C12" s="4425"/>
      <c r="D12" s="4420"/>
      <c r="E12" s="49" t="s">
        <v>1257</v>
      </c>
      <c r="F12" s="1257"/>
      <c r="G12" s="1257"/>
      <c r="H12" s="1257"/>
      <c r="I12" s="924"/>
    </row>
    <row r="13" spans="1:12" ht="12.75">
      <c r="A13" s="4382"/>
      <c r="B13" s="4446"/>
      <c r="C13" s="4427"/>
      <c r="D13" s="4420"/>
      <c r="E13" s="49" t="s">
        <v>1258</v>
      </c>
      <c r="F13" s="1257"/>
      <c r="G13" s="1257"/>
      <c r="H13" s="1257"/>
      <c r="I13" s="924"/>
    </row>
    <row r="14" spans="1:12" ht="12.75">
      <c r="A14" s="4382" t="s">
        <v>1259</v>
      </c>
      <c r="B14" s="4446">
        <v>30</v>
      </c>
      <c r="C14" s="4425">
        <v>7</v>
      </c>
      <c r="D14" s="4420">
        <v>3</v>
      </c>
      <c r="E14" s="49" t="s">
        <v>1260</v>
      </c>
      <c r="F14" s="1257"/>
      <c r="G14" s="1257"/>
      <c r="H14" s="1257"/>
      <c r="I14" s="924"/>
    </row>
    <row r="15" spans="1:12" ht="12.75">
      <c r="A15" s="4382"/>
      <c r="B15" s="4446"/>
      <c r="C15" s="4426"/>
      <c r="D15" s="4420"/>
      <c r="E15" s="49" t="s">
        <v>1261</v>
      </c>
      <c r="F15" s="1257"/>
      <c r="G15" s="1257"/>
      <c r="H15" s="1257"/>
      <c r="I15" s="924"/>
    </row>
    <row r="16" spans="1:12" ht="12.75">
      <c r="A16" s="4382"/>
      <c r="B16" s="4446"/>
      <c r="C16" s="4427"/>
      <c r="D16" s="4420"/>
      <c r="E16" s="49" t="s">
        <v>1262</v>
      </c>
      <c r="F16" s="1257"/>
      <c r="G16" s="1257"/>
      <c r="H16" s="1257"/>
      <c r="I16" s="924"/>
    </row>
    <row r="17" spans="1:36" ht="15">
      <c r="A17" s="1258" t="s">
        <v>1263</v>
      </c>
      <c r="B17" s="3541"/>
      <c r="C17" s="3623">
        <f>SUM(C5:C16)</f>
        <v>7</v>
      </c>
      <c r="D17" s="3623">
        <f>SUM(D5:D16)</f>
        <v>3</v>
      </c>
      <c r="E17" s="47"/>
      <c r="F17" s="47"/>
      <c r="G17" s="47"/>
      <c r="H17" s="47"/>
      <c r="I17" s="47"/>
      <c r="K17" s="186"/>
      <c r="L17" s="186" t="s">
        <v>1264</v>
      </c>
      <c r="M17" s="186" t="s">
        <v>1265</v>
      </c>
    </row>
    <row r="18" spans="1:36" ht="31.9" customHeight="1" thickBot="1">
      <c r="A18" s="1259" t="s">
        <v>1266</v>
      </c>
      <c r="B18" s="1182"/>
      <c r="C18" s="3624">
        <f>ROUND(C17/SUM(C17:D17),2)</f>
        <v>0.7</v>
      </c>
      <c r="D18" s="3624">
        <f>1-C18</f>
        <v>0.30000000000000004</v>
      </c>
      <c r="E18" s="4434" t="s">
        <v>2035</v>
      </c>
      <c r="F18" s="4435"/>
      <c r="G18" s="4435"/>
      <c r="H18" s="4435"/>
      <c r="I18" s="4435"/>
      <c r="K18" s="186" t="s">
        <v>1267</v>
      </c>
      <c r="L18" s="2664">
        <f>IF(C1="",'数据-汇总表'!E3,SUMIF(项目类型,C1,'数据-汇总表'!E17:E26)+SUMIF(项目类型,C1,'数据-汇总表'!I17:I26))</f>
        <v>498.23</v>
      </c>
      <c r="M18" s="2664">
        <f>IF(C1="",'数据-汇总表'!E3,SUMIF(项目类型,C1,'数据-汇总表'!E17:E26))</f>
        <v>498.23</v>
      </c>
    </row>
    <row r="19" spans="1:36" ht="15">
      <c r="A19" s="1260" t="s">
        <v>1268</v>
      </c>
      <c r="B19" s="1261" t="s">
        <v>1269</v>
      </c>
      <c r="C19" s="3625">
        <f ca="1">SUMIF(INDIRECT("'"&amp;C4&amp;"'"&amp;"!A:A"),结果表!B19,INDIRECT("'"&amp;C4&amp;"'"&amp;"!B:B"))</f>
        <v>1138.7047</v>
      </c>
      <c r="D19" s="3626">
        <f ca="1">SUMIF(INDIRECT("'"&amp;D4&amp;"'"&amp;"!A:A"),结果表!B19,INDIRECT("'"&amp;D4&amp;"'"&amp;"!B:B"))</f>
        <v>516.61890000000005</v>
      </c>
      <c r="E19" s="1260" t="s">
        <v>1270</v>
      </c>
      <c r="F19" s="1261" t="s">
        <v>1269</v>
      </c>
      <c r="G19" s="3631">
        <f ca="1">ROUND(C19*$C$18+D19*$D$18,0)</f>
        <v>952</v>
      </c>
      <c r="H19" s="1262" t="s">
        <v>1271</v>
      </c>
      <c r="I19" s="47">
        <f ca="1">ROUND(C19*$C$18+D19*$D$18,4)</f>
        <v>952.07899999999995</v>
      </c>
      <c r="J19" s="493" t="s">
        <v>4123</v>
      </c>
      <c r="K19" s="186" t="s">
        <v>1272</v>
      </c>
      <c r="L19" s="2664">
        <f>IF(C1="",'数据-汇总表'!D3,SUMIF(项目类型,C1,'数据-汇总表'!D17:D26)+SUMIF(项目类型,C1,'数据-汇总表'!H17:H27))</f>
        <v>0</v>
      </c>
      <c r="M19" s="2664">
        <f>IF(C1="",'数据-汇总表'!D3,SUMIF(项目类型,C1,'数据-汇总表'!D17:D26))</f>
        <v>0</v>
      </c>
    </row>
    <row r="20" spans="1:36" ht="15">
      <c r="A20" s="1263"/>
      <c r="B20" s="25" t="s">
        <v>1273</v>
      </c>
      <c r="C20" s="3627">
        <f ca="1">SUMIF(INDIRECT("'"&amp;C4&amp;"'"&amp;"!A:A"),结果表!B20,INDIRECT("'"&amp;C4&amp;"'"&amp;"!B:B"))</f>
        <v>22855</v>
      </c>
      <c r="D20" s="3628">
        <f ca="1">SUMIF(INDIRECT("'"&amp;D4&amp;"'"&amp;"!A:A"),结果表!B20,INDIRECT("'"&amp;D4&amp;"'"&amp;"!B:B"))</f>
        <v>10369</v>
      </c>
      <c r="E20" s="1263"/>
      <c r="F20" s="25" t="s">
        <v>1273</v>
      </c>
      <c r="G20" s="3632">
        <f ca="1">ROUND(C20*$C$18+D20*$D$18,0)</f>
        <v>19109</v>
      </c>
      <c r="H20" s="527" t="s">
        <v>1274</v>
      </c>
      <c r="I20" s="47">
        <f ca="1">ROUND(G20*L18,0)</f>
        <v>9520677</v>
      </c>
    </row>
    <row r="21" spans="1:36" ht="15" customHeight="1" thickBot="1">
      <c r="A21" s="312"/>
      <c r="B21" s="3383" t="s">
        <v>3628</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5" thickBot="1">
      <c r="A22" s="1200" t="s">
        <v>1276</v>
      </c>
      <c r="B22" s="1264"/>
      <c r="C22" s="2587"/>
      <c r="D22" s="3880">
        <f ca="1">IF(C19&lt;D19,D19/C19-1,C19/D19-1)</f>
        <v>1.2041483577159098</v>
      </c>
      <c r="E22" s="3374"/>
      <c r="F22" s="3376"/>
      <c r="G22" s="3633" t="e">
        <f ca="1">ROUND(G19/('数据-汇总表'!D3/666.67),0)</f>
        <v>#DIV/0!</v>
      </c>
      <c r="H22" s="3375" t="s">
        <v>3626</v>
      </c>
      <c r="I22" s="47"/>
    </row>
    <row r="23" spans="1:36" ht="13.5" thickBot="1">
      <c r="A23" s="464"/>
      <c r="B23" s="464"/>
      <c r="C23" s="464"/>
      <c r="D23" s="464"/>
      <c r="E23" s="47"/>
      <c r="F23" s="47"/>
      <c r="G23" s="47"/>
      <c r="H23" s="47"/>
      <c r="I23" s="47"/>
    </row>
    <row r="24" spans="1:36" ht="14.25">
      <c r="A24" s="4467" t="s">
        <v>1277</v>
      </c>
      <c r="B24" s="1261" t="s">
        <v>1269</v>
      </c>
      <c r="C24" s="3631">
        <f>IF(B30=0,0,D30)</f>
        <v>0</v>
      </c>
      <c r="D24" s="3634"/>
      <c r="E24" s="47"/>
      <c r="F24" s="47"/>
      <c r="G24" s="47">
        <f ca="1">ROUND(G20*'数据-汇总表'!E3,0)</f>
        <v>9520677</v>
      </c>
      <c r="H24" s="47"/>
      <c r="I24" s="47"/>
    </row>
    <row r="25" spans="1:36" ht="14.25">
      <c r="A25" s="4468"/>
      <c r="B25" s="3384" t="s">
        <v>3629</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1282</v>
      </c>
      <c r="B30" s="3637"/>
      <c r="C30" s="3637"/>
      <c r="D30" s="3637"/>
      <c r="E30" s="1684" t="s">
        <v>2036</v>
      </c>
      <c r="F30" s="47"/>
      <c r="G30" s="47"/>
      <c r="H30" s="47"/>
      <c r="I30" s="47"/>
    </row>
    <row r="31" spans="1:36" s="1690" customFormat="1" ht="26.45" customHeight="1" thickTop="1" thickBot="1">
      <c r="A31" s="1685"/>
      <c r="B31" s="1686"/>
      <c r="C31" s="1686"/>
      <c r="D31" s="1686"/>
      <c r="E31" s="1686"/>
      <c r="F31" s="1686"/>
      <c r="G31" s="1686"/>
      <c r="H31" s="1686"/>
      <c r="I31" s="1687" t="s">
        <v>2037</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6" t="s">
        <v>1283</v>
      </c>
      <c r="B32" s="1175"/>
      <c r="C32" s="3639">
        <f ca="1">IF(D32="总价",G19-C24,G20-C25)</f>
        <v>19109</v>
      </c>
      <c r="D32" s="1267" t="s">
        <v>4121</v>
      </c>
      <c r="E32" s="47"/>
      <c r="F32" s="47"/>
      <c r="G32" s="47"/>
      <c r="H32" s="47"/>
      <c r="I32" s="47"/>
    </row>
    <row r="33" spans="1:19" ht="15">
      <c r="A33" s="516" t="s">
        <v>1284</v>
      </c>
      <c r="B33" s="49"/>
      <c r="C33" s="1268" t="s">
        <v>4122</v>
      </c>
      <c r="D33" s="1269" t="s">
        <v>4077</v>
      </c>
      <c r="E33" s="1270" t="s">
        <v>1285</v>
      </c>
      <c r="F33" s="1271" t="str">
        <f>IF(D32="楼面单价","取值（单价）","取值（总价）")</f>
        <v>取值（单价）</v>
      </c>
      <c r="G33" s="47"/>
      <c r="H33" s="47"/>
      <c r="I33" s="47"/>
    </row>
    <row r="34" spans="1:19" ht="15">
      <c r="A34" s="1272"/>
      <c r="B34" s="1273" t="s">
        <v>1286</v>
      </c>
      <c r="C34" s="3640">
        <f ca="1">IF(C33="自定义",F34,C32-C35)</f>
        <v>9325</v>
      </c>
      <c r="D34" s="3881">
        <f ca="1">IF(C33="自定义",ROUND(C34/C32,3),IF(C33="收益比率",SUMIF(INDIRECT("'"&amp;D33&amp;"'"&amp;"!b:b"),"土地收益比率",INDIRECT("'"&amp;D33&amp;"'"&amp;"!c:c")),SUMIF(INDIRECT("'"&amp;D33&amp;"'"&amp;"!b:b"),"土地成本比率",INDIRECT("'"&amp;D33&amp;"'"&amp;"!c:c"))))</f>
        <v>0.48799999999999999</v>
      </c>
      <c r="E34" s="1274" t="s">
        <v>1287</v>
      </c>
      <c r="F34" s="3642"/>
      <c r="G34" s="47"/>
      <c r="H34" s="47"/>
      <c r="I34" s="47"/>
    </row>
    <row r="35" spans="1:19" ht="15.75" thickBot="1">
      <c r="A35" s="1275"/>
      <c r="B35" s="1276" t="s">
        <v>1288</v>
      </c>
      <c r="C35" s="3641">
        <f ca="1">IF(C33="自定义",F35,ROUND(C32*D35,0))</f>
        <v>9784</v>
      </c>
      <c r="D35" s="3882">
        <f ca="1">IF(C33="自定义",ROUND(C35/C32,3),IF(C33="收益比率",SUMIF(INDIRECT("'"&amp;D33&amp;"'"&amp;"!b:b"),"建筑物收益比率",INDIRECT("'"&amp;D33&amp;"'"&amp;"!c:c")),SUMIF(INDIRECT("'"&amp;D33&amp;"'"&amp;"!b:b"),"建筑物成本比率",INDIRECT("'"&amp;D33&amp;"'"&amp;"!c:c"))))</f>
        <v>0.51200000000000001</v>
      </c>
      <c r="E35" s="1277" t="s">
        <v>1289</v>
      </c>
      <c r="F35" s="3643"/>
      <c r="G35" s="47"/>
      <c r="H35" s="47"/>
      <c r="I35" s="47"/>
    </row>
    <row r="36" spans="1:19" ht="15.75" thickBot="1">
      <c r="A36" s="4439" t="s">
        <v>1290</v>
      </c>
      <c r="B36" s="1278" t="s">
        <v>1291</v>
      </c>
      <c r="C36" s="3644"/>
      <c r="D36" s="1279"/>
      <c r="E36" s="1203"/>
      <c r="F36" s="1280"/>
      <c r="G36" s="47"/>
      <c r="H36" s="47"/>
      <c r="I36" s="47"/>
    </row>
    <row r="37" spans="1:19" ht="15.75" thickBot="1">
      <c r="A37" s="4440"/>
      <c r="B37" s="1191" t="s">
        <v>1292</v>
      </c>
      <c r="C37" s="3645"/>
      <c r="D37" s="763"/>
      <c r="E37" s="763"/>
      <c r="F37" s="1280"/>
      <c r="G37" s="47"/>
      <c r="H37" s="47"/>
      <c r="I37" s="47"/>
    </row>
    <row r="38" spans="1:19" ht="15.75" thickBot="1">
      <c r="A38" s="4441"/>
      <c r="B38" s="1281" t="s">
        <v>1293</v>
      </c>
      <c r="C38" s="3646"/>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7"/>
      <c r="C40" s="3648"/>
      <c r="D40" s="3648"/>
      <c r="E40" s="3642"/>
      <c r="F40" s="1280"/>
      <c r="G40" s="47"/>
      <c r="H40" s="47"/>
      <c r="I40" s="47"/>
    </row>
    <row r="41" spans="1:19" ht="14.25">
      <c r="A41" s="1286" t="s">
        <v>1301</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4" t="s">
        <v>1304</v>
      </c>
      <c r="B45" s="4465"/>
      <c r="C45" s="4466"/>
      <c r="D45" s="56">
        <f ca="1">ROUND(H101*F45,0)</f>
        <v>952</v>
      </c>
      <c r="E45" s="57" t="s">
        <v>1305</v>
      </c>
      <c r="F45" s="58">
        <v>1</v>
      </c>
      <c r="G45" s="59" t="s">
        <v>1306</v>
      </c>
      <c r="H45" s="47"/>
      <c r="I45" s="47"/>
      <c r="J45" s="4470" t="s">
        <v>1307</v>
      </c>
      <c r="K45" s="4470"/>
      <c r="L45" s="4470"/>
      <c r="M45" s="4470"/>
      <c r="N45" s="4470"/>
      <c r="O45" s="4470"/>
    </row>
    <row r="46" spans="1:19" ht="14.25" customHeight="1">
      <c r="A46" s="4461" t="s">
        <v>1308</v>
      </c>
      <c r="B46" s="4462"/>
      <c r="C46" s="4462"/>
      <c r="D46" s="4462"/>
      <c r="E46" s="4462"/>
      <c r="F46" s="4462"/>
      <c r="G46" s="4463"/>
      <c r="H46" s="1294"/>
      <c r="I46" s="60"/>
      <c r="J46" s="1847">
        <v>1</v>
      </c>
      <c r="K46" s="4471" t="s">
        <v>1309</v>
      </c>
      <c r="L46" s="4471"/>
      <c r="M46" s="4472"/>
      <c r="N46" s="4472"/>
      <c r="O46" s="4472"/>
    </row>
    <row r="47" spans="1:19" ht="12" customHeight="1">
      <c r="A47" s="61" t="s">
        <v>1310</v>
      </c>
      <c r="B47" s="62"/>
      <c r="C47" s="63"/>
      <c r="D47" s="724" t="s">
        <v>1311</v>
      </c>
      <c r="E47" s="186" t="s">
        <v>1312</v>
      </c>
      <c r="F47" s="64" t="s">
        <v>1313</v>
      </c>
      <c r="G47" s="1862" t="s">
        <v>1314</v>
      </c>
      <c r="H47" s="1863"/>
      <c r="I47" s="60"/>
      <c r="J47" s="1847">
        <v>2</v>
      </c>
      <c r="K47" s="4471" t="s">
        <v>1315</v>
      </c>
      <c r="L47" s="4471"/>
      <c r="M47" s="4473">
        <f>'数据-取费表'!B2</f>
        <v>46097</v>
      </c>
      <c r="N47" s="4473"/>
      <c r="O47" s="4473"/>
    </row>
    <row r="48" spans="1:19" ht="25.5">
      <c r="A48" s="4442" t="s">
        <v>1316</v>
      </c>
      <c r="B48" s="4424"/>
      <c r="C48" s="4424"/>
      <c r="D48" s="3651">
        <f>ROUND(IF(H48="情况1",0,IF(H48="情况2",D52,IF(H48="情况3",D53,IF(H48="情况4",D54))))*(1+'数据-取费表'!B44),0)</f>
        <v>0</v>
      </c>
      <c r="E48" s="899" t="str">
        <f>IF(H48="情况4","(销售额-原购置价)×税（费）率","销售额×税（费）率")</f>
        <v>销售额×税（费）率</v>
      </c>
      <c r="F48" s="3534">
        <f>IF(H48="情况1","免征",'数据-取费表'!B42)</f>
        <v>0</v>
      </c>
      <c r="G48" s="1864" t="s">
        <v>1317</v>
      </c>
      <c r="H48" s="1865"/>
      <c r="I48" s="1294"/>
      <c r="J48" s="1847">
        <v>3</v>
      </c>
      <c r="K48" s="4471" t="s">
        <v>1318</v>
      </c>
      <c r="L48" s="4471"/>
      <c r="M48" s="4474">
        <f ca="1">H101</f>
        <v>952.06769999999995</v>
      </c>
      <c r="N48" s="4474"/>
      <c r="O48" s="4474"/>
      <c r="R48" s="3400" t="s">
        <v>3643</v>
      </c>
      <c r="S48" s="3401"/>
    </row>
    <row r="49" spans="1:35" ht="25.5" customHeight="1">
      <c r="A49" s="3535" t="s">
        <v>1319</v>
      </c>
      <c r="B49" s="4408" t="s">
        <v>1320</v>
      </c>
      <c r="C49" s="4408"/>
      <c r="D49" s="3652">
        <v>0</v>
      </c>
      <c r="E49" s="207" t="s">
        <v>1321</v>
      </c>
      <c r="F49" s="3529" t="s">
        <v>26</v>
      </c>
      <c r="G49" s="4400"/>
      <c r="H49" s="3395" t="s">
        <v>2038</v>
      </c>
      <c r="I49" s="3396"/>
      <c r="J49" s="1847">
        <v>4</v>
      </c>
      <c r="K49" s="4471" t="str">
        <f>IF(项目基本情况!E8="房地产抵押价值","房地产抵押价值","抵押担保权已注销时的房地产抵押价值")</f>
        <v>房地产抵押价值</v>
      </c>
      <c r="L49" s="4471"/>
      <c r="M49" s="4474">
        <f ca="1">IF(项目基本情况!E8="房地产抵押价值",H107,H109)</f>
        <v>952.06769999999995</v>
      </c>
      <c r="N49" s="4474"/>
      <c r="O49" s="4474"/>
      <c r="R49" s="3402" t="s">
        <v>3644</v>
      </c>
      <c r="S49" s="3400" t="s">
        <v>3645</v>
      </c>
    </row>
    <row r="50" spans="1:35" ht="25.5" customHeight="1">
      <c r="A50" s="3536"/>
      <c r="B50" s="4408" t="s">
        <v>1322</v>
      </c>
      <c r="C50" s="4408"/>
      <c r="D50" s="3653"/>
      <c r="E50" s="214"/>
      <c r="F50" s="3529"/>
      <c r="G50" s="4401"/>
      <c r="H50" s="1302" t="s">
        <v>2039</v>
      </c>
      <c r="I50" s="3396"/>
      <c r="J50" s="4470" t="s">
        <v>1323</v>
      </c>
      <c r="K50" s="4470"/>
      <c r="L50" s="4470"/>
      <c r="M50" s="4470"/>
      <c r="N50" s="4470"/>
      <c r="O50" s="4470"/>
      <c r="R50" s="3402" t="s">
        <v>3646</v>
      </c>
      <c r="S50" s="3400" t="s">
        <v>3647</v>
      </c>
    </row>
    <row r="51" spans="1:35" ht="20.45" customHeight="1">
      <c r="A51" s="3537"/>
      <c r="B51" s="4408" t="s">
        <v>1324</v>
      </c>
      <c r="C51" s="4408"/>
      <c r="D51" s="709"/>
      <c r="E51" s="210"/>
      <c r="F51" s="3529"/>
      <c r="G51" s="4402"/>
      <c r="H51" s="1302" t="s">
        <v>2040</v>
      </c>
      <c r="I51" s="3396"/>
      <c r="J51" s="1848" t="s">
        <v>1325</v>
      </c>
      <c r="K51" s="4471" t="s">
        <v>1326</v>
      </c>
      <c r="L51" s="4471"/>
      <c r="M51" s="1848" t="s">
        <v>1327</v>
      </c>
      <c r="N51" s="1848" t="s">
        <v>1328</v>
      </c>
      <c r="O51" s="1848" t="s">
        <v>1329</v>
      </c>
      <c r="R51" s="3402" t="s">
        <v>3648</v>
      </c>
      <c r="S51" s="3401" t="s">
        <v>3649</v>
      </c>
    </row>
    <row r="52" spans="1:35" ht="24" customHeight="1">
      <c r="A52" s="1699" t="s">
        <v>1330</v>
      </c>
      <c r="B52" s="4408" t="s">
        <v>1331</v>
      </c>
      <c r="C52" s="4408"/>
      <c r="D52" s="709">
        <f ca="1">ROUND(D45*F52/(1+F52),0)</f>
        <v>28</v>
      </c>
      <c r="E52" s="899" t="s">
        <v>1332</v>
      </c>
      <c r="F52" s="1866">
        <v>0.03</v>
      </c>
      <c r="G52" s="894" t="s">
        <v>3690</v>
      </c>
      <c r="H52" s="1860"/>
      <c r="I52" s="1295"/>
      <c r="J52" s="1847">
        <v>1</v>
      </c>
      <c r="K52" s="4397" t="s">
        <v>1333</v>
      </c>
      <c r="L52" s="4397"/>
      <c r="M52" s="3655">
        <f>IF(D48&lt;=0,0,D48)</f>
        <v>0</v>
      </c>
      <c r="N52" s="1847" t="str">
        <f>E48</f>
        <v>销售额×税（费）率</v>
      </c>
      <c r="O52" s="3562">
        <f>F48</f>
        <v>0</v>
      </c>
      <c r="R52" s="3400" t="s">
        <v>3650</v>
      </c>
      <c r="S52" s="3400" t="s">
        <v>3654</v>
      </c>
    </row>
    <row r="53" spans="1:35" ht="12" customHeight="1">
      <c r="A53" s="1699" t="s">
        <v>1334</v>
      </c>
      <c r="B53" s="4409" t="s">
        <v>2195</v>
      </c>
      <c r="C53" s="4410"/>
      <c r="D53" s="709">
        <f ca="1">IF(G53="2016年5月1日之前项目",ROUND(D45*F53/(1+F53),0),H63)</f>
        <v>79</v>
      </c>
      <c r="E53" s="899" t="str">
        <f>IF(G53="2016年5月1日之前项目","全额计税","进销项计算")</f>
        <v>进销项计算</v>
      </c>
      <c r="F53" s="1866">
        <f>IF(G53="2016年5月1日之前项目",5%,9%)</f>
        <v>0.09</v>
      </c>
      <c r="G53" s="3616"/>
      <c r="H53" s="1860"/>
      <c r="I53" s="1295"/>
      <c r="J53" s="1847">
        <v>2</v>
      </c>
      <c r="K53" s="4397" t="s">
        <v>1335</v>
      </c>
      <c r="L53" s="4397"/>
      <c r="M53" s="3655">
        <f t="shared" ref="M53:O54" ca="1" si="0">D55</f>
        <v>0</v>
      </c>
      <c r="N53" s="1847" t="str">
        <f t="shared" si="0"/>
        <v>销售额×税（费）率</v>
      </c>
      <c r="O53" s="3562" t="str">
        <f t="shared" si="0"/>
        <v>免征</v>
      </c>
      <c r="R53" s="3400" t="s">
        <v>3651</v>
      </c>
      <c r="S53" s="3401" t="s">
        <v>3658</v>
      </c>
    </row>
    <row r="54" spans="1:35" ht="12" customHeight="1">
      <c r="A54" s="1699" t="s">
        <v>1336</v>
      </c>
      <c r="B54" s="4409" t="s">
        <v>2196</v>
      </c>
      <c r="C54" s="4410"/>
      <c r="D54" s="709">
        <f ca="1">IF(G54="2016年5月1日之前项目",C68,H63)</f>
        <v>79</v>
      </c>
      <c r="E54" s="3549" t="str">
        <f>IF(G54="2016年5月1日之前项目","差额计税","进销项计算")</f>
        <v>进销项计算</v>
      </c>
      <c r="F54" s="1866">
        <f>IF(G54="2016年5月1日之前项目",5%,9%)</f>
        <v>0.09</v>
      </c>
      <c r="G54" s="3616"/>
      <c r="H54" s="1868"/>
      <c r="I54" s="1295"/>
      <c r="J54" s="1847">
        <v>3</v>
      </c>
      <c r="K54" s="4397" t="s">
        <v>1337</v>
      </c>
      <c r="L54" s="4397"/>
      <c r="M54" s="3655" t="e">
        <f t="shared" ca="1" si="0"/>
        <v>#VALUE!</v>
      </c>
      <c r="N54" s="1847" t="str">
        <f t="shared" si="0"/>
        <v>增值额×税（费）率</v>
      </c>
      <c r="O54" s="3563" t="str">
        <f t="shared" si="0"/>
        <v>免征</v>
      </c>
      <c r="P54" s="47"/>
      <c r="R54" s="3402" t="s">
        <v>3652</v>
      </c>
      <c r="S54" s="3401" t="s">
        <v>3655</v>
      </c>
    </row>
    <row r="55" spans="1:35" ht="24" customHeight="1">
      <c r="A55" s="4423" t="s">
        <v>1338</v>
      </c>
      <c r="B55" s="4424"/>
      <c r="C55" s="4424"/>
      <c r="D55" s="3651">
        <f ca="1">IF(H55="个人住宅",0,ROUND(D45*I55,0))</f>
        <v>0</v>
      </c>
      <c r="E55" s="899" t="s">
        <v>1339</v>
      </c>
      <c r="F55" s="1866" t="str">
        <f>IF(H55="正常",I55,"免征")</f>
        <v>免征</v>
      </c>
      <c r="G55" s="1867"/>
      <c r="H55" s="1865"/>
      <c r="I55" s="65">
        <f>'数据-取费表'!B50</f>
        <v>5.0000000000000001E-4</v>
      </c>
      <c r="J55" s="1847">
        <f>IF(H59="非个人房产","",4)</f>
        <v>4</v>
      </c>
      <c r="K55" s="4397" t="str">
        <f>IF(H59="非个人房产","——","个人所得税")</f>
        <v>个人所得税</v>
      </c>
      <c r="L55" s="4397"/>
      <c r="M55" s="3656">
        <f ca="1">D59</f>
        <v>10</v>
      </c>
      <c r="N55" s="1477" t="str">
        <f>E59</f>
        <v>差额计税</v>
      </c>
      <c r="O55" s="3564">
        <f>F59</f>
        <v>0.01</v>
      </c>
      <c r="R55" s="3402" t="s">
        <v>3653</v>
      </c>
      <c r="S55" s="3401" t="s">
        <v>3656</v>
      </c>
    </row>
    <row r="56" spans="1:35" ht="24.75">
      <c r="A56" s="4423" t="s">
        <v>1340</v>
      </c>
      <c r="B56" s="4424"/>
      <c r="C56" s="4424"/>
      <c r="D56" s="4254"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361" t="str">
        <f>IF(项目基本情况!K6="上海银行","其他处置费用","")</f>
        <v/>
      </c>
      <c r="L56" s="4362"/>
      <c r="M56" s="3655" t="str">
        <f>IF(项目基本情况!K6="上海银行",M69,"")</f>
        <v/>
      </c>
      <c r="N56" s="4361" t="str">
        <f>IF(项目基本情况!K6="上海银行","包含处置中涉及的律师、诉讼、拍卖、评估等费用","")</f>
        <v/>
      </c>
      <c r="O56" s="4365"/>
      <c r="R56" s="3401"/>
      <c r="S56" s="3401" t="s">
        <v>3657</v>
      </c>
    </row>
    <row r="57" spans="1:35" ht="12.75">
      <c r="A57" s="1699" t="s">
        <v>1319</v>
      </c>
      <c r="B57" s="4409" t="s">
        <v>1343</v>
      </c>
      <c r="C57" s="4410"/>
      <c r="D57" s="3652">
        <v>0</v>
      </c>
      <c r="E57" s="207" t="s">
        <v>1321</v>
      </c>
      <c r="F57" s="186"/>
      <c r="G57" s="1867"/>
      <c r="H57" s="1871"/>
      <c r="I57" s="1296"/>
      <c r="J57" s="4397">
        <f>IF(AND(J55="",J56=""),4,IF(项目基本情况!K6="上海银行",结果表!J56+1,结果表!J55+1))</f>
        <v>5</v>
      </c>
      <c r="K57" s="4397" t="s">
        <v>1344</v>
      </c>
      <c r="L57" s="1849" t="s">
        <v>1345</v>
      </c>
      <c r="M57" s="1850"/>
      <c r="N57" s="3657">
        <f ca="1">SUMIF(M52:M56,"&lt;9e307")</f>
        <v>10</v>
      </c>
      <c r="O57" s="1851"/>
      <c r="P57" s="1951">
        <f ca="1">N57/M49</f>
        <v>1.0503454743817062E-2</v>
      </c>
      <c r="R57" s="4452" t="s">
        <v>3701</v>
      </c>
      <c r="S57" s="4453"/>
    </row>
    <row r="58" spans="1:35" ht="24.75">
      <c r="A58" s="1699" t="s">
        <v>1330</v>
      </c>
      <c r="B58" s="4409" t="s">
        <v>1346</v>
      </c>
      <c r="C58" s="4408"/>
      <c r="D58" s="3651">
        <f ca="1">IF(H58="转让取得",C81,C97)</f>
        <v>286</v>
      </c>
      <c r="E58" s="899" t="s">
        <v>1341</v>
      </c>
      <c r="F58" s="186" t="s">
        <v>26</v>
      </c>
      <c r="G58" s="1867"/>
      <c r="H58" s="1870"/>
      <c r="I58" s="1296"/>
      <c r="J58" s="4397"/>
      <c r="K58" s="4397"/>
      <c r="L58" s="1849" t="s">
        <v>1347</v>
      </c>
      <c r="M58" s="1852"/>
      <c r="N58" s="1853" t="str">
        <f ca="1">NUMBERSTRING(INT(N57*10000),2)&amp;"元整"</f>
        <v>壹拾万元整</v>
      </c>
      <c r="O58" s="1854"/>
      <c r="R58" s="4454"/>
      <c r="S58" s="4455"/>
    </row>
    <row r="59" spans="1:35" ht="24.75" thickBot="1">
      <c r="A59" s="4398" t="s">
        <v>1348</v>
      </c>
      <c r="B59" s="4399"/>
      <c r="C59" s="4399"/>
      <c r="D59" s="3654">
        <f ca="1">IF(H59="非个人房产","——",IF(H59="个人住宅（满五唯一有凭证）",0,IF(H59="个人其他（无凭证）",ROUND(D45/(1+'数据-取费表'!C43)*F59,0),ROUND(C67*F59,0))))</f>
        <v>10</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2" t="s">
        <v>1342</v>
      </c>
      <c r="H59" s="3398"/>
      <c r="I59" s="3399" t="s">
        <v>2041</v>
      </c>
      <c r="J59" s="4395">
        <f>J57+1</f>
        <v>6</v>
      </c>
      <c r="K59" s="4397" t="s">
        <v>1349</v>
      </c>
      <c r="L59" s="1847" t="s">
        <v>1345</v>
      </c>
      <c r="M59" s="1855"/>
      <c r="N59" s="2588">
        <f ca="1">M49-N57</f>
        <v>942.06769999999995</v>
      </c>
      <c r="O59" s="1856"/>
      <c r="R59" s="3400" t="s">
        <v>3659</v>
      </c>
      <c r="S59" s="3400" t="s">
        <v>3660</v>
      </c>
    </row>
    <row r="60" spans="1:35" ht="12" customHeight="1" thickBot="1">
      <c r="A60" s="1297"/>
      <c r="B60" s="464"/>
      <c r="C60" s="464"/>
      <c r="D60" s="464"/>
      <c r="E60" s="1110"/>
      <c r="F60" s="1296"/>
      <c r="G60" s="1296"/>
      <c r="H60" s="60"/>
      <c r="I60" s="47"/>
      <c r="J60" s="4396"/>
      <c r="K60" s="4397"/>
      <c r="L60" s="1849" t="s">
        <v>1347</v>
      </c>
      <c r="M60" s="1852"/>
      <c r="N60" s="1853" t="str">
        <f ca="1">NUMBERSTRING(INT(N59*10000),2)&amp;"元整"</f>
        <v>玖佰肆拾贰万零陆佰柒拾柒元整</v>
      </c>
      <c r="O60" s="1854"/>
      <c r="R60" s="3400" t="s">
        <v>3661</v>
      </c>
      <c r="S60" s="3400" t="s">
        <v>3700</v>
      </c>
    </row>
    <row r="61" spans="1:35" ht="14.25" thickBot="1">
      <c r="A61" s="4459" t="s">
        <v>3698</v>
      </c>
      <c r="B61" s="4460"/>
      <c r="C61" s="4460"/>
      <c r="D61" s="4460"/>
      <c r="E61" s="3554"/>
      <c r="F61" s="4436" t="s">
        <v>3699</v>
      </c>
      <c r="G61" s="4437"/>
      <c r="H61" s="4437"/>
      <c r="I61" s="4438"/>
      <c r="J61" s="3538">
        <f>J59+1</f>
        <v>7</v>
      </c>
      <c r="K61" s="4397" t="s">
        <v>1350</v>
      </c>
      <c r="L61" s="4397"/>
      <c r="M61" s="1857"/>
      <c r="N61" s="2589">
        <f ca="1">ROUND(N59*10000/'数据-汇总表'!E3,0)</f>
        <v>18908</v>
      </c>
      <c r="O61" s="1858"/>
    </row>
    <row r="62" spans="1:35" ht="13.5" customHeight="1">
      <c r="A62" s="3560" t="s">
        <v>3711</v>
      </c>
      <c r="B62" s="3561" t="s">
        <v>3712</v>
      </c>
      <c r="C62" s="2408" t="s">
        <v>3710</v>
      </c>
      <c r="D62" s="3550" t="s">
        <v>3702</v>
      </c>
      <c r="E62" s="3555" t="s">
        <v>3704</v>
      </c>
      <c r="F62" s="3566" t="s">
        <v>3713</v>
      </c>
      <c r="G62" s="3567" t="s">
        <v>3693</v>
      </c>
      <c r="H62" s="3568" t="s">
        <v>3714</v>
      </c>
      <c r="I62" s="3569" t="s">
        <v>3695</v>
      </c>
    </row>
    <row r="63" spans="1:35" ht="12.75">
      <c r="A63" s="70" t="s">
        <v>328</v>
      </c>
      <c r="B63" s="3557" t="s">
        <v>3706</v>
      </c>
      <c r="C63" s="3658">
        <f ca="1">ROUND(C64+C65,0)</f>
        <v>952</v>
      </c>
      <c r="D63" s="3551"/>
      <c r="E63" s="4456" t="s">
        <v>3703</v>
      </c>
      <c r="F63" s="4251">
        <v>1</v>
      </c>
      <c r="G63" s="4252" t="s">
        <v>4067</v>
      </c>
      <c r="H63" s="3177">
        <f ca="1">H64-H66</f>
        <v>79</v>
      </c>
      <c r="I63" s="2679"/>
      <c r="J63" s="4363" t="s">
        <v>1354</v>
      </c>
      <c r="K63" s="889" t="s">
        <v>1355</v>
      </c>
      <c r="L63" s="3673">
        <f ca="1">IF(M49&gt;10000,M49*0.5%,IF(AND(M49&gt;1000,M49&lt;=10000),M49*1%,IF(AND(M49&gt;100,M49&lt;=1000),M49*3%,IF(AND(M49&gt;10,M49&lt;=100),M49*5%,M49*8%))))</f>
        <v>28.562030999999998</v>
      </c>
      <c r="M63" s="2664">
        <f ca="1">ROUND(L63,1)</f>
        <v>28.6</v>
      </c>
      <c r="N63" s="1859"/>
      <c r="Z63" s="1254"/>
      <c r="AI63" s="1197"/>
    </row>
    <row r="64" spans="1:35" ht="14.25" customHeight="1">
      <c r="A64" s="67" t="s">
        <v>323</v>
      </c>
      <c r="B64" s="3558" t="s">
        <v>3707</v>
      </c>
      <c r="C64" s="3540">
        <f ca="1">D45</f>
        <v>952</v>
      </c>
      <c r="D64" s="4236" t="s">
        <v>4062</v>
      </c>
      <c r="E64" s="4457"/>
      <c r="F64" s="4251">
        <v>2</v>
      </c>
      <c r="G64" s="4252" t="s">
        <v>3691</v>
      </c>
      <c r="H64" s="3177">
        <f ca="1">ROUND(H65*I64/(1+I64),0)</f>
        <v>79</v>
      </c>
      <c r="I64" s="3570">
        <v>0.09</v>
      </c>
      <c r="J64" s="4363"/>
      <c r="K64" s="889" t="s">
        <v>1356</v>
      </c>
      <c r="L64" s="3673">
        <f ca="1">IF(M49&gt;2000,M49*0.5%,IF(AND(M49&gt;1000,M49&lt;=2000),M49*0.6%,IF(AND(M49&gt;500,M49&lt;=1000),M49*0.7%,IF(AND(M49&gt;200,M49&lt;=500),M49*0.8%,IF(AND(M49&gt;100,M49&lt;=200),M49*0.9%,IF(AND(M49&gt;50,M49&lt;=100),M49*1%,IF(AND(M49&gt;20,M49&lt;=50),M49*1.5%,IF(AND(M49&gt;10,M49&lt;=20),M49*2%,IF(AND(M49&gt;1,M49&lt;=10),M49*2.5%)))))))))</f>
        <v>6.6644738999999991</v>
      </c>
      <c r="M64" s="2664">
        <f t="shared" ref="M64:M65" ca="1" si="1">ROUND(L64,1)</f>
        <v>6.7</v>
      </c>
      <c r="N64" s="1860" t="s">
        <v>1357</v>
      </c>
      <c r="Z64" s="1254"/>
      <c r="AI64" s="1197"/>
    </row>
    <row r="65" spans="1:35" ht="14.25" customHeight="1">
      <c r="A65" s="67" t="s">
        <v>324</v>
      </c>
      <c r="B65" s="3558" t="s">
        <v>3708</v>
      </c>
      <c r="C65" s="3659"/>
      <c r="D65" s="3552"/>
      <c r="E65" s="4457"/>
      <c r="F65" s="67" t="s">
        <v>323</v>
      </c>
      <c r="G65" s="3571" t="s">
        <v>3694</v>
      </c>
      <c r="H65" s="3177">
        <f ca="1">D45</f>
        <v>952</v>
      </c>
      <c r="I65" s="4238" t="s">
        <v>4063</v>
      </c>
      <c r="J65" s="4363"/>
      <c r="K65" s="889" t="s">
        <v>1358</v>
      </c>
      <c r="L65" s="3673">
        <f ca="1">IF(M49&gt;1000,M49*0.1%,IF(AND(M49&gt;500,M49&lt;=1000),M49*0.5%,IF(AND(M49&gt;50,M49&lt;=500),M49*1%,IF(AND(M49&gt;1,M49&lt;=50),M49*1.5%))))</f>
        <v>4.7603384999999996</v>
      </c>
      <c r="M65" s="2664">
        <f t="shared" ca="1" si="1"/>
        <v>4.8</v>
      </c>
      <c r="N65" s="1860" t="s">
        <v>1357</v>
      </c>
      <c r="Z65" s="1254"/>
      <c r="AI65" s="1197"/>
    </row>
    <row r="66" spans="1:35" ht="14.25" customHeight="1">
      <c r="A66" s="70" t="s">
        <v>325</v>
      </c>
      <c r="B66" s="3559" t="s">
        <v>3709</v>
      </c>
      <c r="C66" s="3659"/>
      <c r="D66" s="4237" t="s">
        <v>4062</v>
      </c>
      <c r="E66" s="4457"/>
      <c r="F66" s="4253">
        <v>3</v>
      </c>
      <c r="G66" s="4252" t="s">
        <v>3692</v>
      </c>
      <c r="H66" s="3212">
        <f>ROUND(H67*I67,0)+ROUND(H68*I68,0)</f>
        <v>0</v>
      </c>
      <c r="I66" s="4255"/>
      <c r="J66" s="4363"/>
      <c r="K66" s="889" t="s">
        <v>1359</v>
      </c>
      <c r="L66" s="3673">
        <f ca="1">M49*0.5%</f>
        <v>4.7603384999999996</v>
      </c>
      <c r="M66" s="2664">
        <f ca="1">IF(L66&gt;0.5,0.5,ROUND(L66,0))</f>
        <v>0.5</v>
      </c>
      <c r="N66" s="1860" t="s">
        <v>1360</v>
      </c>
      <c r="Z66" s="1254"/>
      <c r="AI66" s="1197"/>
    </row>
    <row r="67" spans="1:35" ht="14.25" customHeight="1">
      <c r="A67" s="70" t="s">
        <v>326</v>
      </c>
      <c r="B67" s="3556" t="s">
        <v>3705</v>
      </c>
      <c r="C67" s="3540">
        <f ca="1">C63-C66</f>
        <v>952</v>
      </c>
      <c r="D67" s="3552"/>
      <c r="E67" s="4457"/>
      <c r="F67" s="67" t="s">
        <v>323</v>
      </c>
      <c r="G67" s="3571" t="s">
        <v>3696</v>
      </c>
      <c r="H67" s="3648"/>
      <c r="I67" s="3570">
        <v>0.09</v>
      </c>
      <c r="J67" s="4363"/>
      <c r="K67" s="889" t="s">
        <v>1361</v>
      </c>
      <c r="L67" s="3673">
        <f ca="1">IF(M49&gt;=10000,(8.25+(M49-10000)*0.01%),IF(AND(M49&gt;=8000,M49&lt;10000),(7.85+(M49-8000)*0.02%),IF(AND(M49&gt;=5000,M49&lt;8000),(6.65+(M49-5000)*0.04%),IF(AND(M49&gt;=2000,M49&lt;5000),(4.25+(PM49-2000)*0.08%),IF(AND(M49&gt;=1000,M49&lt;2000),(2.75+(M49-1000)*0.15%),IF(AND(M49&gt;=100,M49&lt;1000),(0.5+(M49-100)*0.25%),IF(AND(M49&gt;0,M49&lt;100),M49*0.5%)))))))</f>
        <v>2.6301692499999998</v>
      </c>
      <c r="M67" s="2664">
        <f ca="1">ROUND(L67*0.9,1)</f>
        <v>2.4</v>
      </c>
      <c r="N67" s="1859"/>
      <c r="Z67" s="1254"/>
      <c r="AI67" s="1197"/>
    </row>
    <row r="68" spans="1:35" ht="14.25" customHeight="1" thickBot="1">
      <c r="A68" s="72" t="s">
        <v>327</v>
      </c>
      <c r="B68" s="4250" t="s">
        <v>4066</v>
      </c>
      <c r="C68" s="3546">
        <f ca="1">IF(C67&lt;=0,0,ROUND(C67*D68/(1+D68),0))</f>
        <v>45</v>
      </c>
      <c r="D68" s="3553">
        <v>0.05</v>
      </c>
      <c r="E68" s="4458"/>
      <c r="F68" s="3565" t="s">
        <v>324</v>
      </c>
      <c r="G68" s="3572" t="s">
        <v>3697</v>
      </c>
      <c r="H68" s="3650"/>
      <c r="I68" s="3573">
        <v>0.06</v>
      </c>
      <c r="J68" s="4363"/>
      <c r="K68" s="889" t="s">
        <v>1362</v>
      </c>
      <c r="L68" s="3673">
        <f ca="1">IF(M49&gt;10000,M49*0.5%,IF(AND(M49&gt;5000,M49&lt;=10000),M49*1%,IF(AND(M49&gt;1000,M49&lt;=5000),M49*2%,IF(AND(M49&gt;200,M49&lt;=1000),M49*3%,M49*5%))))</f>
        <v>28.562030999999998</v>
      </c>
      <c r="M68" s="2664">
        <f ca="1">ROUND(L68,1)</f>
        <v>28.6</v>
      </c>
      <c r="N68" s="1859"/>
      <c r="Z68" s="1254"/>
      <c r="AI68" s="1197"/>
    </row>
    <row r="69" spans="1:35" ht="16.5" customHeight="1">
      <c r="A69" s="1298"/>
      <c r="B69" s="1299"/>
      <c r="C69" s="1300"/>
      <c r="D69" s="1301"/>
      <c r="E69" s="1302"/>
      <c r="F69" s="1110"/>
      <c r="G69" s="1110"/>
      <c r="H69" s="1111"/>
      <c r="I69" s="464"/>
      <c r="J69" s="4364"/>
      <c r="K69" s="889" t="s">
        <v>1363</v>
      </c>
      <c r="L69" s="3673"/>
      <c r="M69" s="2664">
        <f ca="1">ROUND(SUM(M63:M68),0)</f>
        <v>72</v>
      </c>
      <c r="N69" s="1861">
        <f ca="1">M69/M49</f>
        <v>7.5624874155482857E-2</v>
      </c>
      <c r="Z69" s="1254"/>
      <c r="AI69" s="1197"/>
    </row>
    <row r="70" spans="1:35" s="463" customFormat="1" ht="15" thickBot="1">
      <c r="A70" s="4414" t="s">
        <v>1364</v>
      </c>
      <c r="B70" s="4415"/>
      <c r="C70" s="4415"/>
      <c r="D70" s="4415"/>
      <c r="E70" s="4415"/>
      <c r="F70" s="4415"/>
      <c r="G70" s="4415"/>
      <c r="H70" s="441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1" t="s">
        <v>1351</v>
      </c>
      <c r="B71" s="4412"/>
      <c r="C71" s="1459"/>
      <c r="D71" s="1459"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3">
        <f ca="1">ROUND(D45-D54,0)</f>
        <v>873</v>
      </c>
      <c r="D72" s="4244"/>
      <c r="E72" s="4245" t="s">
        <v>4065</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0">
        <f ca="1">C74+C78</f>
        <v>-79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9"/>
      <c r="D75" s="3540" t="s">
        <v>24</v>
      </c>
      <c r="E75" s="79" t="s">
        <v>1369</v>
      </c>
      <c r="F75" s="1874"/>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9" t="s">
        <v>1372</v>
      </c>
      <c r="F76" s="4408"/>
      <c r="G76" s="4408"/>
      <c r="H76" s="441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8"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1375</v>
      </c>
      <c r="C78" s="4241">
        <f ca="1">D48-D54</f>
        <v>-79</v>
      </c>
      <c r="D78" s="4242">
        <f>'数据-取费表'!B44</f>
        <v>0.12000000000000001</v>
      </c>
      <c r="E78" s="4469" t="s">
        <v>1376</v>
      </c>
      <c r="F78" s="4429"/>
      <c r="G78" s="4429"/>
      <c r="H78" s="4430"/>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0">
        <f ca="1">C72-C73</f>
        <v>952</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3">
        <f ca="1">IF(C79&lt;=0,0,C79/C73)</f>
        <v>-12.050632911392405</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1">
        <f ca="1">ROUND(IF(C79&lt;=0,0,IF(C80&gt;=200%,C79*60%-C73*35%,IF(C80&gt;=100%,C79*50%-C73*15%,IF(C80&gt;=50%,C79*40%-C73*5%,IF(C80&lt;50%,C79*30%,0))))),0)</f>
        <v>286</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4" t="s">
        <v>1380</v>
      </c>
      <c r="B83" s="4415"/>
      <c r="C83" s="4415"/>
      <c r="D83" s="4415"/>
      <c r="E83" s="4415"/>
      <c r="F83" s="4415"/>
      <c r="G83" s="4415"/>
      <c r="H83" s="441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1" t="s">
        <v>1351</v>
      </c>
      <c r="B84" s="4412"/>
      <c r="C84" s="1459"/>
      <c r="D84" s="1459"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3">
        <f ca="1">ROUND(D45-D53,0)</f>
        <v>873</v>
      </c>
      <c r="D85" s="4244"/>
      <c r="E85" s="4249" t="s">
        <v>4064</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0">
        <f ca="1">IF(H88="仅含出让金",C87+C90+C91+C92+C93+C94,C87+C91+C92+C93+C94)</f>
        <v>-79</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4"/>
      <c r="F87" s="1695"/>
      <c r="G87" s="1695"/>
      <c r="H87" s="1696"/>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9"/>
      <c r="D88" s="3545"/>
      <c r="E88" s="88" t="s">
        <v>1383</v>
      </c>
      <c r="F88" s="1695"/>
      <c r="G88" s="89" t="s">
        <v>1384</v>
      </c>
      <c r="H88" s="1310" t="s">
        <v>3687</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5"/>
      <c r="G89" s="1695"/>
      <c r="H89" s="1696"/>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9"/>
      <c r="D90" s="3545"/>
      <c r="E90" s="88" t="str">
        <f>IF(H88="-","土地取得成本中已包含该笔费用"," ")</f>
        <v xml:space="preserve"> </v>
      </c>
      <c r="F90" s="1695"/>
      <c r="G90" s="4366" t="s">
        <v>2033</v>
      </c>
      <c r="H90" s="4367"/>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403" t="s">
        <v>1389</v>
      </c>
      <c r="F91" s="4404"/>
      <c r="G91" s="4404"/>
      <c r="H91" s="3532" t="s">
        <v>3685</v>
      </c>
      <c r="I91" s="3663"/>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403" t="s">
        <v>1392</v>
      </c>
      <c r="F92" s="4404"/>
      <c r="G92" s="4404"/>
      <c r="H92" s="4405"/>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1393</v>
      </c>
      <c r="B93" s="4240" t="s">
        <v>1375</v>
      </c>
      <c r="C93" s="4241">
        <f ca="1">ROUND(D48-D53,0)</f>
        <v>-79</v>
      </c>
      <c r="D93" s="4242">
        <f>'数据-取费表'!B44</f>
        <v>0.12000000000000001</v>
      </c>
      <c r="E93" s="4428" t="s">
        <v>3688</v>
      </c>
      <c r="F93" s="4429"/>
      <c r="G93" s="4429"/>
      <c r="H93" s="4430"/>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31" t="s">
        <v>1396</v>
      </c>
      <c r="F94" s="4432"/>
      <c r="G94" s="4432"/>
      <c r="H94" s="443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0">
        <f ca="1">ROUND(C85-C86,0)</f>
        <v>952</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0">
        <f ca="1">IF(C95&lt;=0,0,C95/C86)</f>
        <v>-12.050632911392405</v>
      </c>
      <c r="D96" s="3540"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1">
        <f ca="1">ROUND(IF(C95&lt;=0,0,IF(C96&gt;=200%,C95*60%-C86*35%,IF(C96&gt;=100%,C95*50%-C86*15%,IF(C96&gt;=50%,C95*40%-C86*5%,IF(C96&lt;50%,C95*30%,0))))),0)</f>
        <v>286</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3" t="s">
        <v>1398</v>
      </c>
      <c r="B100" s="4354"/>
      <c r="C100" s="4354"/>
      <c r="D100" s="4368"/>
      <c r="E100" s="4354" t="s">
        <v>1399</v>
      </c>
      <c r="F100" s="4354"/>
      <c r="G100" s="4354"/>
      <c r="H100" s="4368"/>
      <c r="I100" s="47"/>
    </row>
    <row r="101" spans="1:35" ht="18.75" customHeight="1">
      <c r="A101" s="4374" t="s">
        <v>1400</v>
      </c>
      <c r="B101" s="4375"/>
      <c r="C101" s="1876" t="str">
        <f>C4</f>
        <v>比较法-办公</v>
      </c>
      <c r="D101" s="1877" t="str">
        <f>D4</f>
        <v>收益法 (元)</v>
      </c>
      <c r="E101" s="4359" t="s">
        <v>1401</v>
      </c>
      <c r="F101" s="4360"/>
      <c r="G101" s="1311" t="s">
        <v>1402</v>
      </c>
      <c r="H101" s="3668">
        <f ca="1">I118</f>
        <v>952.06769999999995</v>
      </c>
      <c r="I101" s="47"/>
    </row>
    <row r="102" spans="1:35" ht="18.75" customHeight="1">
      <c r="A102" s="4376" t="s">
        <v>1403</v>
      </c>
      <c r="B102" s="1875" t="s">
        <v>1402</v>
      </c>
      <c r="C102" s="3664">
        <f ca="1">C19</f>
        <v>1138.7047</v>
      </c>
      <c r="D102" s="3665">
        <f ca="1">D19</f>
        <v>516.61890000000005</v>
      </c>
      <c r="E102" s="4359"/>
      <c r="F102" s="4360"/>
      <c r="G102" s="1311" t="s">
        <v>1404</v>
      </c>
      <c r="H102" s="2765">
        <f ca="1">H118</f>
        <v>19109</v>
      </c>
      <c r="I102" s="47"/>
    </row>
    <row r="103" spans="1:35" ht="42.75" customHeight="1">
      <c r="A103" s="4376"/>
      <c r="B103" s="1875" t="s">
        <v>1404</v>
      </c>
      <c r="C103" s="3666">
        <f ca="1">C20</f>
        <v>22855</v>
      </c>
      <c r="D103" s="3667">
        <f ca="1">D20</f>
        <v>10369</v>
      </c>
      <c r="E103" s="4421" t="s">
        <v>1405</v>
      </c>
      <c r="F103" s="4422"/>
      <c r="G103" s="1312" t="s">
        <v>1406</v>
      </c>
      <c r="H103" s="3668">
        <f>IF(D36="正常操作",H104+H105+H106,H105+H106)</f>
        <v>0</v>
      </c>
      <c r="I103" s="47"/>
    </row>
    <row r="104" spans="1:35" ht="18.75" customHeight="1">
      <c r="A104" s="4376" t="s">
        <v>1407</v>
      </c>
      <c r="B104" s="1878" t="s">
        <v>1402</v>
      </c>
      <c r="C104" s="4385">
        <f ca="1">I118</f>
        <v>952.06769999999995</v>
      </c>
      <c r="D104" s="4386"/>
      <c r="E104" s="1191" t="s">
        <v>1408</v>
      </c>
      <c r="F104" s="1188"/>
      <c r="G104" s="1312" t="s">
        <v>1406</v>
      </c>
      <c r="H104" s="3669">
        <f>IF(D36="同一抵押权人同一抵押物续贷",C36&amp;"（续贷，未扣减，详见特别提示）",C36)</f>
        <v>0</v>
      </c>
      <c r="I104" s="47"/>
    </row>
    <row r="105" spans="1:35" ht="18.75" customHeight="1" thickBot="1">
      <c r="A105" s="4406"/>
      <c r="B105" s="1879" t="s">
        <v>1404</v>
      </c>
      <c r="C105" s="4387">
        <f ca="1">H118</f>
        <v>19109</v>
      </c>
      <c r="D105" s="4388"/>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7" t="str">
        <f>IF(项目基本情况!E8="已注销","——","3.房地产抵押价值")</f>
        <v>3.房地产抵押价值</v>
      </c>
      <c r="F107" s="4360"/>
      <c r="G107" s="1311" t="s">
        <v>1402</v>
      </c>
      <c r="H107" s="3668">
        <f ca="1">IF(E107="——","——",H101-H103)</f>
        <v>952.06769999999995</v>
      </c>
      <c r="I107" s="47"/>
    </row>
    <row r="108" spans="1:35" ht="18.75" customHeight="1">
      <c r="A108" s="47"/>
      <c r="B108" s="47"/>
      <c r="C108" s="47"/>
      <c r="D108" s="47"/>
      <c r="E108" s="4377"/>
      <c r="F108" s="4360"/>
      <c r="G108" s="1311" t="s">
        <v>1404</v>
      </c>
      <c r="H108" s="2765">
        <f ca="1">IF(H107=H101,H102,ROUND(H107*10000/'数据-汇总表'!E3,0))</f>
        <v>19109</v>
      </c>
      <c r="I108" s="47"/>
    </row>
    <row r="109" spans="1:35" ht="18.75" customHeight="1">
      <c r="A109" s="47"/>
      <c r="B109" s="47"/>
      <c r="C109" s="47"/>
      <c r="D109" s="47"/>
      <c r="E109" s="4377" t="str">
        <f>IF(项目基本情况!E8="已注销及未注销","4.抵押担保权已注销时的房地产抵押价值",IF(项目基本情况!E8="已注销","3.抵押担保权已注销时的房地产抵押价值","——"))</f>
        <v>——</v>
      </c>
      <c r="F109" s="4360"/>
      <c r="G109" s="1311" t="s">
        <v>1402</v>
      </c>
      <c r="H109" s="2760" t="str">
        <f>IF(E109="——","——",H101-H105-H106)</f>
        <v>——</v>
      </c>
      <c r="I109" s="47"/>
    </row>
    <row r="110" spans="1:35" ht="18.75" customHeight="1">
      <c r="A110" s="47"/>
      <c r="B110" s="47"/>
      <c r="C110" s="47"/>
      <c r="D110" s="47"/>
      <c r="E110" s="4377"/>
      <c r="F110" s="4360"/>
      <c r="G110" s="1311" t="s">
        <v>1404</v>
      </c>
      <c r="H110" s="2765" t="str">
        <f>IF(H109="——","——",ROUND(H109*10000/'数据-汇总表'!E3,0))</f>
        <v>——</v>
      </c>
      <c r="I110" s="47"/>
    </row>
    <row r="111" spans="1:35" ht="18.75" customHeight="1">
      <c r="A111" s="47"/>
      <c r="B111" s="47"/>
      <c r="C111" s="47"/>
      <c r="D111" s="47"/>
      <c r="E111" s="4378" t="str">
        <f>IF(项目基本情况!E9="抵押净值",IF(OR(项目基本情况!E8="已注销",项目基本情况!E8="房地产抵押价值"),"4.抵押净值","5.抵押净值"),"——")</f>
        <v>——</v>
      </c>
      <c r="F111" s="4379"/>
      <c r="G111" s="1311" t="s">
        <v>1402</v>
      </c>
      <c r="H111" s="3668" t="str">
        <f>IF(E111="——","——",N59)</f>
        <v>——</v>
      </c>
      <c r="I111" s="47"/>
    </row>
    <row r="112" spans="1:35" ht="18.75" customHeight="1" thickBot="1">
      <c r="A112" s="47"/>
      <c r="B112" s="47"/>
      <c r="C112" s="47"/>
      <c r="D112" s="47"/>
      <c r="E112" s="4380"/>
      <c r="F112" s="4381"/>
      <c r="G112" s="1314" t="s">
        <v>1404</v>
      </c>
      <c r="H112" s="3630" t="str">
        <f>IF(E111="——","——",N61)</f>
        <v>——</v>
      </c>
      <c r="I112" s="47"/>
    </row>
    <row r="113" spans="1:27" ht="18.75" customHeight="1">
      <c r="A113" s="47"/>
      <c r="B113" s="47"/>
      <c r="C113" s="47"/>
      <c r="D113" s="47"/>
      <c r="E113" s="4407" t="s">
        <v>1410</v>
      </c>
      <c r="F113" s="4407"/>
      <c r="G113" s="4407"/>
      <c r="H113" s="4407"/>
      <c r="I113" s="47"/>
    </row>
    <row r="114" spans="1:27" ht="3.75" customHeight="1">
      <c r="A114" s="464"/>
      <c r="B114" s="464"/>
      <c r="C114" s="464"/>
      <c r="D114" s="464"/>
      <c r="E114" s="1297"/>
      <c r="F114" s="1297"/>
      <c r="G114" s="1297"/>
      <c r="H114" s="1297"/>
      <c r="I114" s="464"/>
    </row>
    <row r="115" spans="1:27" ht="18.75" customHeight="1">
      <c r="A115" s="4417" t="s">
        <v>1412</v>
      </c>
      <c r="B115" s="4418"/>
      <c r="C115" s="4418"/>
      <c r="D115" s="4418"/>
      <c r="E115" s="4418"/>
      <c r="F115" s="4418"/>
      <c r="G115" s="4418"/>
      <c r="H115" s="4418"/>
      <c r="I115" s="4419"/>
    </row>
    <row r="116" spans="1:27" ht="27" customHeight="1">
      <c r="A116" s="4382" t="s">
        <v>1413</v>
      </c>
      <c r="B116" s="4383" t="s">
        <v>1414</v>
      </c>
      <c r="C116" s="4383" t="s">
        <v>1415</v>
      </c>
      <c r="D116" s="4370" t="s">
        <v>1416</v>
      </c>
      <c r="E116" s="4371"/>
      <c r="F116" s="4416"/>
      <c r="G116" s="4416"/>
      <c r="H116" s="4382" t="s">
        <v>1417</v>
      </c>
      <c r="I116" s="4382"/>
      <c r="K116" s="3031"/>
      <c r="L116" s="3032" t="s">
        <v>3479</v>
      </c>
      <c r="M116" s="3032" t="s">
        <v>3480</v>
      </c>
      <c r="N116" s="3032" t="s">
        <v>3481</v>
      </c>
    </row>
    <row r="117" spans="1:27" ht="18.75" customHeight="1">
      <c r="A117" s="4382"/>
      <c r="B117" s="4384"/>
      <c r="C117" s="4384"/>
      <c r="D117" s="1697" t="s">
        <v>1419</v>
      </c>
      <c r="E117" s="1697" t="s">
        <v>1418</v>
      </c>
      <c r="F117" s="1697" t="s">
        <v>1420</v>
      </c>
      <c r="G117" s="1697" t="s">
        <v>1418</v>
      </c>
      <c r="H117" s="1697" t="s">
        <v>1420</v>
      </c>
      <c r="I117" s="1697" t="s">
        <v>1418</v>
      </c>
      <c r="K117" s="3032" t="s">
        <v>3477</v>
      </c>
      <c r="L117" s="3671">
        <f ca="1">C34</f>
        <v>9325</v>
      </c>
      <c r="M117" s="3672">
        <f ca="1">C35</f>
        <v>9784</v>
      </c>
      <c r="N117" s="3672">
        <f ca="1">C32</f>
        <v>19109</v>
      </c>
    </row>
    <row r="118" spans="1:27" ht="24.75" customHeight="1">
      <c r="A118" s="1880" t="str">
        <f>项目基本情况!S2</f>
        <v>北京市房地产</v>
      </c>
      <c r="B118" s="2596">
        <f>M18</f>
        <v>498.23</v>
      </c>
      <c r="C118" s="2596">
        <f>M19</f>
        <v>0</v>
      </c>
      <c r="D118" s="679">
        <f ca="1">ROUND(IF(C33="自定义",IF(D32="楼面单价",L119,E118*10000/B118),H118-F118),0)</f>
        <v>19109</v>
      </c>
      <c r="E118" s="679">
        <f ca="1">ROUND(IF(D32="总价",L117,L119*B118/10000),0)</f>
        <v>465</v>
      </c>
      <c r="F118" s="679">
        <f>ROUND(IF(D32="楼面单价",,G118*10000/B118),0)</f>
        <v>0</v>
      </c>
      <c r="G118" s="679">
        <f ca="1">ROUND(IF(D32="总价",M117,M119*B118/10000),0)</f>
        <v>487</v>
      </c>
      <c r="H118" s="679">
        <f ca="1">ROUND(IF(D32="楼面单价",C32,N117*10000/B118),0)</f>
        <v>19109</v>
      </c>
      <c r="I118" s="679">
        <f ca="1">ROUND(IF(D32="总价",C32,N119*B118/10000),4)</f>
        <v>952.06769999999995</v>
      </c>
      <c r="K118" s="3031"/>
      <c r="L118" s="3031"/>
      <c r="M118" s="3031"/>
      <c r="N118" s="3031"/>
    </row>
    <row r="119" spans="1:27" ht="18.75" customHeight="1">
      <c r="A119" s="4382" t="s">
        <v>1421</v>
      </c>
      <c r="B119" s="4382"/>
      <c r="C119" s="4382"/>
      <c r="D119" s="4372" t="str">
        <f ca="1">NUMBERSTRING(INT(E118*10000),2)&amp;"元整"</f>
        <v>肆佰陆拾伍万元整</v>
      </c>
      <c r="E119" s="4373"/>
      <c r="F119" s="4372" t="str">
        <f ca="1">NUMBERSTRING(INT(G118*10000),2)&amp;"元整"</f>
        <v>肆佰捌拾柒万元整</v>
      </c>
      <c r="G119" s="4373"/>
      <c r="H119" s="4372" t="str">
        <f ca="1">NUMBERSTRING(INT(I118*10000),2)&amp;"元整"</f>
        <v>玖佰伍拾贰万零陆佰柒拾柒元整</v>
      </c>
      <c r="I119" s="4373"/>
      <c r="K119" s="3032" t="s">
        <v>3478</v>
      </c>
      <c r="L119" s="3672">
        <f ca="1">C34</f>
        <v>9325</v>
      </c>
      <c r="M119" s="3672">
        <f ca="1">C35</f>
        <v>9784</v>
      </c>
      <c r="N119" s="3672">
        <f ca="1">C32</f>
        <v>19109</v>
      </c>
    </row>
    <row r="120" spans="1:27" ht="18.75" hidden="1" customHeight="1">
      <c r="A120" s="4391" t="str">
        <f>IF(项目基本情况!B9="房地产市场价值","",MID(E103,3,LEN(E103)-2))</f>
        <v>估价师知悉的法定优先受偿款</v>
      </c>
      <c r="B120" s="4392"/>
      <c r="C120" s="4392"/>
      <c r="D120" s="4392"/>
      <c r="E120" s="4392"/>
      <c r="F120" s="4392"/>
      <c r="G120" s="4393"/>
      <c r="H120" s="4475">
        <f>H103</f>
        <v>0</v>
      </c>
      <c r="I120" s="447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2" t="s">
        <v>1421</v>
      </c>
      <c r="B121" s="4394"/>
      <c r="C121" s="4394"/>
      <c r="D121" s="4394"/>
      <c r="E121" s="4394"/>
      <c r="F121" s="4394"/>
      <c r="G121" s="4373"/>
      <c r="H121" s="4477" t="str">
        <f>IF(H120=0,"零元整",NUMBERSTRING(INT(H120*10000),2)&amp;"元整")</f>
        <v>零元整</v>
      </c>
      <c r="I121" s="4478"/>
      <c r="AA121" s="493"/>
    </row>
    <row r="122" spans="1:27" ht="18.75" hidden="1" customHeight="1">
      <c r="A122" s="4391" t="str">
        <f>IF(项目基本情况!B9="房地产市场价值","",MID(E107,3,LEN(E107)-2))</f>
        <v>房地产抵押价值</v>
      </c>
      <c r="B122" s="4392"/>
      <c r="C122" s="4392"/>
      <c r="D122" s="4392"/>
      <c r="E122" s="4392"/>
      <c r="F122" s="4392"/>
      <c r="G122" s="4393"/>
      <c r="H122" s="4389">
        <f ca="1">H107</f>
        <v>952.06769999999995</v>
      </c>
      <c r="I122" s="4390"/>
      <c r="AA122" s="493"/>
    </row>
    <row r="123" spans="1:27" ht="18.75" hidden="1" customHeight="1">
      <c r="A123" s="4372" t="s">
        <v>1421</v>
      </c>
      <c r="B123" s="4394"/>
      <c r="C123" s="4394"/>
      <c r="D123" s="4394"/>
      <c r="E123" s="4394"/>
      <c r="F123" s="4394"/>
      <c r="G123" s="4373"/>
      <c r="H123" s="4372" t="str">
        <f ca="1">NUMBERSTRING(INT(H122*10000),2)&amp;"元整"</f>
        <v>玖佰伍拾贰万零陆佰柒拾柒元整</v>
      </c>
      <c r="I123" s="4373"/>
      <c r="AA123" s="493"/>
    </row>
    <row r="124" spans="1:27" ht="18.75" hidden="1" customHeight="1">
      <c r="A124" s="4391" t="str">
        <f>IF(项目基本情况!B9="房地产市场价值","",MID(E109,3,LEN(E109)-2))</f>
        <v/>
      </c>
      <c r="B124" s="4392"/>
      <c r="C124" s="4392"/>
      <c r="D124" s="4392"/>
      <c r="E124" s="4392"/>
      <c r="F124" s="4392"/>
      <c r="G124" s="4393"/>
      <c r="H124" s="4389" t="str">
        <f>H109</f>
        <v>——</v>
      </c>
      <c r="I124" s="4390"/>
      <c r="AA124" s="493"/>
    </row>
    <row r="125" spans="1:27" ht="18.75" hidden="1" customHeight="1">
      <c r="A125" s="4372" t="s">
        <v>1421</v>
      </c>
      <c r="B125" s="4394"/>
      <c r="C125" s="4394"/>
      <c r="D125" s="4394"/>
      <c r="E125" s="4394"/>
      <c r="F125" s="4394"/>
      <c r="G125" s="4373"/>
      <c r="H125" s="4372" t="e">
        <f>NUMBERSTRING(INT(H124*10000),2)&amp;"元整"</f>
        <v>#VALUE!</v>
      </c>
      <c r="I125" s="4373"/>
      <c r="AA125" s="493"/>
    </row>
    <row r="126" spans="1:27" ht="18.75" hidden="1" customHeight="1">
      <c r="A126" s="4391" t="str">
        <f>IF(项目基本情况!B9="房地产市场价值","",MID(E111,3,LEN(E111)-2))</f>
        <v/>
      </c>
      <c r="B126" s="4392"/>
      <c r="C126" s="4392"/>
      <c r="D126" s="4392"/>
      <c r="E126" s="4392"/>
      <c r="F126" s="4392"/>
      <c r="G126" s="4393"/>
      <c r="H126" s="4389" t="str">
        <f>H111</f>
        <v>——</v>
      </c>
      <c r="I126" s="4390"/>
      <c r="AA126" s="493"/>
    </row>
    <row r="127" spans="1:27" ht="18.75" hidden="1" customHeight="1">
      <c r="A127" s="4372" t="s">
        <v>1421</v>
      </c>
      <c r="B127" s="4394"/>
      <c r="C127" s="4394"/>
      <c r="D127" s="4394"/>
      <c r="E127" s="4394"/>
      <c r="F127" s="4394"/>
      <c r="G127" s="4373"/>
      <c r="H127" s="4372" t="e">
        <f>NUMBERSTRING(INT(H126*10000),2)&amp;"元整"</f>
        <v>#VALUE!</v>
      </c>
      <c r="I127" s="4373"/>
      <c r="AA127" s="493"/>
    </row>
    <row r="128" spans="1:27" ht="21.75" hidden="1" customHeight="1">
      <c r="A128" s="4369" t="s">
        <v>1422</v>
      </c>
      <c r="B128" s="4369"/>
      <c r="C128" s="4369"/>
      <c r="D128" s="4369"/>
      <c r="E128" s="4369"/>
      <c r="F128" s="4369"/>
      <c r="G128" s="4369"/>
      <c r="H128" s="4369"/>
      <c r="I128" s="4369"/>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3"/>
      <c r="D1" s="93"/>
      <c r="E1" s="93"/>
      <c r="F1" s="93"/>
      <c r="G1" s="756">
        <f>MATCH(B1,'数据-取费表'!A6:A16,0)+5</f>
        <v>7</v>
      </c>
    </row>
    <row r="2" spans="1:9" s="95" customFormat="1" ht="15.75">
      <c r="A2" s="96" t="s">
        <v>1431</v>
      </c>
      <c r="B2" s="2521">
        <f ca="1">IF(C1="含税",E2+C33,E2+C32)</f>
        <v>249</v>
      </c>
      <c r="C2" s="94" t="s">
        <v>1432</v>
      </c>
      <c r="D2" s="1335" t="s">
        <v>41</v>
      </c>
      <c r="E2" s="3410">
        <f ca="1">IF(D2="——",0,SUMIF(INDIRECT("'"&amp;G2&amp;"'"&amp;"!A:A"),"承租人权益价值",INDIRECT("'"&amp;G2&amp;"'"&amp;"!c:c")))</f>
        <v>0</v>
      </c>
      <c r="F2" s="1336" t="s">
        <v>1432</v>
      </c>
      <c r="G2" s="1337"/>
    </row>
    <row r="3" spans="1:9" s="95" customFormat="1" ht="16.5" thickBot="1">
      <c r="A3" s="98" t="s">
        <v>1433</v>
      </c>
      <c r="B3" s="2522">
        <f ca="1">ROUND(B2*10000/(IF(B1="",'数据-汇总表'!E3,INDIRECT("'数据-取费表'!k"&amp;$G$1))),0)</f>
        <v>4998</v>
      </c>
      <c r="C3" s="94" t="s">
        <v>1434</v>
      </c>
      <c r="D3" s="94"/>
      <c r="E3" s="2509"/>
      <c r="F3" s="94"/>
      <c r="G3" s="94"/>
    </row>
    <row r="4" spans="1:9" s="95" customFormat="1" ht="16.5" thickBot="1">
      <c r="A4" s="2566" t="s">
        <v>3329</v>
      </c>
      <c r="B4" s="2567" t="s">
        <v>3330</v>
      </c>
      <c r="C4" s="2506" t="s">
        <v>3951</v>
      </c>
      <c r="D4" s="2542" t="s">
        <v>3335</v>
      </c>
      <c r="E4" s="2543" t="s">
        <v>3336</v>
      </c>
      <c r="F4" s="2543" t="s">
        <v>3337</v>
      </c>
      <c r="G4" s="2507" t="s">
        <v>3331</v>
      </c>
    </row>
    <row r="5" spans="1:9" s="103" customFormat="1" ht="15.75">
      <c r="A5" s="2544" t="s">
        <v>3328</v>
      </c>
      <c r="B5" s="2545" t="s">
        <v>3332</v>
      </c>
      <c r="C5" s="2519">
        <f ca="1">ROUND((C6+C9+C21+C24+C25+C28)/(1-F22-C26-C29),0)</f>
        <v>299</v>
      </c>
      <c r="D5" s="2546"/>
      <c r="E5" s="2546"/>
      <c r="F5" s="2546"/>
      <c r="G5" s="2698" t="s">
        <v>3471</v>
      </c>
    </row>
    <row r="6" spans="1:9" s="2532" customFormat="1" ht="15">
      <c r="A6" s="2511" t="s">
        <v>3338</v>
      </c>
      <c r="B6" s="2570" t="s">
        <v>3339</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3287</v>
      </c>
      <c r="C9" s="2533">
        <f ca="1">C10+C11+C12+C13+C19+C20</f>
        <v>240</v>
      </c>
      <c r="D9" s="2554"/>
      <c r="E9" s="2555"/>
      <c r="F9" s="2556"/>
      <c r="G9" s="2557"/>
      <c r="I9" s="109"/>
    </row>
    <row r="10" spans="1:9" s="109" customFormat="1">
      <c r="A10" s="2573" t="s">
        <v>344</v>
      </c>
      <c r="B10" s="2574" t="s">
        <v>3322</v>
      </c>
      <c r="C10" s="2520">
        <f ca="1">IF(B1="",IF(F10=100%,'数据-取费表'!M16,'数据-取费表'!O16),IF(F10=100%,INDIRECT("'数据-取费表'!m"&amp;$G$1)+INDIRECT("'数据-取费表'!t"&amp;$G$1),INDIRECT("'数据-取费表'!o"&amp;$G$1)+INDIRECT("'数据-取费表'!aq"&amp;$G$1)))</f>
        <v>204</v>
      </c>
      <c r="D10" s="2550"/>
      <c r="E10" s="144"/>
      <c r="F10" s="2558">
        <f ca="1">IF('数据-取费表'!B24=0,1,IF(B1="",'数据-取费表'!N16,INDIRECT("'数据-取费表'!n"&amp;$G$1)))</f>
        <v>1</v>
      </c>
      <c r="G10" s="156" t="s">
        <v>1467</v>
      </c>
    </row>
    <row r="11" spans="1:9" s="109" customFormat="1">
      <c r="A11" s="2573" t="s">
        <v>349</v>
      </c>
      <c r="B11" s="2574" t="s">
        <v>3323</v>
      </c>
      <c r="C11" s="2520">
        <f ca="1">ROUND(C10*F11,0)</f>
        <v>14</v>
      </c>
      <c r="D11" s="144"/>
      <c r="E11" s="144"/>
      <c r="F11" s="2531">
        <f>'数据-取费表'!B33</f>
        <v>7.0000000000000007E-2</v>
      </c>
      <c r="G11" s="3408" t="s">
        <v>3675</v>
      </c>
    </row>
    <row r="12" spans="1:9" s="109" customFormat="1">
      <c r="A12" s="2573" t="s">
        <v>350</v>
      </c>
      <c r="B12" s="2574" t="s">
        <v>3324</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0" t="s">
        <v>3993</v>
      </c>
    </row>
    <row r="13" spans="1:9" s="109" customFormat="1">
      <c r="A13" s="2573" t="s">
        <v>3288</v>
      </c>
      <c r="B13" s="2574" t="s">
        <v>3325</v>
      </c>
      <c r="C13" s="2520">
        <f ca="1">C14+C17+C18</f>
        <v>20</v>
      </c>
      <c r="D13" s="144"/>
      <c r="E13" s="2551"/>
      <c r="F13" s="2552"/>
      <c r="G13" s="156"/>
    </row>
    <row r="14" spans="1:9" s="118" customFormat="1">
      <c r="A14" s="2504" t="s">
        <v>3289</v>
      </c>
      <c r="B14" s="2575" t="s">
        <v>3321</v>
      </c>
      <c r="C14" s="2520">
        <f>IF(G14="已包含在土地购买价格中","0",IF(B1="",'数据-取费表'!B29,IF(G15="全部缴纳",C15+C16,H15)))</f>
        <v>0</v>
      </c>
      <c r="D14" s="2559"/>
      <c r="E14" s="144"/>
      <c r="F14" s="2552"/>
      <c r="G14" s="1338"/>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c r="A16" s="2576" t="s">
        <v>354</v>
      </c>
      <c r="B16" s="2577" t="s">
        <v>1449</v>
      </c>
      <c r="C16" s="2560">
        <f ca="1">ROUND(D16*E16/10000,0)</f>
        <v>10</v>
      </c>
      <c r="D16" s="2560">
        <f ca="1">IF(B1="",'数据-汇总表'!E6,IF(INDIRECT("'数据-取费表'!c"&amp;$G$1)="住宅",INDIRECT("'数据-取费表'!s"&amp;$G$1),INDIRECT("'数据-取费表'!k"&amp;$G$1)+INDIRECT("'数据-取费表'!s"&amp;$G$1)))</f>
        <v>498.23</v>
      </c>
      <c r="E16" s="2560">
        <f>'数据-取费表'!B28</f>
        <v>200</v>
      </c>
      <c r="F16" s="2552"/>
      <c r="G16" s="121"/>
    </row>
    <row r="17" spans="1:7" s="109" customFormat="1">
      <c r="A17" s="2504" t="s">
        <v>3290</v>
      </c>
      <c r="B17" s="2578" t="s">
        <v>3295</v>
      </c>
      <c r="C17" s="2520">
        <f ca="1">IF(G17="已包含在土地取得成本中","0",ROUND(D17*E17/10000,0))</f>
        <v>6</v>
      </c>
      <c r="D17" s="2561">
        <f ca="1">D15+D16</f>
        <v>498.23</v>
      </c>
      <c r="E17" s="2561">
        <f>'数据-取费表'!B31</f>
        <v>120</v>
      </c>
      <c r="F17" s="2528"/>
      <c r="G17" s="1338"/>
    </row>
    <row r="18" spans="1:7" s="109" customFormat="1">
      <c r="A18" s="2579" t="s">
        <v>3291</v>
      </c>
      <c r="B18" s="2578" t="s">
        <v>1472</v>
      </c>
      <c r="C18" s="2520">
        <f ca="1">ROUND(E18*D18*F10/10000,0)</f>
        <v>14</v>
      </c>
      <c r="D18" s="2520">
        <f ca="1">D17</f>
        <v>498.23</v>
      </c>
      <c r="E18" s="2520">
        <f>'数据-取费表'!B35</f>
        <v>280</v>
      </c>
      <c r="F18" s="2531"/>
      <c r="G18" s="156" t="str">
        <f ca="1">IF(F10=100%,"","按工程进度计取")</f>
        <v/>
      </c>
    </row>
    <row r="19" spans="1:7" s="109" customFormat="1">
      <c r="A19" s="2573" t="s">
        <v>352</v>
      </c>
      <c r="B19" s="2574" t="s">
        <v>3326</v>
      </c>
      <c r="C19" s="2520">
        <f ca="1">ROUND(C10*F19,0)</f>
        <v>2</v>
      </c>
      <c r="D19" s="144"/>
      <c r="E19" s="144"/>
      <c r="F19" s="2531">
        <f>'数据-取费表'!B36</f>
        <v>0.01</v>
      </c>
      <c r="G19" s="156" t="s">
        <v>1469</v>
      </c>
    </row>
    <row r="20" spans="1:7" s="109" customFormat="1">
      <c r="A20" s="2573" t="s">
        <v>3292</v>
      </c>
      <c r="B20" s="2574" t="s">
        <v>3327</v>
      </c>
      <c r="C20" s="2520">
        <f ca="1">ROUND(C10*F20,0)</f>
        <v>0</v>
      </c>
      <c r="D20" s="2562"/>
      <c r="E20" s="140"/>
      <c r="F20" s="2531">
        <f>'数据-取费表'!B37</f>
        <v>0</v>
      </c>
      <c r="G20" s="156" t="s">
        <v>1469</v>
      </c>
    </row>
    <row r="21" spans="1:7" s="2532" customFormat="1" ht="15">
      <c r="A21" s="2511" t="s">
        <v>3340</v>
      </c>
      <c r="B21" s="2570" t="s">
        <v>3341</v>
      </c>
      <c r="C21" s="2533">
        <f ca="1">ROUND((C6+C9)*F21,0)</f>
        <v>7</v>
      </c>
      <c r="D21" s="2534"/>
      <c r="E21" s="2534"/>
      <c r="F21" s="2538">
        <f>'数据-取费表'!B38</f>
        <v>0.03</v>
      </c>
      <c r="G21" s="2535" t="s">
        <v>3342</v>
      </c>
    </row>
    <row r="22" spans="1:7" s="2532" customFormat="1" ht="15">
      <c r="A22" s="2511" t="s">
        <v>3343</v>
      </c>
      <c r="B22" s="2570" t="s">
        <v>3344</v>
      </c>
      <c r="C22" s="2536" t="str">
        <f>F22&amp;"V"</f>
        <v>0.02V</v>
      </c>
      <c r="D22" s="296"/>
      <c r="E22" s="2534"/>
      <c r="F22" s="2538">
        <f>'数据-取费表'!B39</f>
        <v>0.02</v>
      </c>
      <c r="G22" s="3530" t="s">
        <v>3987</v>
      </c>
    </row>
    <row r="23" spans="1:7" s="2532" customFormat="1" ht="15">
      <c r="A23" s="2511" t="s">
        <v>3345</v>
      </c>
      <c r="B23" s="2572" t="s">
        <v>3296</v>
      </c>
      <c r="C23" s="2512" t="str">
        <f ca="1">SUM(C24:C25)&amp;"+"&amp;C26&amp;"V"</f>
        <v>8+0.0006V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10" t="s">
        <v>3988</v>
      </c>
    </row>
    <row r="25" spans="1:7" s="109" customFormat="1">
      <c r="A25" s="2580" t="s">
        <v>1453</v>
      </c>
      <c r="B25" s="2578" t="s">
        <v>3297</v>
      </c>
      <c r="C25" s="2526">
        <f ca="1">ROUND(IF('数据-取费表'!B22&lt;=1,(C9+C21)*F23*'数据-取费表'!B23/2,(C9+C21)*(POWER((1+F23),'数据-取费表'!B23/2)-1)),0)</f>
        <v>8</v>
      </c>
      <c r="D25" s="133"/>
      <c r="E25" s="133"/>
      <c r="F25" s="2527"/>
      <c r="G25" s="3910" t="s">
        <v>3989</v>
      </c>
    </row>
    <row r="26" spans="1:7" s="109" customFormat="1">
      <c r="A26" s="2580" t="s">
        <v>348</v>
      </c>
      <c r="B26" s="2578" t="s">
        <v>1454</v>
      </c>
      <c r="C26" s="2523">
        <f ca="1">ROUND(IF('数据-取费表'!B22&lt;=1,F22*F23*'数据-取费表'!B23/2,F22*(POWER((1+F23),'数据-取费表'!B23/2)-1)),4)</f>
        <v>5.9999999999999995E-4</v>
      </c>
      <c r="D26" s="133"/>
      <c r="E26" s="136"/>
      <c r="F26" s="2527"/>
      <c r="G26" s="4223" t="s">
        <v>3990</v>
      </c>
    </row>
    <row r="27" spans="1:7" s="2532" customFormat="1" ht="15">
      <c r="A27" s="2511" t="s">
        <v>3346</v>
      </c>
      <c r="B27" s="2572" t="s">
        <v>3298</v>
      </c>
      <c r="C27" s="2539" t="str">
        <f ca="1">C28&amp;"+"&amp;C29&amp;"V"</f>
        <v>37+0.003V</v>
      </c>
      <c r="D27" s="2537"/>
      <c r="E27" s="296"/>
      <c r="F27" s="2540">
        <f ca="1">IF(B1="",'数据-取费表'!Q16,INDIRECT("'数据-取费表'!q"&amp;$G$1))</f>
        <v>0.15</v>
      </c>
      <c r="G27" s="2535" t="s">
        <v>3995</v>
      </c>
    </row>
    <row r="28" spans="1:7" s="109" customFormat="1">
      <c r="A28" s="2573" t="s">
        <v>344</v>
      </c>
      <c r="B28" s="2578" t="s">
        <v>1459</v>
      </c>
      <c r="C28" s="2505">
        <f ca="1">ROUND(C6*F27*'数据-取费表'!B23/'数据-取费表'!B22+(C9+C21)*F27,0)</f>
        <v>37</v>
      </c>
      <c r="D28" s="130"/>
      <c r="E28" s="131"/>
      <c r="F28" s="2528"/>
      <c r="G28" s="3030"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3347</v>
      </c>
      <c r="B30" s="2570" t="s">
        <v>3348</v>
      </c>
      <c r="C30" s="2533">
        <v>0</v>
      </c>
      <c r="D30" s="296"/>
      <c r="E30" s="2513"/>
      <c r="F30" s="2538"/>
      <c r="G30" s="2541" t="s">
        <v>3299</v>
      </c>
    </row>
    <row r="31" spans="1:7" s="109" customFormat="1" ht="15.75">
      <c r="A31" s="2581">
        <v>2</v>
      </c>
      <c r="B31" s="2582" t="s">
        <v>3300</v>
      </c>
      <c r="C31" s="2524">
        <f ca="1">C57</f>
        <v>50</v>
      </c>
      <c r="D31" s="2515"/>
      <c r="E31" s="2515"/>
      <c r="F31" s="2529">
        <f>IF('数据-取费表'!B24=0,'数据-取费表'!N16,1)</f>
        <v>0.83</v>
      </c>
      <c r="G31" s="2516" t="s">
        <v>3809</v>
      </c>
    </row>
    <row r="32" spans="1:7" s="109" customFormat="1" ht="15.75">
      <c r="A32" s="2503" t="s">
        <v>3301</v>
      </c>
      <c r="B32" s="2502" t="s">
        <v>3302</v>
      </c>
      <c r="C32" s="2524">
        <f ca="1">C5-C31</f>
        <v>249</v>
      </c>
      <c r="D32" s="2515"/>
      <c r="E32" s="2515"/>
      <c r="F32" s="2514"/>
      <c r="G32" s="2517" t="s">
        <v>3333</v>
      </c>
    </row>
    <row r="33" spans="1:7" s="109" customFormat="1" ht="16.5" thickBot="1">
      <c r="A33" s="2583">
        <v>4</v>
      </c>
      <c r="B33" s="2584" t="s">
        <v>3334</v>
      </c>
      <c r="C33" s="2525">
        <f ca="1">ROUND(C32*(1+F33),0)</f>
        <v>271</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75" thickBot="1">
      <c r="A38" s="2769" t="s">
        <v>3303</v>
      </c>
      <c r="B38" s="2770"/>
      <c r="C38" s="2770"/>
      <c r="D38" s="2770"/>
      <c r="E38" s="2770"/>
      <c r="F38" s="2770"/>
      <c r="G38" s="2771"/>
    </row>
    <row r="39" spans="1:7" ht="15.75" thickBot="1">
      <c r="A39" s="2772" t="s">
        <v>3329</v>
      </c>
      <c r="B39" s="2773" t="s">
        <v>3330</v>
      </c>
      <c r="C39" s="2774" t="s">
        <v>3951</v>
      </c>
      <c r="D39" s="2775" t="s">
        <v>3453</v>
      </c>
      <c r="E39" s="2776" t="s">
        <v>3454</v>
      </c>
      <c r="F39" s="2776" t="s">
        <v>3455</v>
      </c>
      <c r="G39" s="2777" t="s">
        <v>3331</v>
      </c>
    </row>
    <row r="40" spans="1:7" ht="15">
      <c r="A40" s="2630" t="s">
        <v>3456</v>
      </c>
      <c r="B40" s="2779" t="s">
        <v>3304</v>
      </c>
      <c r="C40" s="2780">
        <f ca="1">SUM(C41:C46)</f>
        <v>234</v>
      </c>
      <c r="D40" s="2778"/>
      <c r="E40" s="2778"/>
      <c r="F40" s="2778"/>
      <c r="G40" s="3982"/>
    </row>
    <row r="41" spans="1:7" ht="15.75">
      <c r="A41" s="2565" t="s">
        <v>3305</v>
      </c>
      <c r="B41" s="2629" t="str">
        <f t="shared" ref="B41:C43" si="0">B10</f>
        <v xml:space="preserve">  建安费用</v>
      </c>
      <c r="C41" s="2500">
        <f t="shared" ca="1" si="0"/>
        <v>204</v>
      </c>
      <c r="D41" s="2495"/>
      <c r="E41" s="2495"/>
      <c r="F41" s="2496"/>
      <c r="G41" s="3983"/>
    </row>
    <row r="42" spans="1:7" ht="15.75">
      <c r="A42" s="2565" t="s">
        <v>3306</v>
      </c>
      <c r="B42" s="2629" t="str">
        <f t="shared" si="0"/>
        <v xml:space="preserve">  前期费用</v>
      </c>
      <c r="C42" s="2500">
        <f t="shared" ca="1" si="0"/>
        <v>14</v>
      </c>
      <c r="D42" s="2495"/>
      <c r="E42" s="2495"/>
      <c r="F42" s="2496"/>
      <c r="G42" s="3983"/>
    </row>
    <row r="43" spans="1:7" ht="15.75">
      <c r="A43" s="2565" t="s">
        <v>3370</v>
      </c>
      <c r="B43" s="2569" t="str">
        <f t="shared" si="0"/>
        <v xml:space="preserve">  公共配套设施费用</v>
      </c>
      <c r="C43" s="2500">
        <f t="shared" ca="1" si="0"/>
        <v>0</v>
      </c>
      <c r="D43" s="2495"/>
      <c r="E43" s="2495"/>
      <c r="F43" s="2496"/>
      <c r="G43" s="3983"/>
    </row>
    <row r="44" spans="1:7" ht="15.75">
      <c r="A44" s="2565" t="s">
        <v>3288</v>
      </c>
      <c r="B44" s="2569" t="str">
        <f>B18</f>
        <v>红线内市政费用</v>
      </c>
      <c r="C44" s="2500">
        <f ca="1">C18</f>
        <v>14</v>
      </c>
      <c r="D44" s="2495"/>
      <c r="E44" s="2495"/>
      <c r="F44" s="2496"/>
      <c r="G44" s="3983"/>
    </row>
    <row r="45" spans="1:7" ht="15.75">
      <c r="A45" s="2580" t="s">
        <v>3307</v>
      </c>
      <c r="B45" s="2575" t="str">
        <f>B19</f>
        <v xml:space="preserve">  其他工程费</v>
      </c>
      <c r="C45" s="2505">
        <f ca="1">C19</f>
        <v>2</v>
      </c>
      <c r="D45" s="2628"/>
      <c r="E45" s="2628"/>
      <c r="F45" s="2508"/>
      <c r="G45" s="3984"/>
    </row>
    <row r="46" spans="1:7" ht="15.75">
      <c r="A46" s="2580" t="s">
        <v>3369</v>
      </c>
      <c r="B46" s="2575" t="s">
        <v>3308</v>
      </c>
      <c r="C46" s="2505">
        <f ca="1">C20</f>
        <v>0</v>
      </c>
      <c r="D46" s="2628"/>
      <c r="E46" s="2628"/>
      <c r="F46" s="2508"/>
      <c r="G46" s="3984"/>
    </row>
    <row r="47" spans="1:7" ht="15">
      <c r="A47" s="2630" t="s">
        <v>3457</v>
      </c>
      <c r="B47" s="2631" t="s">
        <v>3458</v>
      </c>
      <c r="C47" s="2632">
        <f ca="1">ROUND(C40*F47,0)</f>
        <v>7</v>
      </c>
      <c r="D47" s="2633"/>
      <c r="E47" s="2633"/>
      <c r="F47" s="2634">
        <f>F21</f>
        <v>0.03</v>
      </c>
      <c r="G47" s="2635" t="s">
        <v>3459</v>
      </c>
    </row>
    <row r="48" spans="1:7" ht="15">
      <c r="A48" s="2630" t="s">
        <v>3460</v>
      </c>
      <c r="B48" s="2631" t="s">
        <v>3461</v>
      </c>
      <c r="C48" s="2636" t="str">
        <f>F48&amp;"V建1"</f>
        <v>0.02V建1</v>
      </c>
      <c r="D48" s="2633"/>
      <c r="E48" s="2633"/>
      <c r="F48" s="2634">
        <f>F22</f>
        <v>0.02</v>
      </c>
      <c r="G48" s="4224" t="s">
        <v>3991</v>
      </c>
    </row>
    <row r="49" spans="1:7" ht="15">
      <c r="A49" s="2630" t="s">
        <v>3462</v>
      </c>
      <c r="B49" s="2637" t="s">
        <v>3368</v>
      </c>
      <c r="C49" s="2533" t="str">
        <f ca="1">C50&amp;"+"&amp;C51&amp;"V建1"</f>
        <v>8+0.0006V建1</v>
      </c>
      <c r="D49" s="296"/>
      <c r="E49" s="296"/>
      <c r="F49" s="2646">
        <f ca="1">F23</f>
        <v>3.1300000000000001E-2</v>
      </c>
      <c r="G49" s="3985" t="str">
        <f>IF('数据-取费表'!B22&lt;=1,"单利计息","复利计息")</f>
        <v>复利计息</v>
      </c>
    </row>
    <row r="50" spans="1:7">
      <c r="A50" s="2565" t="s">
        <v>3305</v>
      </c>
      <c r="B50" s="2568" t="s">
        <v>3372</v>
      </c>
      <c r="C50" s="2649">
        <f ca="1">ROUND(IF('数据-取费表'!B22&lt;=1,(C40+C47)*F49*'数据-取费表'!B22/2,(C40+C47)*(POWER((1+F49),'数据-取费表'!B22/2)-1)),0)</f>
        <v>8</v>
      </c>
      <c r="D50" s="1011"/>
      <c r="E50" s="1011"/>
      <c r="F50" s="994"/>
      <c r="G50" s="4479" t="str">
        <f ca="1">IF(F10=100%,"建设期均匀投入","已建工期均匀投入")</f>
        <v>建设期均匀投入</v>
      </c>
    </row>
    <row r="51" spans="1:7">
      <c r="A51" s="2565" t="s">
        <v>3306</v>
      </c>
      <c r="B51" s="2569" t="s">
        <v>3311</v>
      </c>
      <c r="C51" s="2650">
        <f ca="1">ROUND(IF('数据-取费表'!B22&lt;=1,F48*F23*'数据-取费表'!B22/2,F48*(POWER((1+F23),'数据-取费表'!B22/2)-1)),4)</f>
        <v>5.9999999999999995E-4</v>
      </c>
      <c r="D51" s="1011"/>
      <c r="E51" s="1011"/>
      <c r="F51" s="994"/>
      <c r="G51" s="4480"/>
    </row>
    <row r="52" spans="1:7" ht="15">
      <c r="A52" s="2630" t="s">
        <v>3463</v>
      </c>
      <c r="B52" s="2639" t="s">
        <v>3312</v>
      </c>
      <c r="C52" s="2640" t="str">
        <f ca="1">C53&amp;"+"&amp;C54&amp;"V建1"</f>
        <v>36+0.003V建1</v>
      </c>
      <c r="D52" s="2641"/>
      <c r="E52" s="2633"/>
      <c r="F52" s="2642">
        <f ca="1">F27</f>
        <v>0.15</v>
      </c>
      <c r="G52" s="2643" t="s">
        <v>3464</v>
      </c>
    </row>
    <row r="53" spans="1:7">
      <c r="A53" s="2565" t="s">
        <v>3309</v>
      </c>
      <c r="B53" s="2568" t="s">
        <v>3313</v>
      </c>
      <c r="C53" s="2500">
        <f ca="1">ROUND((C40+C47)*F27,0)</f>
        <v>36</v>
      </c>
      <c r="D53" s="2501"/>
      <c r="E53" s="2497"/>
      <c r="F53" s="2498"/>
      <c r="G53" s="2499"/>
    </row>
    <row r="54" spans="1:7">
      <c r="A54" s="2565" t="s">
        <v>3310</v>
      </c>
      <c r="B54" s="2568" t="s">
        <v>3314</v>
      </c>
      <c r="C54" s="2564">
        <f ca="1">ROUND(F48*F27,4)</f>
        <v>3.0000000000000001E-3</v>
      </c>
      <c r="D54" s="2501"/>
      <c r="E54" s="2497"/>
      <c r="F54" s="2498"/>
      <c r="G54" s="2499"/>
    </row>
    <row r="55" spans="1:7" ht="15">
      <c r="A55" s="2511" t="s">
        <v>3465</v>
      </c>
      <c r="B55" s="2648" t="s">
        <v>3466</v>
      </c>
      <c r="C55" s="3986">
        <v>0</v>
      </c>
      <c r="D55" s="2537"/>
      <c r="E55" s="296"/>
      <c r="F55" s="2638"/>
      <c r="G55" s="2645" t="s">
        <v>3317</v>
      </c>
    </row>
    <row r="56" spans="1:7" ht="16.5">
      <c r="A56" s="2511" t="s">
        <v>3470</v>
      </c>
      <c r="B56" s="2644" t="s">
        <v>3467</v>
      </c>
      <c r="C56" s="2533">
        <f ca="1">ROUND((C40+C47+C50+C53)/(1-F48-C51-C54),0)</f>
        <v>292</v>
      </c>
      <c r="D56" s="296"/>
      <c r="E56" s="296"/>
      <c r="F56" s="2646"/>
      <c r="G56" s="2645" t="s">
        <v>3318</v>
      </c>
    </row>
    <row r="57" spans="1:7" ht="15">
      <c r="A57" s="2511" t="s">
        <v>3434</v>
      </c>
      <c r="B57" s="2647" t="s">
        <v>3315</v>
      </c>
      <c r="C57" s="2533">
        <f ca="1">ROUND(C56*(1-F57),0)</f>
        <v>50</v>
      </c>
      <c r="D57" s="296"/>
      <c r="E57" s="296"/>
      <c r="F57" s="2646">
        <f>F31</f>
        <v>0.83</v>
      </c>
      <c r="G57" s="2645" t="s">
        <v>3319</v>
      </c>
    </row>
    <row r="58" spans="1:7" ht="16.5">
      <c r="A58" s="2511" t="s">
        <v>3468</v>
      </c>
      <c r="B58" s="2644" t="s">
        <v>3469</v>
      </c>
      <c r="C58" s="2533">
        <f ca="1">C56-C57</f>
        <v>242</v>
      </c>
      <c r="D58" s="296"/>
      <c r="E58" s="296"/>
      <c r="F58" s="2646"/>
      <c r="G58" s="2645" t="s">
        <v>3320</v>
      </c>
    </row>
    <row r="59" spans="1:7" ht="15.75" thickBot="1">
      <c r="A59" s="3987" t="s">
        <v>3371</v>
      </c>
      <c r="B59" s="3988" t="s">
        <v>3316</v>
      </c>
      <c r="C59" s="3989">
        <f ca="1">ROUND(C58*(1+F59),0)</f>
        <v>264</v>
      </c>
      <c r="D59" s="3990"/>
      <c r="E59" s="3990"/>
      <c r="F59" s="3991">
        <f>F33</f>
        <v>0.09</v>
      </c>
      <c r="G59" s="3992" t="s">
        <v>3992</v>
      </c>
    </row>
    <row r="60" spans="1:7" ht="14.25">
      <c r="A60" s="2493"/>
      <c r="B60" s="2494"/>
    </row>
    <row r="62" spans="1:7" ht="21" customHeight="1">
      <c r="B62" s="2563" t="s">
        <v>1498</v>
      </c>
      <c r="C62" s="166"/>
    </row>
    <row r="63" spans="1:7" ht="21" customHeight="1">
      <c r="B63" s="55" t="s">
        <v>787</v>
      </c>
      <c r="C63" s="4058">
        <f ca="1">1-C64</f>
        <v>2.8000000000000025E-2</v>
      </c>
    </row>
    <row r="64" spans="1:7" ht="21" customHeight="1">
      <c r="B64" s="55" t="s">
        <v>788</v>
      </c>
      <c r="C64" s="4059">
        <f ca="1">ROUND(C58/C32,3)</f>
        <v>0.97199999999999998</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4" t="str">
        <f>项目基本情况!B1</f>
        <v>北京市房地产抵押价值预评估</v>
      </c>
      <c r="C37" s="4264"/>
      <c r="D37" s="4264"/>
      <c r="E37" s="4264"/>
      <c r="F37" s="4264"/>
      <c r="G37" s="4264"/>
      <c r="H37" s="4264"/>
      <c r="I37" s="426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3"/>
      <c r="D1" s="1341" t="s">
        <v>1499</v>
      </c>
      <c r="E1" s="93"/>
      <c r="F1" s="93"/>
      <c r="G1" s="756">
        <f>MATCH(B1,'数据-取费表'!A6:A16,0)+5</f>
        <v>7</v>
      </c>
      <c r="H1" s="3018" t="str">
        <f>IF(ISERROR(FIND("住宅",B1)),"非住宅","住宅")</f>
        <v>非住宅</v>
      </c>
    </row>
    <row r="2" spans="1:10" s="95" customFormat="1" ht="15.75">
      <c r="A2" s="96" t="s">
        <v>1431</v>
      </c>
      <c r="B2" s="3674">
        <f ca="1">ROUND(D3/10000,4)</f>
        <v>250.0634</v>
      </c>
      <c r="C2" s="94" t="s">
        <v>1432</v>
      </c>
      <c r="D2" s="1335" t="s">
        <v>41</v>
      </c>
      <c r="E2" s="2508">
        <f ca="1">IF(D2="——",0,SUMIF(INDIRECT("'"&amp;G2&amp;"'"&amp;"!A:A"),"承租人权益价值",INDIRECT("'"&amp;G2&amp;"'"&amp;"!c:c")))</f>
        <v>0</v>
      </c>
      <c r="F2" s="1336" t="s">
        <v>1432</v>
      </c>
      <c r="G2" s="1337"/>
    </row>
    <row r="3" spans="1:10" s="95" customFormat="1" ht="16.5" thickBot="1">
      <c r="A3" s="98" t="s">
        <v>672</v>
      </c>
      <c r="B3" s="2522">
        <f ca="1">ROUND(D3/(IF(B1="",'数据-汇总表'!E3,INDIRECT("'数据-取费表'!k"&amp;$G$1))),0)</f>
        <v>5019</v>
      </c>
      <c r="C3" s="94" t="s">
        <v>1434</v>
      </c>
      <c r="D3" s="94">
        <f ca="1">IF(C1="含税",E2+C33,E2+C32)</f>
        <v>2500634</v>
      </c>
      <c r="E3" s="2509"/>
      <c r="F3" s="94"/>
      <c r="G3" s="94"/>
    </row>
    <row r="4" spans="1:10" s="95" customFormat="1" ht="16.5" thickBot="1">
      <c r="A4" s="2566" t="s">
        <v>3329</v>
      </c>
      <c r="B4" s="2567" t="s">
        <v>3330</v>
      </c>
      <c r="C4" s="2506" t="s">
        <v>3951</v>
      </c>
      <c r="D4" s="2542" t="s">
        <v>3335</v>
      </c>
      <c r="E4" s="2543" t="s">
        <v>3336</v>
      </c>
      <c r="F4" s="2543" t="s">
        <v>3337</v>
      </c>
      <c r="G4" s="2507" t="s">
        <v>3331</v>
      </c>
    </row>
    <row r="5" spans="1:10" s="103" customFormat="1" ht="15.75">
      <c r="A5" s="2544" t="s">
        <v>3328</v>
      </c>
      <c r="B5" s="2545" t="s">
        <v>3332</v>
      </c>
      <c r="C5" s="2519">
        <f ca="1">ROUND((C6+C9+C21+C24+C25+C28)/(1-F22-C26-C29),0)</f>
        <v>2997552</v>
      </c>
      <c r="D5" s="2546"/>
      <c r="E5" s="2546"/>
      <c r="F5" s="2546"/>
      <c r="G5" s="2698" t="s">
        <v>3471</v>
      </c>
      <c r="J5" s="95"/>
    </row>
    <row r="6" spans="1:10" s="2532" customFormat="1" ht="15">
      <c r="A6" s="2511" t="s">
        <v>3338</v>
      </c>
      <c r="B6" s="2570" t="s">
        <v>3339</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3287</v>
      </c>
      <c r="C9" s="2533">
        <f ca="1">C10+C11+C12+C13+C19+C20</f>
        <v>2405454</v>
      </c>
      <c r="D9" s="2554"/>
      <c r="E9" s="2555"/>
      <c r="F9" s="2556"/>
      <c r="G9" s="2557"/>
      <c r="J9" s="95"/>
    </row>
    <row r="10" spans="1:10" s="109" customFormat="1" ht="15">
      <c r="A10" s="2573" t="s">
        <v>344</v>
      </c>
      <c r="B10" s="2574" t="s">
        <v>3322</v>
      </c>
      <c r="C10" s="2520">
        <f ca="1">ROUND(IF(B1="",SUMPRODUCT('数据-取费表'!K6:K14,'数据-取费表'!L6:L14),INDIRECT("'数据-取费表'!l"&amp;$G$1)*INDIRECT("'数据-取费表'!k"&amp;$G$1)+'数据-取费表'!L14*INDIRECT("'数据-取费表'!S"&amp;$G$1)),0)</f>
        <v>2042743</v>
      </c>
      <c r="D10" s="2550"/>
      <c r="E10" s="144"/>
      <c r="F10" s="2558">
        <f ca="1">IF('数据-取费表'!B24=0,1,IF(B1="",'数据-取费表'!N16,INDIRECT("'数据-取费表'!n"&amp;$G$1)))</f>
        <v>1</v>
      </c>
      <c r="G10" s="156" t="s">
        <v>1467</v>
      </c>
      <c r="J10" s="95"/>
    </row>
    <row r="11" spans="1:10" s="109" customFormat="1" ht="15">
      <c r="A11" s="2573" t="s">
        <v>349</v>
      </c>
      <c r="B11" s="2574" t="s">
        <v>3323</v>
      </c>
      <c r="C11" s="2520">
        <f ca="1">ROUND(C10*F11,0)</f>
        <v>142992</v>
      </c>
      <c r="D11" s="144"/>
      <c r="E11" s="144"/>
      <c r="F11" s="2531">
        <f>'数据-取费表'!B33</f>
        <v>7.0000000000000007E-2</v>
      </c>
      <c r="G11" s="156" t="s">
        <v>1469</v>
      </c>
      <c r="J11" s="95"/>
    </row>
    <row r="12" spans="1:10" s="109" customFormat="1" ht="15">
      <c r="A12" s="2573" t="s">
        <v>350</v>
      </c>
      <c r="B12" s="2574" t="s">
        <v>3324</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0" t="s">
        <v>3994</v>
      </c>
      <c r="J12" s="95"/>
    </row>
    <row r="13" spans="1:10" s="109" customFormat="1" ht="15">
      <c r="A13" s="2573" t="s">
        <v>3288</v>
      </c>
      <c r="B13" s="2574" t="s">
        <v>3325</v>
      </c>
      <c r="C13" s="2520">
        <f ca="1">C14+C17+C18</f>
        <v>199292</v>
      </c>
      <c r="D13" s="144"/>
      <c r="E13" s="2551"/>
      <c r="F13" s="2552"/>
      <c r="G13" s="156"/>
      <c r="J13" s="95"/>
    </row>
    <row r="14" spans="1:10" s="118" customFormat="1" ht="15">
      <c r="A14" s="2504" t="s">
        <v>3289</v>
      </c>
      <c r="B14" s="2575" t="s">
        <v>3321</v>
      </c>
      <c r="C14" s="2520">
        <f>IF(G14="已包含在土地购买价格中","0",IF(B1="",'数据-取费表'!B29,IF(G15="全部缴纳",C15+C16,H15)))</f>
        <v>0</v>
      </c>
      <c r="D14" s="2559"/>
      <c r="E14" s="144"/>
      <c r="F14" s="2552"/>
      <c r="G14" s="1338"/>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9"/>
      <c r="H15" s="762"/>
      <c r="I15" s="1340" t="s">
        <v>1448</v>
      </c>
      <c r="J15" s="95"/>
    </row>
    <row r="16" spans="1:10" s="109" customFormat="1" ht="15">
      <c r="A16" s="2576" t="s">
        <v>354</v>
      </c>
      <c r="B16" s="2577" t="s">
        <v>1449</v>
      </c>
      <c r="C16" s="2560">
        <f ca="1">ROUND(D16*E16,0)</f>
        <v>99646</v>
      </c>
      <c r="D16" s="2560">
        <f ca="1">IF(B1="",'数据-汇总表'!E6,IF(INDIRECT("'数据-取费表'!c"&amp;$G$1)="住宅",INDIRECT("'数据-取费表'!s"&amp;$G$1),INDIRECT("'数据-取费表'!k"&amp;$G$1)+INDIRECT("'数据-取费表'!s"&amp;$G$1)))</f>
        <v>498.23</v>
      </c>
      <c r="E16" s="2560">
        <f>'数据-取费表'!B28</f>
        <v>200</v>
      </c>
      <c r="F16" s="2552"/>
      <c r="G16" s="121"/>
      <c r="J16" s="95"/>
    </row>
    <row r="17" spans="1:10" s="109" customFormat="1" ht="15">
      <c r="A17" s="2504" t="s">
        <v>3290</v>
      </c>
      <c r="B17" s="2578" t="s">
        <v>3295</v>
      </c>
      <c r="C17" s="2520">
        <f ca="1">IF(G17="已包含在土地取得成本中","0",ROUND(D17*E17,0))</f>
        <v>59788</v>
      </c>
      <c r="D17" s="2561">
        <f ca="1">D15+D16</f>
        <v>498.23</v>
      </c>
      <c r="E17" s="2561">
        <f>'数据-取费表'!B31</f>
        <v>120</v>
      </c>
      <c r="F17" s="2528"/>
      <c r="G17" s="1338"/>
      <c r="J17" s="95"/>
    </row>
    <row r="18" spans="1:10" s="109" customFormat="1" ht="15">
      <c r="A18" s="2579" t="s">
        <v>3291</v>
      </c>
      <c r="B18" s="2578" t="s">
        <v>1472</v>
      </c>
      <c r="C18" s="2520">
        <f ca="1">ROUND(E18*D18*F10,0)</f>
        <v>139504</v>
      </c>
      <c r="D18" s="2520">
        <f ca="1">D17</f>
        <v>498.23</v>
      </c>
      <c r="E18" s="2520">
        <f>'数据-取费表'!B35</f>
        <v>280</v>
      </c>
      <c r="F18" s="2531"/>
      <c r="G18" s="156" t="str">
        <f ca="1">IF(F10=100%,"","按工程进度计取")</f>
        <v/>
      </c>
      <c r="J18" s="95"/>
    </row>
    <row r="19" spans="1:10" s="109" customFormat="1" ht="15">
      <c r="A19" s="2573" t="s">
        <v>352</v>
      </c>
      <c r="B19" s="2574" t="s">
        <v>3326</v>
      </c>
      <c r="C19" s="2520">
        <f ca="1">ROUND(C10*F19,0)</f>
        <v>20427</v>
      </c>
      <c r="D19" s="144"/>
      <c r="E19" s="144"/>
      <c r="F19" s="2531">
        <f>'数据-取费表'!B36</f>
        <v>0.01</v>
      </c>
      <c r="G19" s="156" t="s">
        <v>1469</v>
      </c>
      <c r="J19" s="95"/>
    </row>
    <row r="20" spans="1:10" s="109" customFormat="1" ht="15">
      <c r="A20" s="2573" t="s">
        <v>3292</v>
      </c>
      <c r="B20" s="2574" t="s">
        <v>3327</v>
      </c>
      <c r="C20" s="2520">
        <f ca="1">ROUND(C10*F20,0)</f>
        <v>0</v>
      </c>
      <c r="D20" s="2562"/>
      <c r="E20" s="140"/>
      <c r="F20" s="2531">
        <f>'数据-取费表'!B37</f>
        <v>0</v>
      </c>
      <c r="G20" s="156" t="s">
        <v>1469</v>
      </c>
      <c r="J20" s="95"/>
    </row>
    <row r="21" spans="1:10" s="2532" customFormat="1" ht="15">
      <c r="A21" s="2511" t="s">
        <v>3340</v>
      </c>
      <c r="B21" s="2570" t="s">
        <v>3341</v>
      </c>
      <c r="C21" s="2533">
        <f ca="1">ROUND((C6+C9)*F21,0)</f>
        <v>72164</v>
      </c>
      <c r="D21" s="2534"/>
      <c r="E21" s="2534"/>
      <c r="F21" s="2538">
        <f>'数据-取费表'!B38</f>
        <v>0.03</v>
      </c>
      <c r="G21" s="2535" t="s">
        <v>3342</v>
      </c>
      <c r="J21" s="95"/>
    </row>
    <row r="22" spans="1:10" s="2532" customFormat="1" ht="15">
      <c r="A22" s="2511" t="s">
        <v>3343</v>
      </c>
      <c r="B22" s="2570" t="s">
        <v>3344</v>
      </c>
      <c r="C22" s="2536" t="str">
        <f>F22&amp;"V"</f>
        <v>0.02V</v>
      </c>
      <c r="D22" s="296"/>
      <c r="E22" s="2534"/>
      <c r="F22" s="2538">
        <f>'数据-取费表'!B39</f>
        <v>0.02</v>
      </c>
      <c r="G22" s="3530" t="s">
        <v>3987</v>
      </c>
      <c r="J22" s="95"/>
    </row>
    <row r="23" spans="1:10" s="2532" customFormat="1" ht="15">
      <c r="A23" s="2511" t="s">
        <v>3345</v>
      </c>
      <c r="B23" s="2572" t="s">
        <v>3296</v>
      </c>
      <c r="C23" s="2512" t="str">
        <f ca="1">SUM(C24:C25)&amp;"+"&amp;C26&amp;"V"</f>
        <v>77549+0.0006V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10" t="s">
        <v>3988</v>
      </c>
      <c r="J24" s="95"/>
    </row>
    <row r="25" spans="1:10" s="109" customFormat="1" ht="15">
      <c r="A25" s="2580" t="s">
        <v>345</v>
      </c>
      <c r="B25" s="2578" t="s">
        <v>3297</v>
      </c>
      <c r="C25" s="2526">
        <f ca="1">ROUND(IF('数据-取费表'!B22&lt;=1,(C9+C21)*F23*'数据-取费表'!B23/2,(C9+C21)*(POWER((1+F23),'数据-取费表'!B23/2)-1)),0)</f>
        <v>77549</v>
      </c>
      <c r="D25" s="133"/>
      <c r="E25" s="133"/>
      <c r="F25" s="2527"/>
      <c r="G25" s="3910" t="s">
        <v>3989</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3990</v>
      </c>
      <c r="J26" s="95"/>
    </row>
    <row r="27" spans="1:10" s="2532" customFormat="1" ht="15">
      <c r="A27" s="2511" t="s">
        <v>3346</v>
      </c>
      <c r="B27" s="2572" t="s">
        <v>3298</v>
      </c>
      <c r="C27" s="2539" t="str">
        <f ca="1">C28&amp;"+"&amp;C29&amp;"V"</f>
        <v>371643+0.003V</v>
      </c>
      <c r="D27" s="2537"/>
      <c r="E27" s="296"/>
      <c r="F27" s="2540">
        <f ca="1">IF(B1="",'数据-取费表'!Q16,INDIRECT("'数据-取费表'!q"&amp;$G$1))</f>
        <v>0.15</v>
      </c>
      <c r="G27" s="2535" t="s">
        <v>3996</v>
      </c>
      <c r="J27" s="95"/>
    </row>
    <row r="28" spans="1:10" s="109" customFormat="1" ht="15">
      <c r="A28" s="2573" t="s">
        <v>344</v>
      </c>
      <c r="B28" s="2578" t="s">
        <v>1459</v>
      </c>
      <c r="C28" s="2505">
        <f ca="1">ROUND(C6*F27*'数据-取费表'!B23/'数据-取费表'!B22+(C9+C21)*F27,0)</f>
        <v>371643</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3347</v>
      </c>
      <c r="B30" s="2570" t="s">
        <v>3348</v>
      </c>
      <c r="C30" s="2533">
        <v>0</v>
      </c>
      <c r="D30" s="296"/>
      <c r="E30" s="2513"/>
      <c r="F30" s="2538"/>
      <c r="G30" s="2541" t="s">
        <v>3299</v>
      </c>
      <c r="J30" s="95"/>
    </row>
    <row r="31" spans="1:10" s="109" customFormat="1" ht="15.75">
      <c r="A31" s="2581">
        <v>2</v>
      </c>
      <c r="B31" s="2582" t="s">
        <v>3300</v>
      </c>
      <c r="C31" s="2524">
        <f ca="1">C57</f>
        <v>496918</v>
      </c>
      <c r="D31" s="2515"/>
      <c r="E31" s="2515"/>
      <c r="F31" s="2529">
        <f>IF('数据-取费表'!B24=0,'数据-取费表'!N16,1)</f>
        <v>0.83</v>
      </c>
      <c r="G31" s="2516" t="s">
        <v>3808</v>
      </c>
      <c r="J31" s="95"/>
    </row>
    <row r="32" spans="1:10" s="109" customFormat="1" ht="15.75">
      <c r="A32" s="2503" t="s">
        <v>3301</v>
      </c>
      <c r="B32" s="2502" t="s">
        <v>3302</v>
      </c>
      <c r="C32" s="2524">
        <f ca="1">C5-C31</f>
        <v>2500634</v>
      </c>
      <c r="D32" s="2515"/>
      <c r="E32" s="2515"/>
      <c r="F32" s="2514"/>
      <c r="G32" s="2517" t="s">
        <v>3333</v>
      </c>
      <c r="J32" s="95"/>
    </row>
    <row r="33" spans="1:10" s="109" customFormat="1" ht="16.5" thickBot="1">
      <c r="A33" s="2583">
        <v>4</v>
      </c>
      <c r="B33" s="2584" t="s">
        <v>3334</v>
      </c>
      <c r="C33" s="2525">
        <f ca="1">ROUND(C32*(1+F33),0)</f>
        <v>2725691</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75" thickBot="1">
      <c r="A38" s="2769" t="s">
        <v>3303</v>
      </c>
      <c r="B38" s="2770"/>
      <c r="C38" s="2770"/>
      <c r="D38" s="2770"/>
      <c r="E38" s="2770"/>
      <c r="F38" s="2770"/>
      <c r="G38" s="2771"/>
    </row>
    <row r="39" spans="1:10" ht="15.75" thickBot="1">
      <c r="A39" s="4108" t="s">
        <v>3329</v>
      </c>
      <c r="B39" s="2772" t="s">
        <v>3330</v>
      </c>
      <c r="C39" s="2774" t="s">
        <v>3951</v>
      </c>
      <c r="D39" s="2775" t="s">
        <v>3453</v>
      </c>
      <c r="E39" s="2776" t="s">
        <v>3454</v>
      </c>
      <c r="F39" s="2776" t="s">
        <v>3455</v>
      </c>
      <c r="G39" s="2777" t="s">
        <v>3331</v>
      </c>
    </row>
    <row r="40" spans="1:10" ht="15">
      <c r="A40" s="2631" t="s">
        <v>3456</v>
      </c>
      <c r="B40" s="4113" t="s">
        <v>3304</v>
      </c>
      <c r="C40" s="2780">
        <f ca="1">SUM(C41:C46)</f>
        <v>2345666</v>
      </c>
      <c r="D40" s="2778"/>
      <c r="E40" s="2778"/>
      <c r="F40" s="2778"/>
      <c r="G40" s="3982"/>
    </row>
    <row r="41" spans="1:10" ht="15.75">
      <c r="A41" s="4109" t="s">
        <v>3305</v>
      </c>
      <c r="B41" s="4114" t="str">
        <f t="shared" ref="B41:C43" si="0">B10</f>
        <v xml:space="preserve">  建安费用</v>
      </c>
      <c r="C41" s="2500">
        <f t="shared" ca="1" si="0"/>
        <v>2042743</v>
      </c>
      <c r="D41" s="2495"/>
      <c r="E41" s="2495"/>
      <c r="F41" s="2496"/>
      <c r="G41" s="3983"/>
    </row>
    <row r="42" spans="1:10" ht="15.75">
      <c r="A42" s="4109" t="s">
        <v>3306</v>
      </c>
      <c r="B42" s="4114" t="str">
        <f t="shared" si="0"/>
        <v xml:space="preserve">  前期费用</v>
      </c>
      <c r="C42" s="2500">
        <f t="shared" ca="1" si="0"/>
        <v>142992</v>
      </c>
      <c r="D42" s="2495"/>
      <c r="E42" s="2495"/>
      <c r="F42" s="2496"/>
      <c r="G42" s="3983"/>
    </row>
    <row r="43" spans="1:10" ht="15.75">
      <c r="A43" s="4109" t="s">
        <v>3370</v>
      </c>
      <c r="B43" s="4115" t="str">
        <f t="shared" si="0"/>
        <v xml:space="preserve">  公共配套设施费用</v>
      </c>
      <c r="C43" s="2500">
        <f t="shared" ca="1" si="0"/>
        <v>0</v>
      </c>
      <c r="D43" s="2495"/>
      <c r="E43" s="2495"/>
      <c r="F43" s="2496"/>
      <c r="G43" s="3983"/>
    </row>
    <row r="44" spans="1:10" ht="15.75">
      <c r="A44" s="4109" t="s">
        <v>3288</v>
      </c>
      <c r="B44" s="4115" t="str">
        <f>B18</f>
        <v>红线内市政费用</v>
      </c>
      <c r="C44" s="2500">
        <f ca="1">C18</f>
        <v>139504</v>
      </c>
      <c r="D44" s="2495"/>
      <c r="E44" s="2495"/>
      <c r="F44" s="2496"/>
      <c r="G44" s="3983"/>
    </row>
    <row r="45" spans="1:10" ht="15.75">
      <c r="A45" s="4110" t="s">
        <v>3307</v>
      </c>
      <c r="B45" s="4116" t="str">
        <f>B19</f>
        <v xml:space="preserve">  其他工程费</v>
      </c>
      <c r="C45" s="2505">
        <f ca="1">C19</f>
        <v>20427</v>
      </c>
      <c r="D45" s="2628"/>
      <c r="E45" s="2628"/>
      <c r="F45" s="2508"/>
      <c r="G45" s="3984"/>
    </row>
    <row r="46" spans="1:10" ht="15.75">
      <c r="A46" s="4110" t="s">
        <v>3369</v>
      </c>
      <c r="B46" s="4116" t="s">
        <v>3308</v>
      </c>
      <c r="C46" s="2505">
        <f ca="1">C20</f>
        <v>0</v>
      </c>
      <c r="D46" s="2628"/>
      <c r="E46" s="2628"/>
      <c r="F46" s="2508"/>
      <c r="G46" s="3984"/>
    </row>
    <row r="47" spans="1:10" ht="15">
      <c r="A47" s="4111" t="s">
        <v>3457</v>
      </c>
      <c r="B47" s="4111" t="s">
        <v>3458</v>
      </c>
      <c r="C47" s="2632">
        <f ca="1">ROUND(C40*F47,0)</f>
        <v>70370</v>
      </c>
      <c r="D47" s="2633"/>
      <c r="E47" s="2633"/>
      <c r="F47" s="2634">
        <f>F21</f>
        <v>0.03</v>
      </c>
      <c r="G47" s="2635" t="s">
        <v>3459</v>
      </c>
    </row>
    <row r="48" spans="1:10" ht="15">
      <c r="A48" s="4111" t="s">
        <v>3460</v>
      </c>
      <c r="B48" s="4111" t="s">
        <v>3461</v>
      </c>
      <c r="C48" s="2636" t="str">
        <f>F48&amp;"V建1"</f>
        <v>0.02V建1</v>
      </c>
      <c r="D48" s="2633"/>
      <c r="E48" s="2633"/>
      <c r="F48" s="2634">
        <f>F22</f>
        <v>0.02</v>
      </c>
      <c r="G48" s="4224" t="s">
        <v>3991</v>
      </c>
    </row>
    <row r="49" spans="1:7" ht="15">
      <c r="A49" s="4111" t="s">
        <v>3462</v>
      </c>
      <c r="B49" s="4117" t="s">
        <v>3368</v>
      </c>
      <c r="C49" s="2533" t="str">
        <f ca="1">C50&amp;"+"&amp;C51&amp;"V建1"</f>
        <v>75622+0.0006V建1</v>
      </c>
      <c r="D49" s="296"/>
      <c r="E49" s="296"/>
      <c r="F49" s="2638">
        <f ca="1">F23</f>
        <v>3.1300000000000001E-2</v>
      </c>
      <c r="G49" s="3985" t="str">
        <f>IF('数据-取费表'!B22&lt;=1,"单利计息","复利计息")</f>
        <v>复利计息</v>
      </c>
    </row>
    <row r="50" spans="1:7">
      <c r="A50" s="4109" t="s">
        <v>3305</v>
      </c>
      <c r="B50" s="4118" t="s">
        <v>3372</v>
      </c>
      <c r="C50" s="2649">
        <f ca="1">ROUND(IF('数据-取费表'!B22&lt;=1,(C40+C47)*F49*'数据-取费表'!B22/2,(C40+C47)*(POWER((1+F49),'数据-取费表'!B22/2)-1)),0)</f>
        <v>75622</v>
      </c>
      <c r="D50" s="1011"/>
      <c r="E50" s="1011"/>
      <c r="F50" s="994"/>
      <c r="G50" s="4479" t="str">
        <f ca="1">IF(F10=100%,"建设期均匀投入","已建工期均匀投入")</f>
        <v>建设期均匀投入</v>
      </c>
    </row>
    <row r="51" spans="1:7">
      <c r="A51" s="4109" t="s">
        <v>3306</v>
      </c>
      <c r="B51" s="4115" t="s">
        <v>3311</v>
      </c>
      <c r="C51" s="2650">
        <f ca="1">ROUND(IF('数据-取费表'!B22&lt;=1,F48*F23*'数据-取费表'!B22/2,F48*(POWER((1+F23),'数据-取费表'!B22/2)-1)),4)</f>
        <v>5.9999999999999995E-4</v>
      </c>
      <c r="D51" s="1011"/>
      <c r="E51" s="1011"/>
      <c r="F51" s="994"/>
      <c r="G51" s="4480"/>
    </row>
    <row r="52" spans="1:7" ht="15">
      <c r="A52" s="4111" t="s">
        <v>3463</v>
      </c>
      <c r="B52" s="2769" t="s">
        <v>3312</v>
      </c>
      <c r="C52" s="2640" t="str">
        <f ca="1">C53&amp;"+"&amp;C54&amp;"V建1"</f>
        <v>362405+0.003V建1</v>
      </c>
      <c r="D52" s="2641"/>
      <c r="E52" s="2633"/>
      <c r="F52" s="2642">
        <f ca="1">F27</f>
        <v>0.15</v>
      </c>
      <c r="G52" s="2643" t="s">
        <v>3464</v>
      </c>
    </row>
    <row r="53" spans="1:7">
      <c r="A53" s="4109" t="s">
        <v>3305</v>
      </c>
      <c r="B53" s="4118" t="s">
        <v>3313</v>
      </c>
      <c r="C53" s="2500">
        <f ca="1">ROUND((C40+C47)*F27,0)</f>
        <v>362405</v>
      </c>
      <c r="D53" s="2501"/>
      <c r="E53" s="2497"/>
      <c r="F53" s="2498"/>
      <c r="G53" s="2499"/>
    </row>
    <row r="54" spans="1:7">
      <c r="A54" s="4109" t="s">
        <v>3306</v>
      </c>
      <c r="B54" s="4118" t="s">
        <v>3314</v>
      </c>
      <c r="C54" s="2564">
        <f ca="1">ROUND(F48*F27,4)</f>
        <v>3.0000000000000001E-3</v>
      </c>
      <c r="D54" s="2501"/>
      <c r="E54" s="2497"/>
      <c r="F54" s="2498"/>
      <c r="G54" s="2499"/>
    </row>
    <row r="55" spans="1:7" ht="15">
      <c r="A55" s="4112" t="s">
        <v>3465</v>
      </c>
      <c r="B55" s="2511" t="s">
        <v>3466</v>
      </c>
      <c r="C55" s="3986">
        <v>0</v>
      </c>
      <c r="D55" s="2537"/>
      <c r="E55" s="296"/>
      <c r="F55" s="2638"/>
      <c r="G55" s="2645" t="s">
        <v>3317</v>
      </c>
    </row>
    <row r="56" spans="1:7" ht="16.5">
      <c r="A56" s="4112" t="s">
        <v>3470</v>
      </c>
      <c r="B56" s="4112" t="s">
        <v>3467</v>
      </c>
      <c r="C56" s="2533">
        <f ca="1">ROUND((C40+C47+C50+C53)/(1-F48-C51-C54),0)</f>
        <v>2923047</v>
      </c>
      <c r="D56" s="296"/>
      <c r="E56" s="296"/>
      <c r="F56" s="2646"/>
      <c r="G56" s="2645" t="s">
        <v>3318</v>
      </c>
    </row>
    <row r="57" spans="1:7" ht="15">
      <c r="A57" s="4112" t="s">
        <v>3434</v>
      </c>
      <c r="B57" s="4119" t="s">
        <v>3300</v>
      </c>
      <c r="C57" s="2533">
        <f ca="1">ROUND(C56*(1-F57),0)</f>
        <v>496918</v>
      </c>
      <c r="D57" s="296"/>
      <c r="E57" s="296"/>
      <c r="F57" s="2646">
        <f>F31</f>
        <v>0.83</v>
      </c>
      <c r="G57" s="2645" t="s">
        <v>3319</v>
      </c>
    </row>
    <row r="58" spans="1:7" ht="16.5">
      <c r="A58" s="4112" t="s">
        <v>3468</v>
      </c>
      <c r="B58" s="4112" t="s">
        <v>3469</v>
      </c>
      <c r="C58" s="2533">
        <f ca="1">C56-C57</f>
        <v>2426129</v>
      </c>
      <c r="D58" s="296"/>
      <c r="E58" s="296"/>
      <c r="F58" s="2646"/>
      <c r="G58" s="2645" t="s">
        <v>3320</v>
      </c>
    </row>
    <row r="59" spans="1:7" ht="15.75" thickBot="1">
      <c r="A59" s="2644" t="s">
        <v>3371</v>
      </c>
      <c r="B59" s="4120" t="s">
        <v>3316</v>
      </c>
      <c r="C59" s="3989">
        <f ca="1">ROUND(C58*(1+F59),0)</f>
        <v>2644481</v>
      </c>
      <c r="D59" s="3990"/>
      <c r="E59" s="3990"/>
      <c r="F59" s="3991">
        <f>F33</f>
        <v>0.09</v>
      </c>
      <c r="G59" s="3992" t="s">
        <v>3992</v>
      </c>
    </row>
    <row r="60" spans="1:7" ht="14.25">
      <c r="A60" s="2493"/>
      <c r="B60" s="2494"/>
    </row>
    <row r="62" spans="1:7" ht="21" customHeight="1">
      <c r="B62" s="2563" t="s">
        <v>1498</v>
      </c>
      <c r="C62" s="166"/>
    </row>
    <row r="63" spans="1:7" ht="21" customHeight="1">
      <c r="B63" s="55" t="s">
        <v>787</v>
      </c>
      <c r="C63" s="4058">
        <f ca="1">1-C64</f>
        <v>3.0000000000000027E-2</v>
      </c>
    </row>
    <row r="64" spans="1:7" ht="21" customHeight="1">
      <c r="B64" s="55" t="s">
        <v>788</v>
      </c>
      <c r="C64" s="4059">
        <f ca="1">ROUND(C58/C32,3)</f>
        <v>0.97</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2903.8764000000001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58284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20730256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99646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99646</v>
      </c>
      <c r="D10" s="538">
        <f ca="1">IF(B1="",'数据-汇总表'!E6,IF(INDIRECT("'数据-取费表'!c"&amp;$G$1)="住宅",INDIRECT("'数据-取费表'!s"&amp;$G$1),INDIRECT("'数据-取费表'!k"&amp;$G$1)+INDIRECT("'数据-取费表'!s"&amp;$G$1)))</f>
        <v>498.23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59788</v>
      </c>
      <c r="D19" s="107">
        <f ca="1">D9+D10</f>
        <v>498.23</v>
      </c>
      <c r="E19" s="106">
        <f>'数据-取费表'!B31</f>
        <v>120</v>
      </c>
      <c r="F19" s="126"/>
      <c r="G19" s="1338"/>
    </row>
    <row r="20" spans="1:7" s="109" customFormat="1" ht="13.5" customHeight="1">
      <c r="A20" s="150" t="s">
        <v>1510</v>
      </c>
      <c r="B20" s="105" t="s">
        <v>1511</v>
      </c>
      <c r="C20" s="127">
        <f ca="1">ROUND((C5+C19)*F20,0)</f>
        <v>623701</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1341346</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1318023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3801</v>
      </c>
      <c r="D24" s="133"/>
      <c r="E24" s="133"/>
      <c r="F24" s="134"/>
      <c r="G24" s="135" t="s">
        <v>1522</v>
      </c>
    </row>
    <row r="25" spans="1:7" s="109" customFormat="1" ht="24">
      <c r="A25" s="513" t="s">
        <v>1445</v>
      </c>
      <c r="B25" s="110" t="s">
        <v>1523</v>
      </c>
      <c r="C25" s="133">
        <f ca="1">ROUND(IF('数据-取费表'!B22&lt;=1,C20*F22*'数据-取费表'!B22/2,C20*(POWER((1+F22),'数据-取费表'!B22/2)-1)),0)</f>
        <v>19522</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3212062</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3212062</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26611143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2345666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2042743</v>
      </c>
      <c r="D34" s="112"/>
      <c r="E34" s="115"/>
      <c r="F34" s="152"/>
      <c r="G34" s="114"/>
    </row>
    <row r="35" spans="1:7" ht="13.5" customHeight="1">
      <c r="A35" s="513" t="s">
        <v>349</v>
      </c>
      <c r="B35" s="110" t="s">
        <v>1468</v>
      </c>
      <c r="C35" s="115">
        <f ca="1">ROUND(C34*F35,0)</f>
        <v>142992</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139504</v>
      </c>
      <c r="D37" s="112">
        <f ca="1">D19</f>
        <v>498.23</v>
      </c>
      <c r="E37" s="144">
        <f>'数据-取费表'!B35</f>
        <v>280</v>
      </c>
      <c r="F37" s="154"/>
      <c r="G37" s="156"/>
    </row>
    <row r="38" spans="1:7" ht="13.5" customHeight="1">
      <c r="A38" s="513" t="s">
        <v>352</v>
      </c>
      <c r="B38" s="110" t="s">
        <v>1473</v>
      </c>
      <c r="C38" s="115">
        <f ca="1">ROUND(C34*F38,0)</f>
        <v>20427</v>
      </c>
      <c r="D38" s="115"/>
      <c r="E38" s="115"/>
      <c r="F38" s="154">
        <f>'数据-取费表'!B36</f>
        <v>0.01</v>
      </c>
      <c r="G38" s="114" t="s">
        <v>1469</v>
      </c>
    </row>
    <row r="39" spans="1:7" s="109" customFormat="1" ht="13.5" customHeight="1">
      <c r="A39" s="150" t="s">
        <v>1474</v>
      </c>
      <c r="B39" s="105" t="s">
        <v>1475</v>
      </c>
      <c r="C39" s="127">
        <f ca="1">ROUND(C33*F20,0)</f>
        <v>70370</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75622</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73419</v>
      </c>
      <c r="D42" s="133"/>
      <c r="E42" s="133"/>
      <c r="F42" s="134"/>
      <c r="G42" s="4479" t="s">
        <v>1527</v>
      </c>
    </row>
    <row r="43" spans="1:7" ht="13.5" customHeight="1">
      <c r="A43" s="513" t="s">
        <v>345</v>
      </c>
      <c r="B43" s="110" t="s">
        <v>1484</v>
      </c>
      <c r="C43" s="133">
        <f ca="1">ROUND(IF('数据-取费表'!B22&lt;=1,C39*F22*'数据-取费表'!B20/2,C39*(POWER((1+F22),'数据-取费表'!B20/2)-1)),0)</f>
        <v>2203</v>
      </c>
      <c r="D43" s="133"/>
      <c r="E43" s="133"/>
      <c r="F43" s="134"/>
      <c r="G43" s="4481"/>
    </row>
    <row r="44" spans="1:7" ht="13.5" customHeight="1">
      <c r="A44" s="513" t="s">
        <v>346</v>
      </c>
      <c r="B44" s="110" t="s">
        <v>1485</v>
      </c>
      <c r="C44" s="133">
        <f ca="1">ROUND(IF('数据-取费表'!B22&lt;=1,C40*F22*'数据-取费表'!B20/2,C40*(POWER((1+F22),'数据-取费表'!B20/2)-1)),4)</f>
        <v>5.9999999999999995E-4</v>
      </c>
      <c r="D44" s="133"/>
      <c r="E44" s="133"/>
      <c r="F44" s="134"/>
      <c r="G44" s="4480"/>
    </row>
    <row r="45" spans="1:7" s="109" customFormat="1" ht="13.5" customHeight="1">
      <c r="A45" s="150" t="s">
        <v>1486</v>
      </c>
      <c r="B45" s="139" t="s">
        <v>1456</v>
      </c>
      <c r="C45" s="140">
        <f ca="1">C46</f>
        <v>362405</v>
      </c>
      <c r="D45" s="130">
        <f ca="1">C47</f>
        <v>3.0000000000000001E-3</v>
      </c>
      <c r="E45" s="131" t="s">
        <v>1479</v>
      </c>
      <c r="F45" s="141">
        <f ca="1">F27</f>
        <v>0.15</v>
      </c>
      <c r="G45" s="142" t="s">
        <v>1487</v>
      </c>
    </row>
    <row r="46" spans="1:7" s="109" customFormat="1" ht="13.5" customHeight="1">
      <c r="A46" s="513" t="s">
        <v>344</v>
      </c>
      <c r="B46" s="143" t="s">
        <v>1488</v>
      </c>
      <c r="C46" s="144">
        <f ca="1">ROUND((C33+C39)*F27,0)</f>
        <v>362405</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2924844</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2427621</v>
      </c>
      <c r="D51" s="127"/>
      <c r="E51" s="127"/>
      <c r="F51" s="159"/>
      <c r="G51" s="129" t="s">
        <v>1496</v>
      </c>
    </row>
    <row r="52" spans="1:7" s="103" customFormat="1" ht="16.5" thickBot="1">
      <c r="A52" s="160" t="s">
        <v>1497</v>
      </c>
      <c r="B52" s="161"/>
      <c r="C52" s="162">
        <f ca="1">C31+C51</f>
        <v>29038764</v>
      </c>
      <c r="D52" s="161"/>
      <c r="E52" s="161"/>
      <c r="F52" s="161"/>
      <c r="G52" s="163"/>
    </row>
    <row r="55" spans="1:7" ht="15">
      <c r="B55" s="165" t="s">
        <v>1498</v>
      </c>
      <c r="C55" s="166"/>
    </row>
    <row r="56" spans="1:7">
      <c r="B56" s="168" t="s">
        <v>787</v>
      </c>
      <c r="C56" s="170">
        <f ca="1">1-C57</f>
        <v>0.91600000000000004</v>
      </c>
    </row>
    <row r="57" spans="1:7">
      <c r="B57" s="168" t="s">
        <v>788</v>
      </c>
      <c r="C57" s="169">
        <f ca="1">ROUND(C51/C52,3)</f>
        <v>8.4000000000000005E-2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1"/>
      <c r="D1" s="914" t="s">
        <v>41</v>
      </c>
      <c r="E1" s="915" t="s">
        <v>665</v>
      </c>
      <c r="F1" s="3411">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t="e">
        <f ca="1">IF(D2="含税",ROUND((C28+J31+L55)*(1+F31),0),C28+J31+L55)</f>
        <v>#DIV/0!</v>
      </c>
      <c r="C2" s="932" t="s">
        <v>790</v>
      </c>
      <c r="D2" s="3322"/>
      <c r="E2" s="937"/>
      <c r="F2" s="938"/>
      <c r="G2" s="1965"/>
      <c r="H2" s="1955"/>
      <c r="I2" s="1955"/>
      <c r="J2" s="1955"/>
      <c r="K2" s="1956"/>
      <c r="L2" s="1955"/>
      <c r="M2" s="1955"/>
    </row>
    <row r="3" spans="1:37" ht="18" customHeight="1" thickBot="1">
      <c r="A3" s="939" t="s">
        <v>791</v>
      </c>
      <c r="B3" s="2753">
        <f ca="1">IF(ISERROR(B2*10000/F32),0,ROUND(B2*10000/F32,0))</f>
        <v>0</v>
      </c>
      <c r="C3" s="932" t="s">
        <v>792</v>
      </c>
      <c r="D3" s="932"/>
      <c r="E3" s="937"/>
      <c r="F3" s="938"/>
      <c r="G3" s="1965"/>
      <c r="H3" s="467" t="s">
        <v>860</v>
      </c>
      <c r="I3" s="933"/>
      <c r="J3" s="933"/>
      <c r="K3" s="934"/>
      <c r="L3" s="933"/>
      <c r="M3" s="933"/>
    </row>
    <row r="4" spans="1:37" s="118" customFormat="1" ht="18" customHeight="1">
      <c r="A4" s="2722" t="s">
        <v>3877</v>
      </c>
      <c r="B4" s="2723" t="s">
        <v>3878</v>
      </c>
      <c r="C4" s="3568" t="s">
        <v>3816</v>
      </c>
      <c r="D4" s="2723" t="s">
        <v>3879</v>
      </c>
      <c r="E4" s="3998" t="s">
        <v>3880</v>
      </c>
      <c r="F4" s="3999"/>
      <c r="G4" s="4000"/>
      <c r="H4" s="2722" t="s">
        <v>3877</v>
      </c>
      <c r="I4" s="2723" t="s">
        <v>3878</v>
      </c>
      <c r="J4" s="3568" t="s">
        <v>3816</v>
      </c>
      <c r="K4" s="2723" t="s">
        <v>3879</v>
      </c>
      <c r="L4" s="3998" t="s">
        <v>3880</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3403</v>
      </c>
      <c r="C5" s="4092">
        <f ca="1">ROUND(C6+C10+C12,0)</f>
        <v>0</v>
      </c>
      <c r="D5" s="4001" t="s">
        <v>3883</v>
      </c>
      <c r="E5" s="4002"/>
      <c r="F5" s="4003"/>
      <c r="G5" s="4000"/>
      <c r="H5" s="183">
        <v>1</v>
      </c>
      <c r="I5" s="3912" t="s">
        <v>3403</v>
      </c>
      <c r="J5" s="4092">
        <f ca="1">ROUND(J6+J10+J12,0)</f>
        <v>0</v>
      </c>
      <c r="K5" s="4001" t="s">
        <v>3883</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3794</v>
      </c>
      <c r="C6" s="3854">
        <f ca="1">C7-C9</f>
        <v>0</v>
      </c>
      <c r="D6" s="2714" t="s">
        <v>3798</v>
      </c>
      <c r="E6" s="2712" t="s">
        <v>3401</v>
      </c>
      <c r="F6" s="3027">
        <f ca="1">INDIRECT("'数据-取费表'!u"&amp;$G$1)</f>
        <v>0</v>
      </c>
      <c r="G6" s="935"/>
      <c r="H6" s="707" t="s">
        <v>392</v>
      </c>
      <c r="I6" s="2713" t="s">
        <v>3794</v>
      </c>
      <c r="J6" s="4086">
        <f ca="1">J7-J9</f>
        <v>0</v>
      </c>
      <c r="K6" s="2714" t="s">
        <v>3798</v>
      </c>
      <c r="L6" s="2712" t="s">
        <v>3401</v>
      </c>
      <c r="M6" s="3027">
        <f ca="1">INDIRECT("'数据-取费表'!z"&amp;$G$1)</f>
        <v>0</v>
      </c>
    </row>
    <row r="7" spans="1:37" ht="18" customHeight="1">
      <c r="A7" s="4491" t="s">
        <v>391</v>
      </c>
      <c r="B7" s="4484" t="s">
        <v>3792</v>
      </c>
      <c r="C7" s="4486">
        <f ca="1">ROUND(F6*F7*F8/10000,2)</f>
        <v>0</v>
      </c>
      <c r="D7" s="4487" t="s">
        <v>3472</v>
      </c>
      <c r="E7" s="714" t="s">
        <v>682</v>
      </c>
      <c r="F7" s="2760">
        <f ca="1">IF(INDIRECT("'数据-取费表'!ah"&amp;$G$1)="",INDIRECT("'数据-取费表'!k"&amp;$G$1),INDIRECT("'数据-取费表'!ah"&amp;$G$1))</f>
        <v>0</v>
      </c>
      <c r="G7" s="935"/>
      <c r="H7" s="4491" t="s">
        <v>391</v>
      </c>
      <c r="I7" s="4484" t="s">
        <v>3792</v>
      </c>
      <c r="J7" s="4493">
        <f ca="1">ROUND(M6*M8*M7/10000,2)</f>
        <v>0</v>
      </c>
      <c r="K7" s="4487" t="s">
        <v>3472</v>
      </c>
      <c r="L7" s="186" t="s">
        <v>682</v>
      </c>
      <c r="M7" s="2760">
        <f ca="1">F7</f>
        <v>0</v>
      </c>
    </row>
    <row r="8" spans="1:37" ht="18" customHeight="1">
      <c r="A8" s="4492"/>
      <c r="B8" s="4485"/>
      <c r="C8" s="4486"/>
      <c r="D8" s="4487"/>
      <c r="E8" s="186" t="str">
        <f ca="1">IF(F8=1,"年",IF(F8=12,"月","天"))</f>
        <v>天</v>
      </c>
      <c r="F8" s="3412">
        <f ca="1">INDIRECT("'数据-取费表'!ai"&amp;$G$1)</f>
        <v>0</v>
      </c>
      <c r="G8" s="935"/>
      <c r="H8" s="4492"/>
      <c r="I8" s="4485"/>
      <c r="J8" s="4493"/>
      <c r="K8" s="4487"/>
      <c r="L8" s="186" t="str">
        <f ca="1">IF(M8=1,"年",IF(M8=12,"月","天"))</f>
        <v>天</v>
      </c>
      <c r="M8" s="3412">
        <f ca="1">INDIRECT("'数据-取费表'!ai"&amp;$G$1)</f>
        <v>0</v>
      </c>
    </row>
    <row r="9" spans="1:37" ht="18" customHeight="1">
      <c r="A9" s="2699" t="s">
        <v>3402</v>
      </c>
      <c r="B9" s="4085" t="s">
        <v>3793</v>
      </c>
      <c r="C9" s="4084">
        <f ca="1">ROUND(C7*F9,2)</f>
        <v>0</v>
      </c>
      <c r="D9" s="2714" t="s">
        <v>3797</v>
      </c>
      <c r="E9" s="186" t="s">
        <v>684</v>
      </c>
      <c r="F9" s="2766">
        <f ca="1">INDIRECT("'数据-取费表'!w"&amp;$G$1)</f>
        <v>0</v>
      </c>
      <c r="G9" s="935"/>
      <c r="H9" s="2699" t="s">
        <v>3402</v>
      </c>
      <c r="I9" s="4085" t="s">
        <v>3793</v>
      </c>
      <c r="J9" s="4086">
        <f ca="1">ROUND(J7*M9,2)</f>
        <v>0</v>
      </c>
      <c r="K9" s="2714" t="s">
        <v>3797</v>
      </c>
      <c r="L9" s="197" t="s">
        <v>684</v>
      </c>
      <c r="M9" s="2828">
        <f ca="1">INDIRECT("'数据-取费表'!ab"&amp;$G$1)</f>
        <v>0</v>
      </c>
    </row>
    <row r="10" spans="1:37" ht="18" customHeight="1">
      <c r="A10" s="707" t="s">
        <v>396</v>
      </c>
      <c r="B10" s="917" t="s">
        <v>685</v>
      </c>
      <c r="C10" s="4086">
        <f ca="1">ROUND(IF(F10="押一",C6/12*F11,IF(F10="押二",C6/12*2*F11,IF(F10="押三",C6/12*3*F11,C11*F11))),2)</f>
        <v>0</v>
      </c>
      <c r="D10" s="59" t="s">
        <v>2021</v>
      </c>
      <c r="E10" s="197" t="s">
        <v>686</v>
      </c>
      <c r="F10" s="2762"/>
      <c r="G10" s="935"/>
      <c r="H10" s="707" t="s">
        <v>396</v>
      </c>
      <c r="I10" s="917" t="s">
        <v>685</v>
      </c>
      <c r="J10" s="4087">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3677</v>
      </c>
      <c r="B13" s="717" t="s">
        <v>3884</v>
      </c>
      <c r="C13" s="3852">
        <f ca="1">ROUND(C14+C22+C24+C26,0)</f>
        <v>0</v>
      </c>
      <c r="D13" s="4004" t="s">
        <v>3885</v>
      </c>
      <c r="E13" s="4005"/>
      <c r="F13" s="4003"/>
      <c r="G13" s="4000"/>
      <c r="H13" s="716" t="s">
        <v>3677</v>
      </c>
      <c r="I13" s="717" t="s">
        <v>3884</v>
      </c>
      <c r="J13" s="3852">
        <f ca="1">ROUND(J14+J22+J24+J26,0)</f>
        <v>0</v>
      </c>
      <c r="K13" s="4006" t="s">
        <v>3886</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3968</v>
      </c>
      <c r="C14" s="4086">
        <f ca="1">ROUND(IF(AND(项目基本情况!B11="自然人",项目基本情况!B10="北京市",M56="住宅"),C6*F14,C15+C19+C20),2)</f>
        <v>0</v>
      </c>
      <c r="D14" s="900" t="s">
        <v>3446</v>
      </c>
      <c r="E14" s="900" t="str">
        <f>IF(M56="非住宅","","综合税率")</f>
        <v/>
      </c>
      <c r="F14" s="3836" t="str">
        <f>IF(M56="非住宅","",IF(F6*F7*F8/12/(1+'数据-取费表'!F30)&gt;100000,4%,2.5%))</f>
        <v/>
      </c>
      <c r="G14" s="935"/>
      <c r="H14" s="658" t="s">
        <v>392</v>
      </c>
      <c r="I14" s="2712" t="s">
        <v>3968</v>
      </c>
      <c r="J14" s="4086">
        <f ca="1">ROUND(IF(AND(项目基本情况!B11="自然人",项目基本情况!B10="北京市",M56="住宅"),J6*M14/(1+'数据-取费表'!C43),J15+J19+J20),2)</f>
        <v>0</v>
      </c>
      <c r="K14" s="2739" t="s">
        <v>3445</v>
      </c>
      <c r="L14" s="900" t="str">
        <f>E14</f>
        <v/>
      </c>
      <c r="M14" s="3836" t="str">
        <f>IF(M56="非住宅","",IF(M6*M7*M8/12/(1+'数据-取费表'!F30)&gt;100000,4%,2.5%))</f>
        <v/>
      </c>
    </row>
    <row r="15" spans="1:37" s="946" customFormat="1" ht="18" customHeight="1">
      <c r="A15" s="2699" t="s">
        <v>3404</v>
      </c>
      <c r="B15" s="2712" t="s">
        <v>3964</v>
      </c>
      <c r="C15" s="4086">
        <f ca="1">C18</f>
        <v>0</v>
      </c>
      <c r="D15" s="2429" t="s">
        <v>3973</v>
      </c>
      <c r="E15" s="4089"/>
      <c r="F15" s="4121"/>
      <c r="G15" s="945"/>
      <c r="H15" s="2699" t="s">
        <v>391</v>
      </c>
      <c r="I15" s="2712" t="s">
        <v>3964</v>
      </c>
      <c r="J15" s="4086">
        <f ca="1">J18</f>
        <v>0</v>
      </c>
      <c r="K15" s="2429" t="s">
        <v>3963</v>
      </c>
      <c r="L15" s="4089"/>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719">
        <f ca="1">ROUND(C6*F16,2)</f>
        <v>0</v>
      </c>
      <c r="D16" s="994" t="s">
        <v>3855</v>
      </c>
      <c r="E16" s="2720" t="s">
        <v>3407</v>
      </c>
      <c r="F16" s="2764">
        <v>0.09</v>
      </c>
      <c r="G16" s="935"/>
      <c r="H16" s="2504" t="s">
        <v>3289</v>
      </c>
      <c r="I16" s="2716" t="s">
        <v>3405</v>
      </c>
      <c r="J16" s="2719">
        <f ca="1">ROUND(J6*M16,2)</f>
        <v>0</v>
      </c>
      <c r="K16" s="3978" t="s">
        <v>3861</v>
      </c>
      <c r="L16" s="2720" t="s">
        <v>3407</v>
      </c>
      <c r="M16" s="2764">
        <v>0.09</v>
      </c>
    </row>
    <row r="17" spans="1:37" s="946" customFormat="1" ht="18" customHeight="1">
      <c r="A17" s="2504" t="s">
        <v>3290</v>
      </c>
      <c r="B17" s="2716" t="s">
        <v>3406</v>
      </c>
      <c r="C17" s="2740">
        <f ca="1">ROUND(C22*F16+((C24+C26)*F17),2)</f>
        <v>0</v>
      </c>
      <c r="D17" s="3977" t="s">
        <v>3856</v>
      </c>
      <c r="E17" s="2721"/>
      <c r="F17" s="2764">
        <v>0.06</v>
      </c>
      <c r="G17" s="945"/>
      <c r="H17" s="2504" t="s">
        <v>3290</v>
      </c>
      <c r="I17" s="2716" t="s">
        <v>3406</v>
      </c>
      <c r="J17" s="2740">
        <f ca="1">ROUND(J22*M16+((J24+J26)*M17),2)</f>
        <v>0</v>
      </c>
      <c r="K17" s="3977" t="s">
        <v>3856</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3961</v>
      </c>
      <c r="B18" s="2716" t="s">
        <v>3982</v>
      </c>
      <c r="C18" s="2740">
        <f ca="1">ROUND((C16-C17)*F18,2)</f>
        <v>0</v>
      </c>
      <c r="D18" s="2739" t="s">
        <v>3983</v>
      </c>
      <c r="E18" s="186" t="s">
        <v>3984</v>
      </c>
      <c r="F18" s="2764">
        <f>'数据-取费表'!B44</f>
        <v>0.12000000000000001</v>
      </c>
      <c r="G18" s="945"/>
      <c r="H18" s="2504" t="s">
        <v>3961</v>
      </c>
      <c r="I18" s="2716" t="s">
        <v>3960</v>
      </c>
      <c r="J18" s="2740">
        <f ca="1">ROUND((J16-J17)*M18,2)</f>
        <v>0</v>
      </c>
      <c r="K18" s="2739" t="s">
        <v>3983</v>
      </c>
      <c r="L18" s="186" t="s">
        <v>3984</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3969</v>
      </c>
      <c r="C19" s="4086">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5"/>
      <c r="H19" s="2699" t="s">
        <v>393</v>
      </c>
      <c r="I19" s="2712" t="s">
        <v>3970</v>
      </c>
      <c r="J19" s="4086">
        <f ca="1">IF(K19="按不含税租金收入（有效毛租金收入）计税",ROUND(J6*M19,2),ROUND(C51*M19*0.7,2))</f>
        <v>0</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3966</v>
      </c>
      <c r="C20" s="4087">
        <f ca="1">IF(AND(项目基本情况!B11="自然人",M56="住宅"),"——",ROUND(F20*F21/10000,2))</f>
        <v>0</v>
      </c>
      <c r="D20" s="207" t="s">
        <v>716</v>
      </c>
      <c r="E20" s="186" t="s">
        <v>717</v>
      </c>
      <c r="F20" s="2765">
        <f>'数据-取费表'!B53</f>
        <v>0</v>
      </c>
      <c r="G20" s="935"/>
      <c r="H20" s="4090" t="s">
        <v>666</v>
      </c>
      <c r="I20" s="927" t="s">
        <v>3966</v>
      </c>
      <c r="J20" s="4087">
        <f ca="1">ROUND(M20*M21/10000,2)</f>
        <v>0</v>
      </c>
      <c r="K20" s="207" t="s">
        <v>716</v>
      </c>
      <c r="L20" s="186" t="s">
        <v>717</v>
      </c>
      <c r="M20" s="2765">
        <f>'数据-取费表'!B53</f>
        <v>0</v>
      </c>
    </row>
    <row r="21" spans="1:37" s="946" customFormat="1" ht="18" customHeight="1">
      <c r="A21" s="209"/>
      <c r="B21" s="738"/>
      <c r="C21" s="4088"/>
      <c r="D21" s="210"/>
      <c r="E21" s="186" t="s">
        <v>721</v>
      </c>
      <c r="F21" s="2760">
        <f ca="1">INDIRECT("'数据-取费表'!r"&amp;$G$1)</f>
        <v>0</v>
      </c>
      <c r="G21" s="945"/>
      <c r="H21" s="209"/>
      <c r="I21" s="195"/>
      <c r="J21" s="4088"/>
      <c r="K21" s="210"/>
      <c r="L21" s="186" t="s">
        <v>721</v>
      </c>
      <c r="M21" s="276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0</v>
      </c>
      <c r="D22" s="1775" t="s">
        <v>3817</v>
      </c>
      <c r="E22" s="186" t="s">
        <v>697</v>
      </c>
      <c r="F22" s="2766">
        <f ca="1">INDIRECT("'数据-取费表'!Ak"&amp;$G$1)</f>
        <v>0</v>
      </c>
      <c r="G22" s="945"/>
      <c r="H22" s="3858" t="s">
        <v>396</v>
      </c>
      <c r="I22" s="56" t="s">
        <v>723</v>
      </c>
      <c r="J22" s="3859">
        <f ca="1">ROUND(J35*M22,2)</f>
        <v>0</v>
      </c>
      <c r="K22" s="1775" t="s">
        <v>724</v>
      </c>
      <c r="L22" s="186" t="s">
        <v>697</v>
      </c>
      <c r="M22" s="2766">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2" t="s">
        <v>3818</v>
      </c>
      <c r="F23" s="3412">
        <f ca="1">C51</f>
        <v>0</v>
      </c>
      <c r="G23" s="945"/>
      <c r="H23" s="209"/>
      <c r="I23" s="195"/>
      <c r="J23" s="3860"/>
      <c r="K23" s="3925"/>
      <c r="L23" s="2712" t="s">
        <v>3818</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v>
      </c>
      <c r="D24" s="1775" t="s">
        <v>3443</v>
      </c>
      <c r="E24" s="186" t="s">
        <v>729</v>
      </c>
      <c r="F24" s="2766">
        <f ca="1">INDIRECT("'数据-取费表'!Al"&amp;$G$1)</f>
        <v>0</v>
      </c>
      <c r="G24" s="935"/>
      <c r="H24" s="3858" t="s">
        <v>431</v>
      </c>
      <c r="I24" s="56" t="s">
        <v>727</v>
      </c>
      <c r="J24" s="3859">
        <f ca="1">ROUND(J37*M24,2)</f>
        <v>0</v>
      </c>
      <c r="K24" s="1775" t="s">
        <v>3821</v>
      </c>
      <c r="L24" s="186" t="s">
        <v>729</v>
      </c>
      <c r="M24" s="2766">
        <f ca="1">INDIRECT("'数据-取费表'!Al"&amp;$G$1)</f>
        <v>0</v>
      </c>
    </row>
    <row r="25" spans="1:37" ht="18" customHeight="1">
      <c r="A25" s="209"/>
      <c r="B25" s="195"/>
      <c r="C25" s="3860"/>
      <c r="D25" s="3925"/>
      <c r="E25" s="3924" t="s">
        <v>3819</v>
      </c>
      <c r="F25" s="3412">
        <f ca="1">C53</f>
        <v>0</v>
      </c>
      <c r="G25" s="935"/>
      <c r="H25" s="209"/>
      <c r="I25" s="195"/>
      <c r="J25" s="3860"/>
      <c r="K25" s="3925"/>
      <c r="L25" s="3924" t="s">
        <v>3819</v>
      </c>
      <c r="M25" s="3412">
        <f ca="1">J37</f>
        <v>0</v>
      </c>
    </row>
    <row r="26" spans="1:37" s="946" customFormat="1" ht="18" customHeight="1" thickBot="1">
      <c r="A26" s="726" t="s">
        <v>670</v>
      </c>
      <c r="B26" s="727" t="s">
        <v>713</v>
      </c>
      <c r="C26" s="2718">
        <f ca="1">ROUND(C5*F26,2)</f>
        <v>0</v>
      </c>
      <c r="D26" s="729" t="s">
        <v>3862</v>
      </c>
      <c r="E26" s="727" t="s">
        <v>729</v>
      </c>
      <c r="F26" s="2829">
        <f ca="1">INDIRECT("'数据-取费表'!Am"&amp;$G$1)</f>
        <v>0</v>
      </c>
      <c r="G26" s="945"/>
      <c r="H26" s="726" t="s">
        <v>670</v>
      </c>
      <c r="I26" s="727" t="s">
        <v>713</v>
      </c>
      <c r="J26" s="2718">
        <f ca="1">ROUND(J5*M26,2)</f>
        <v>0</v>
      </c>
      <c r="K26" s="729" t="s">
        <v>3864</v>
      </c>
      <c r="L26" s="727" t="s">
        <v>729</v>
      </c>
      <c r="M26" s="2829">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52">
        <f ca="1">C5-C13</f>
        <v>0</v>
      </c>
      <c r="D27" s="4008" t="s">
        <v>3888</v>
      </c>
      <c r="E27" s="4009"/>
      <c r="F27" s="4010"/>
      <c r="G27" s="498"/>
      <c r="H27" s="716" t="s">
        <v>3301</v>
      </c>
      <c r="I27" s="731" t="s">
        <v>3887</v>
      </c>
      <c r="J27" s="3852">
        <f ca="1">J5-J13</f>
        <v>0</v>
      </c>
      <c r="K27" s="4008" t="s">
        <v>3888</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7">
        <f ca="1">IF(C5&lt;&gt;0,ROUND(C27*(1-((1+F30)/(1+F28))^F29)/(F28-F30),0),0)</f>
        <v>0</v>
      </c>
      <c r="D28" s="4012" t="s">
        <v>3890</v>
      </c>
      <c r="E28" s="2724" t="s">
        <v>3891</v>
      </c>
      <c r="F28" s="2766">
        <f ca="1">INDIRECT("'数据-取费表'!I"&amp;$G$1)</f>
        <v>0</v>
      </c>
      <c r="G28" s="4000"/>
      <c r="H28" s="183" t="s">
        <v>3679</v>
      </c>
      <c r="I28" s="184" t="s">
        <v>3892</v>
      </c>
      <c r="J28" s="3927">
        <f ca="1">IF(J5&lt;&gt;0,ROUND(J27*(1-((1+M30)/(1+M28))^M29)/(M28-M30),0),0)</f>
        <v>0</v>
      </c>
      <c r="K28" s="4012" t="s">
        <v>3890</v>
      </c>
      <c r="L28" s="4013" t="s">
        <v>3891</v>
      </c>
      <c r="M28" s="2828">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3893</v>
      </c>
      <c r="E29" s="2724" t="s">
        <v>3894</v>
      </c>
      <c r="F29" s="2767">
        <f ca="1">IF(INDIRECT("'数据-取费表'!af"&amp;$G$1)=0,INDIRECT("'数据-取费表'!ae"&amp;$G$1),INDIRECT("'数据-取费表'!af"&amp;$G$1))</f>
        <v>0</v>
      </c>
      <c r="G29" s="4000"/>
      <c r="H29" s="188"/>
      <c r="I29" s="189"/>
      <c r="J29" s="3928"/>
      <c r="K29" s="64" t="s">
        <v>3895</v>
      </c>
      <c r="L29" s="2724" t="s">
        <v>3894</v>
      </c>
      <c r="M29" s="2767">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3896</v>
      </c>
      <c r="F30" s="2766">
        <f ca="1">INDIRECT("'数据-取费表'!v"&amp;$G$1)</f>
        <v>0</v>
      </c>
      <c r="G30" s="4000"/>
      <c r="H30" s="192"/>
      <c r="I30" s="193"/>
      <c r="J30" s="3929"/>
      <c r="K30" s="64"/>
      <c r="L30" s="2724" t="s">
        <v>3896</v>
      </c>
      <c r="M30" s="2766">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3897</v>
      </c>
      <c r="C31" s="3837">
        <f ca="1">ROUND(C28*(1+F31),0)</f>
        <v>0</v>
      </c>
      <c r="D31" s="4015" t="s">
        <v>3683</v>
      </c>
      <c r="E31" s="4016" t="str">
        <f>IF(D31="其他类型公式—收益价值×（1+9%）","销项税率","征收率")</f>
        <v>销项税率</v>
      </c>
      <c r="F31" s="2766">
        <f>IF(D31="其他类型公式—收益价值×（1+9%）",9%,3%)</f>
        <v>0.09</v>
      </c>
      <c r="G31" s="498"/>
      <c r="H31" s="199" t="s">
        <v>3680</v>
      </c>
      <c r="I31" s="2724" t="s">
        <v>3898</v>
      </c>
      <c r="J31" s="2742">
        <f ca="1">ROUND(J28/(1+F28)^F29,0)</f>
        <v>0</v>
      </c>
      <c r="K31" s="3921" t="s">
        <v>3811</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ROUND(C31*10000/F32,0)</f>
        <v>#DIV/0!</v>
      </c>
      <c r="D32" s="4017" t="s">
        <v>3899</v>
      </c>
      <c r="E32" s="217" t="s">
        <v>3900</v>
      </c>
      <c r="F32" s="2768">
        <f ca="1">INDIRECT("'数据-取费表'!k"&amp;$G$1)</f>
        <v>0</v>
      </c>
      <c r="G32" s="498"/>
      <c r="H32" s="3830" t="s">
        <v>3681</v>
      </c>
      <c r="I32" s="3831" t="s">
        <v>3901</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3877</v>
      </c>
      <c r="B34" s="3994" t="s">
        <v>3878</v>
      </c>
      <c r="C34" s="3995" t="s">
        <v>3816</v>
      </c>
      <c r="D34" s="3994" t="s">
        <v>3879</v>
      </c>
      <c r="E34" s="3996" t="s">
        <v>3880</v>
      </c>
      <c r="F34" s="3997"/>
      <c r="G34" s="4000"/>
      <c r="H34" s="3993" t="s">
        <v>3877</v>
      </c>
      <c r="I34" s="3994" t="s">
        <v>3878</v>
      </c>
      <c r="J34" s="3995" t="s">
        <v>3816</v>
      </c>
      <c r="K34" s="3994" t="s">
        <v>3879</v>
      </c>
      <c r="L34" s="3996" t="s">
        <v>3880</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3408</v>
      </c>
      <c r="B35" s="2724" t="s">
        <v>3409</v>
      </c>
      <c r="C35" s="2742">
        <f ca="1">SUM(C36:C41)</f>
        <v>0</v>
      </c>
      <c r="D35" s="3921" t="s">
        <v>3416</v>
      </c>
      <c r="E35" s="994"/>
      <c r="F35" s="3276"/>
      <c r="G35" s="935"/>
      <c r="H35" s="3922" t="s">
        <v>3408</v>
      </c>
      <c r="I35" s="3923" t="s">
        <v>3448</v>
      </c>
      <c r="J35" s="2701">
        <f ca="1">C51</f>
        <v>0</v>
      </c>
      <c r="K35" s="2738" t="s">
        <v>3444</v>
      </c>
      <c r="L35" s="55"/>
      <c r="M35" s="2679"/>
    </row>
    <row r="36" spans="1:37" ht="18" customHeight="1">
      <c r="A36" s="2699" t="s">
        <v>3404</v>
      </c>
      <c r="B36" s="2664" t="s">
        <v>692</v>
      </c>
      <c r="C36" s="2609">
        <f ca="1">INDIRECT("'数据-取费表'!m"&amp;$G$1)+INDIRECT("'数据-取费表'!t"&amp;$G$1)</f>
        <v>0</v>
      </c>
      <c r="D36" s="899" t="s">
        <v>693</v>
      </c>
      <c r="E36" s="899"/>
      <c r="F36" s="215"/>
      <c r="G36" s="935"/>
      <c r="H36" s="2746" t="s">
        <v>3449</v>
      </c>
      <c r="I36" s="2751" t="s">
        <v>3436</v>
      </c>
      <c r="J36" s="2649">
        <f ca="1">ROUND(J35*(1-M36),0)</f>
        <v>0</v>
      </c>
      <c r="K36" s="186" t="s">
        <v>3439</v>
      </c>
      <c r="L36" s="2714" t="s">
        <v>3451</v>
      </c>
      <c r="M36" s="2766">
        <f ca="1">INDIRECT("'数据-取费表'!ad"&amp;$G$1)</f>
        <v>0</v>
      </c>
    </row>
    <row r="37" spans="1:37" ht="18" customHeight="1" thickBot="1">
      <c r="A37" s="2699" t="s">
        <v>3410</v>
      </c>
      <c r="B37" s="2716" t="s">
        <v>3863</v>
      </c>
      <c r="C37" s="2701">
        <f ca="1">ROUND(C36*F37,0)</f>
        <v>0</v>
      </c>
      <c r="D37" s="186" t="s">
        <v>696</v>
      </c>
      <c r="E37" s="186" t="s">
        <v>697</v>
      </c>
      <c r="F37" s="2764">
        <f>'数据-取费表'!B33</f>
        <v>7.0000000000000007E-2</v>
      </c>
      <c r="G37" s="935"/>
      <c r="H37" s="2747" t="s">
        <v>3450</v>
      </c>
      <c r="I37" s="3926" t="s">
        <v>3820</v>
      </c>
      <c r="J37" s="2753">
        <f ca="1">J35-J36</f>
        <v>0</v>
      </c>
      <c r="K37" s="2733" t="s">
        <v>3473</v>
      </c>
      <c r="L37" s="219"/>
      <c r="M37" s="2754"/>
    </row>
    <row r="38" spans="1:37" ht="18" customHeight="1">
      <c r="A38" s="2699" t="s">
        <v>3411</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ROUND(F39*(F32+INDIRECT("'数据-取费表'!S"&amp;$G$1))/10000,0)</f>
        <v>0</v>
      </c>
      <c r="D39" s="186" t="s">
        <v>702</v>
      </c>
      <c r="E39" s="186" t="s">
        <v>3813</v>
      </c>
      <c r="F39" s="2765">
        <f>'数据-取费表'!B35</f>
        <v>280</v>
      </c>
      <c r="G39" s="935"/>
    </row>
    <row r="40" spans="1:37" ht="18" customHeight="1">
      <c r="A40" s="2699" t="s">
        <v>3413</v>
      </c>
      <c r="B40" s="2716" t="s">
        <v>3414</v>
      </c>
      <c r="C40" s="2701">
        <f ca="1">ROUND(C36*F40,0)</f>
        <v>0</v>
      </c>
      <c r="D40" s="186" t="s">
        <v>696</v>
      </c>
      <c r="E40" s="186" t="s">
        <v>697</v>
      </c>
      <c r="F40" s="2764">
        <f>'数据-取费表'!B36</f>
        <v>0.01</v>
      </c>
      <c r="G40" s="935"/>
      <c r="H40" s="47"/>
      <c r="I40" s="47"/>
      <c r="J40" s="47"/>
      <c r="K40" s="1860"/>
      <c r="L40" s="47"/>
      <c r="M40" s="47"/>
    </row>
    <row r="41" spans="1:37" ht="18" customHeight="1">
      <c r="A41" s="2699" t="s">
        <v>3413</v>
      </c>
      <c r="B41" s="2716" t="s">
        <v>3415</v>
      </c>
      <c r="C41" s="2701">
        <f ca="1">ROUND(C36*F41,0)</f>
        <v>0</v>
      </c>
      <c r="D41" s="186" t="s">
        <v>696</v>
      </c>
      <c r="E41" s="186" t="s">
        <v>697</v>
      </c>
      <c r="F41" s="2764">
        <f>'数据-取费表'!B37</f>
        <v>0</v>
      </c>
      <c r="G41" s="935"/>
      <c r="H41" s="47"/>
      <c r="I41" s="47"/>
      <c r="J41" s="47"/>
      <c r="K41" s="1860"/>
      <c r="L41" s="47"/>
      <c r="M41" s="47"/>
    </row>
    <row r="42" spans="1:37" ht="18" customHeight="1">
      <c r="A42" s="199" t="s">
        <v>3423</v>
      </c>
      <c r="B42" s="2724" t="s">
        <v>3424</v>
      </c>
      <c r="C42" s="2742">
        <f ca="1">ROUND(C35*F42,0)</f>
        <v>0</v>
      </c>
      <c r="D42" s="2725" t="s">
        <v>3425</v>
      </c>
      <c r="E42" s="2724" t="s">
        <v>3426</v>
      </c>
      <c r="F42" s="2766">
        <f>'数据-取费表'!B38</f>
        <v>0.03</v>
      </c>
      <c r="G42" s="935"/>
      <c r="H42" s="47"/>
      <c r="I42" s="47"/>
      <c r="J42" s="47"/>
      <c r="K42" s="1860"/>
      <c r="L42" s="47"/>
      <c r="M42" s="47"/>
    </row>
    <row r="43" spans="1:37" ht="18" customHeight="1">
      <c r="A43" s="199" t="s">
        <v>3427</v>
      </c>
      <c r="B43" s="2724" t="s">
        <v>3428</v>
      </c>
      <c r="C43" s="2789" t="str">
        <f>F43&amp;"V建"</f>
        <v>0.02V建</v>
      </c>
      <c r="D43" s="2725" t="s">
        <v>3814</v>
      </c>
      <c r="E43" s="2724" t="s">
        <v>3815</v>
      </c>
      <c r="F43" s="2766">
        <f>'数据-取费表'!B39</f>
        <v>0.02</v>
      </c>
      <c r="G43" s="935"/>
      <c r="H43" s="47"/>
      <c r="I43" s="47"/>
      <c r="J43" s="47"/>
      <c r="K43" s="1860"/>
      <c r="L43" s="47"/>
      <c r="M43" s="47"/>
    </row>
    <row r="44" spans="1:37" ht="18" customHeight="1">
      <c r="A44" s="199" t="s">
        <v>3431</v>
      </c>
      <c r="B44" s="2727" t="s">
        <v>3417</v>
      </c>
      <c r="C44" s="3415" t="str">
        <f ca="1">C45&amp;"+"&amp;C46&amp;"V建"</f>
        <v>0+0.0006V建</v>
      </c>
      <c r="D44" s="2683" t="str">
        <f>IF(F45&lt;=1,"单利计息。","复利计息。")&amp;"建造成本、管理费用、销售费用产生的利息。"</f>
        <v>复利计息。建造成本、管理费用、销售费用产生的利息。</v>
      </c>
      <c r="E44" s="200"/>
      <c r="F44" s="2760"/>
      <c r="G44" s="935"/>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5"/>
      <c r="H45" s="47"/>
      <c r="I45" s="47"/>
      <c r="J45" s="47"/>
      <c r="K45" s="1860"/>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0"/>
      <c r="L46" s="47"/>
      <c r="M46" s="47"/>
    </row>
    <row r="47" spans="1:37" ht="18" customHeight="1">
      <c r="A47" s="199" t="s">
        <v>3432</v>
      </c>
      <c r="B47" s="2727" t="s">
        <v>3418</v>
      </c>
      <c r="C47" s="3415" t="str">
        <f ca="1">C48&amp;"+"&amp;C49&amp;"V建"</f>
        <v>0+0V建</v>
      </c>
      <c r="D47" s="2683" t="s">
        <v>3433</v>
      </c>
      <c r="E47" s="200"/>
      <c r="F47" s="2765"/>
      <c r="G47" s="935"/>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0"/>
      <c r="L48" s="47"/>
      <c r="M48" s="47"/>
    </row>
    <row r="49" spans="1:18" ht="18" customHeight="1">
      <c r="A49" s="2699" t="s">
        <v>393</v>
      </c>
      <c r="B49" s="186" t="s">
        <v>745</v>
      </c>
      <c r="C49" s="3416">
        <f ca="1">ROUND(F43*F48,4)</f>
        <v>0</v>
      </c>
      <c r="D49" s="206" t="s">
        <v>746</v>
      </c>
      <c r="E49" s="186"/>
      <c r="F49" s="2764"/>
      <c r="G49" s="935"/>
      <c r="H49" s="47"/>
      <c r="I49" s="47"/>
      <c r="J49" s="47"/>
      <c r="K49" s="1860"/>
      <c r="L49" s="47"/>
      <c r="M49" s="47"/>
    </row>
    <row r="50" spans="1:18" ht="18" customHeight="1">
      <c r="A50" s="199" t="s">
        <v>3419</v>
      </c>
      <c r="B50" s="2724" t="s">
        <v>3420</v>
      </c>
      <c r="C50" s="2742">
        <f>ROUND(F50/(1+'数据-取费表'!C43),4)</f>
        <v>0</v>
      </c>
      <c r="D50" s="3980" t="s">
        <v>3869</v>
      </c>
      <c r="E50" s="2724"/>
      <c r="F50" s="2766"/>
      <c r="G50" s="935"/>
      <c r="H50" s="47"/>
      <c r="I50" s="47"/>
      <c r="J50" s="47"/>
      <c r="K50" s="1860"/>
      <c r="L50" s="47"/>
      <c r="M50" s="47"/>
    </row>
    <row r="51" spans="1:18" s="935" customFormat="1" ht="18" customHeight="1">
      <c r="A51" s="199" t="s">
        <v>3421</v>
      </c>
      <c r="B51" s="2724" t="s">
        <v>3422</v>
      </c>
      <c r="C51" s="2742">
        <f ca="1">ROUND((C35+C42+C45+C48)/(1-F43-C46-C49-C50),0)</f>
        <v>0</v>
      </c>
      <c r="D51" s="2738" t="s">
        <v>3444</v>
      </c>
      <c r="E51" s="2724"/>
      <c r="F51" s="2766"/>
      <c r="K51" s="951"/>
    </row>
    <row r="52" spans="1:18" s="935" customFormat="1" ht="18" customHeight="1">
      <c r="A52" s="2728" t="s">
        <v>3435</v>
      </c>
      <c r="B52" s="2727" t="s">
        <v>3436</v>
      </c>
      <c r="C52" s="2742">
        <f ca="1">ROUND(C51*(1-F52),0)</f>
        <v>0</v>
      </c>
      <c r="D52" s="2724" t="s">
        <v>3881</v>
      </c>
      <c r="E52" s="2724" t="s">
        <v>3882</v>
      </c>
      <c r="F52" s="2766">
        <f ca="1">INDIRECT("'数据-取费表'!y"&amp;$G$1)</f>
        <v>0</v>
      </c>
      <c r="K52" s="951"/>
    </row>
    <row r="53" spans="1:18" s="935" customFormat="1" ht="18" customHeight="1" thickBot="1">
      <c r="A53" s="2729" t="s">
        <v>3437</v>
      </c>
      <c r="B53" s="2737" t="s">
        <v>3442</v>
      </c>
      <c r="C53" s="2753">
        <f ca="1">C51-C52</f>
        <v>0</v>
      </c>
      <c r="D53" s="2733" t="s">
        <v>3473</v>
      </c>
      <c r="E53" s="217"/>
      <c r="F53" s="2734"/>
      <c r="K53" s="951"/>
    </row>
    <row r="54" spans="1:18" s="935" customFormat="1" ht="18" customHeight="1" thickBot="1">
      <c r="A54" s="949"/>
      <c r="B54" s="949"/>
      <c r="C54" s="950"/>
      <c r="D54" s="949"/>
      <c r="E54" s="949"/>
      <c r="F54" s="949"/>
      <c r="I54" s="2755" t="s">
        <v>3452</v>
      </c>
      <c r="J54" s="494"/>
      <c r="O54" s="1964" t="s">
        <v>793</v>
      </c>
      <c r="P54" s="1008"/>
      <c r="Q54" s="1008"/>
      <c r="R54" s="1008"/>
    </row>
    <row r="55" spans="1:18" s="935" customFormat="1" ht="13.5" thickBot="1">
      <c r="A55" s="953" t="s">
        <v>794</v>
      </c>
      <c r="C55" s="3877" t="e">
        <f ca="1">IF(D2="含税",C83-C31,C80-C28)</f>
        <v>#DIV/0!</v>
      </c>
      <c r="D55" s="955" t="str">
        <f>C2</f>
        <v>万元</v>
      </c>
      <c r="E55" s="949"/>
      <c r="F55" s="949"/>
      <c r="I55" s="956" t="s">
        <v>795</v>
      </c>
      <c r="J55" s="957"/>
      <c r="K55" s="958"/>
      <c r="L55" s="3896" t="e">
        <f ca="1">IF(M56="住宅",0,IF(L57&gt;J60,L69,J69))</f>
        <v>#DIV/0!</v>
      </c>
      <c r="O55" s="4034" t="s">
        <v>1325</v>
      </c>
      <c r="P55" s="4035" t="s">
        <v>3906</v>
      </c>
      <c r="Q55" s="4036" t="s">
        <v>3907</v>
      </c>
      <c r="R55" s="4036" t="s">
        <v>3908</v>
      </c>
    </row>
    <row r="56" spans="1:18" s="935" customFormat="1" ht="13.5" thickBot="1">
      <c r="A56" s="4021" t="s">
        <v>3877</v>
      </c>
      <c r="B56" s="4022" t="s">
        <v>3878</v>
      </c>
      <c r="C56" s="3995" t="s">
        <v>3816</v>
      </c>
      <c r="D56" s="4022" t="s">
        <v>3879</v>
      </c>
      <c r="E56" s="4023" t="s">
        <v>3880</v>
      </c>
      <c r="F56" s="701"/>
      <c r="G56" s="490"/>
      <c r="I56" s="963" t="s">
        <v>800</v>
      </c>
      <c r="J56" s="964"/>
      <c r="K56" s="965" t="s">
        <v>801</v>
      </c>
      <c r="L56" s="3897">
        <f ca="1">INDIRECT("'数据-取费表'!d"&amp;$G$1)</f>
        <v>0</v>
      </c>
      <c r="M56" s="931" t="str">
        <f>IF(ISNUMBER(FIND("住宅",C1)),"住宅","非住宅")</f>
        <v>非住宅</v>
      </c>
      <c r="O56" s="4037" t="s">
        <v>397</v>
      </c>
      <c r="P56" s="4038" t="s">
        <v>3909</v>
      </c>
      <c r="Q56" s="4040">
        <f ca="1">C28+J31</f>
        <v>0</v>
      </c>
      <c r="R56" s="4039" t="s">
        <v>3910</v>
      </c>
    </row>
    <row r="57" spans="1:18" s="935" customFormat="1" ht="42.75" thickBot="1">
      <c r="A57" s="653" t="s">
        <v>432</v>
      </c>
      <c r="B57" s="184" t="s">
        <v>3902</v>
      </c>
      <c r="C57" s="4024">
        <f ca="1">ROUND(C58+C62+C64,0)</f>
        <v>0</v>
      </c>
      <c r="D57" s="4001" t="s">
        <v>3903</v>
      </c>
      <c r="E57" s="4025"/>
      <c r="F57" s="638"/>
      <c r="G57" s="490"/>
      <c r="H57" s="491"/>
      <c r="I57" s="970" t="s">
        <v>804</v>
      </c>
      <c r="J57" s="971"/>
      <c r="K57" s="972" t="s">
        <v>805</v>
      </c>
      <c r="L57" s="3886">
        <f ca="1">INDIRECT("'数据-取费表'!f"&amp;$G$1)</f>
        <v>0</v>
      </c>
      <c r="O57" s="4037" t="s">
        <v>398</v>
      </c>
      <c r="P57" s="4038" t="s">
        <v>3911</v>
      </c>
      <c r="Q57" s="4040" t="e">
        <f ca="1">J69</f>
        <v>#DIV/0!</v>
      </c>
      <c r="R57" s="4039" t="s">
        <v>3912</v>
      </c>
    </row>
    <row r="58" spans="1:18" s="935" customFormat="1" ht="15.75" thickBot="1">
      <c r="A58" s="3863" t="s">
        <v>3803</v>
      </c>
      <c r="B58" s="2713" t="s">
        <v>3794</v>
      </c>
      <c r="C58" s="3855">
        <f ca="1">C59-C61</f>
        <v>0</v>
      </c>
      <c r="D58" s="2714" t="s">
        <v>3798</v>
      </c>
      <c r="E58" s="2736" t="s">
        <v>3441</v>
      </c>
      <c r="F58" s="3417"/>
      <c r="H58" s="491"/>
      <c r="I58" s="970" t="s">
        <v>808</v>
      </c>
      <c r="J58" s="3884"/>
      <c r="K58" s="972" t="s">
        <v>809</v>
      </c>
      <c r="L58" s="3898"/>
      <c r="O58" s="976" t="s">
        <v>399</v>
      </c>
      <c r="P58" s="968" t="s">
        <v>810</v>
      </c>
      <c r="Q58" s="3432">
        <f ca="1">C51</f>
        <v>0</v>
      </c>
      <c r="R58" s="969" t="s">
        <v>803</v>
      </c>
    </row>
    <row r="59" spans="1:18" s="935" customFormat="1" ht="13.5" thickBot="1">
      <c r="A59" s="3870" t="s">
        <v>3404</v>
      </c>
      <c r="B59" s="4488" t="s">
        <v>3792</v>
      </c>
      <c r="C59" s="4489">
        <f ca="1">ROUND(F58*F60*F59/10000,2)</f>
        <v>0</v>
      </c>
      <c r="D59" s="4487" t="s">
        <v>3472</v>
      </c>
      <c r="E59" s="698" t="s">
        <v>682</v>
      </c>
      <c r="F59" s="2759">
        <f ca="1">F7</f>
        <v>0</v>
      </c>
      <c r="H59" s="491"/>
      <c r="I59" s="970" t="s">
        <v>811</v>
      </c>
      <c r="J59" s="3885">
        <f>SUMPRODUCT((I72:I74=J56)*(J71:L71=J57)*(J72:L74))</f>
        <v>0</v>
      </c>
      <c r="K59" s="972" t="s">
        <v>812</v>
      </c>
      <c r="L59" s="3898"/>
      <c r="M59" s="978"/>
      <c r="O59" s="976" t="s">
        <v>400</v>
      </c>
      <c r="P59" s="968" t="s">
        <v>813</v>
      </c>
      <c r="Q59" s="3429" t="e">
        <f ca="1">J67</f>
        <v>#DIV/0!</v>
      </c>
      <c r="R59" s="969"/>
    </row>
    <row r="60" spans="1:18" s="935" customFormat="1" ht="13.5" thickBot="1">
      <c r="A60" s="3871"/>
      <c r="B60" s="4488"/>
      <c r="C60" s="4490"/>
      <c r="D60" s="4487"/>
      <c r="E60" s="657" t="str">
        <f ca="1">IF(F60=1,"年",IF(F60=12,"月","天"))</f>
        <v>天</v>
      </c>
      <c r="F60" s="3412">
        <f ca="1">F8</f>
        <v>0</v>
      </c>
      <c r="I60" s="980" t="s">
        <v>814</v>
      </c>
      <c r="J60" s="3886">
        <f>IF(J58="",J59,J58+J59-YEAR('数据-取费表'!B2))</f>
        <v>0</v>
      </c>
      <c r="K60" s="981" t="s">
        <v>815</v>
      </c>
      <c r="L60" s="3875">
        <f ca="1">ROUND(-PV(INDIRECT("'数据-取费表'!h"&amp;$G$1),J60,(C27-C52*C88),0),0)</f>
        <v>0</v>
      </c>
      <c r="M60" s="983"/>
      <c r="O60" s="976" t="s">
        <v>401</v>
      </c>
      <c r="P60" s="968" t="s">
        <v>816</v>
      </c>
      <c r="Q60" s="3429">
        <f>J61</f>
        <v>0</v>
      </c>
      <c r="R60" s="969"/>
    </row>
    <row r="61" spans="1:18" s="935" customFormat="1" ht="13.5" thickBot="1">
      <c r="A61" s="3872" t="s">
        <v>3402</v>
      </c>
      <c r="B61" s="3571" t="s">
        <v>3793</v>
      </c>
      <c r="C61" s="3856">
        <f ca="1">ROUND(C59*F61,2)</f>
        <v>0</v>
      </c>
      <c r="D61" s="2714" t="s">
        <v>3797</v>
      </c>
      <c r="E61" s="657" t="s">
        <v>684</v>
      </c>
      <c r="F61" s="2761"/>
      <c r="I61" s="984" t="s">
        <v>817</v>
      </c>
      <c r="J61" s="3887"/>
      <c r="K61" s="984" t="s">
        <v>818</v>
      </c>
      <c r="L61" s="3887"/>
      <c r="O61" s="976" t="s">
        <v>402</v>
      </c>
      <c r="P61" s="968" t="s">
        <v>819</v>
      </c>
      <c r="Q61" s="3428">
        <f ca="1">J62</f>
        <v>0</v>
      </c>
      <c r="R61" s="969" t="s">
        <v>820</v>
      </c>
    </row>
    <row r="62" spans="1:18" s="935" customFormat="1" ht="25.5" thickBot="1">
      <c r="A62" s="3873" t="s">
        <v>3449</v>
      </c>
      <c r="B62" s="924" t="s">
        <v>685</v>
      </c>
      <c r="C62" s="4086">
        <f ca="1">ROUND(IF(F62="押一",C58/12*F11,IF(F62="押二",C58/12*2*F11,IF(F62="押三",C58/12*3*F11,C63*F11))),2)</f>
        <v>0</v>
      </c>
      <c r="D62" s="59" t="s">
        <v>2020</v>
      </c>
      <c r="E62" s="197" t="s">
        <v>686</v>
      </c>
      <c r="F62" s="3418"/>
      <c r="I62" s="986" t="s">
        <v>821</v>
      </c>
      <c r="J62" s="3888">
        <f ca="1">IF(M56="住宅",IF(D1="——",MAX(J60,L57),MAX(J60,L57-'数据-取费表'!B24)),IF(D1="——",MIN(J60,L57),MIN(J60,L57-'数据-取费表'!B24)))</f>
        <v>0</v>
      </c>
      <c r="K62" s="4482" t="s">
        <v>822</v>
      </c>
      <c r="L62" s="4483"/>
      <c r="O62" s="4037" t="s">
        <v>403</v>
      </c>
      <c r="P62" s="4041" t="s">
        <v>3916</v>
      </c>
      <c r="Q62" s="4040" t="e">
        <f ca="1">ROUND((Q56+Q57)*(1+F31),0)</f>
        <v>#DIV/0!</v>
      </c>
      <c r="R62" s="4039" t="s">
        <v>3917</v>
      </c>
    </row>
    <row r="63" spans="1:18" s="935" customFormat="1" ht="13.5" thickBot="1">
      <c r="A63" s="3864"/>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824</v>
      </c>
      <c r="P63" s="932"/>
      <c r="Q63" s="932"/>
      <c r="R63" s="932"/>
    </row>
    <row r="64" spans="1:18" s="935" customFormat="1" ht="13.5" thickBot="1">
      <c r="A64" s="3865" t="s">
        <v>3804</v>
      </c>
      <c r="B64" s="920" t="s">
        <v>688</v>
      </c>
      <c r="C64" s="3853"/>
      <c r="D64" s="59"/>
      <c r="E64" s="925"/>
      <c r="F64" s="987"/>
      <c r="I64" s="990" t="s">
        <v>825</v>
      </c>
      <c r="J64" s="3890" t="e">
        <f ca="1">ROUND(IF(J56="钢混",J66/J59,1-(1-2%)*(J59-J66)/J59),3)</f>
        <v>#DIV/0!</v>
      </c>
      <c r="K64" s="992" t="s">
        <v>826</v>
      </c>
      <c r="L64" s="993"/>
      <c r="O64" s="4034" t="s">
        <v>1325</v>
      </c>
      <c r="P64" s="4035" t="s">
        <v>3906</v>
      </c>
      <c r="Q64" s="4036" t="s">
        <v>3907</v>
      </c>
      <c r="R64" s="4036" t="s">
        <v>3908</v>
      </c>
    </row>
    <row r="65" spans="1:18" s="935" customFormat="1" ht="25.5" thickTop="1" thickBot="1">
      <c r="A65" s="199" t="s">
        <v>3677</v>
      </c>
      <c r="B65" s="634" t="s">
        <v>3884</v>
      </c>
      <c r="C65" s="2742">
        <f ca="1">ROUND(C66+C74+C76+C78,0)</f>
        <v>0</v>
      </c>
      <c r="D65" s="634" t="s">
        <v>3904</v>
      </c>
      <c r="E65" s="637"/>
      <c r="F65" s="638"/>
      <c r="I65" s="996" t="s">
        <v>827</v>
      </c>
      <c r="J65" s="3891"/>
      <c r="K65" s="970" t="s">
        <v>828</v>
      </c>
      <c r="L65" s="3886">
        <f ca="1">IF(L57&lt;J60,"——",L57-J62)</f>
        <v>0</v>
      </c>
      <c r="O65" s="4037" t="s">
        <v>397</v>
      </c>
      <c r="P65" s="4038" t="s">
        <v>3909</v>
      </c>
      <c r="Q65" s="4040">
        <f ca="1">C28+J31</f>
        <v>0</v>
      </c>
      <c r="R65" s="4039" t="s">
        <v>3910</v>
      </c>
    </row>
    <row r="66" spans="1:18" s="935" customFormat="1" ht="24.75" thickBot="1">
      <c r="A66" s="519" t="s">
        <v>392</v>
      </c>
      <c r="B66" s="2694" t="s">
        <v>3968</v>
      </c>
      <c r="C66" s="4086">
        <f ca="1">ROUND(IF(AND(项目基本情况!B11="自然人",项目基本情况!B10="北京市",M56="住宅"),C58*F66,C67+C71+C72),2)</f>
        <v>0</v>
      </c>
      <c r="D66" s="639" t="s">
        <v>3446</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3913</v>
      </c>
      <c r="Q66" s="4042" t="e">
        <f ca="1">L69</f>
        <v>#DIV/0!</v>
      </c>
      <c r="R66" s="4039" t="s">
        <v>3914</v>
      </c>
    </row>
    <row r="67" spans="1:18" s="935" customFormat="1" ht="24.75" thickBot="1">
      <c r="A67" s="4090" t="s">
        <v>391</v>
      </c>
      <c r="B67" s="2712" t="s">
        <v>3964</v>
      </c>
      <c r="C67" s="4086">
        <f ca="1">C70</f>
        <v>0</v>
      </c>
      <c r="D67" s="2429" t="s">
        <v>3963</v>
      </c>
      <c r="E67" s="4089"/>
      <c r="F67" s="4121"/>
      <c r="I67" s="1002" t="s">
        <v>832</v>
      </c>
      <c r="J67" s="3893" t="e">
        <f ca="1">IF(J64&lt;0.4,0.4,J64)</f>
        <v>#DIV/0!</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4" t="s">
        <v>3289</v>
      </c>
      <c r="B68" s="2716" t="s">
        <v>3405</v>
      </c>
      <c r="C68" s="4086">
        <f ca="1">ROUND(C58*F68,2)</f>
        <v>0</v>
      </c>
      <c r="D68" s="994" t="s">
        <v>3867</v>
      </c>
      <c r="E68" s="2720" t="s">
        <v>3407</v>
      </c>
      <c r="F68" s="2764">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3290</v>
      </c>
      <c r="B69" s="2716" t="s">
        <v>3406</v>
      </c>
      <c r="C69" s="4086">
        <f ca="1">ROUND(C74*F68+((C76+C78)*F69),2)</f>
        <v>0</v>
      </c>
      <c r="D69" s="3977" t="s">
        <v>3868</v>
      </c>
      <c r="E69" s="2721"/>
      <c r="F69" s="2764">
        <f t="shared" ref="F69" si="0">F17</f>
        <v>0.06</v>
      </c>
      <c r="I69" s="1005" t="s">
        <v>837</v>
      </c>
      <c r="J69" s="3895" t="e">
        <f ca="1">IF(OR(M56="住宅",J60&lt;L57,J65="是"),"0",ROUND(J68/(1+J61)^J62,0))</f>
        <v>#DIV/0!</v>
      </c>
      <c r="K69" s="1007" t="s">
        <v>838</v>
      </c>
      <c r="L69" s="3895" t="e">
        <f ca="1">IF(OR(M56="住宅",L57&lt;J60),0,ROUND(L66*(L67/L68-1),0))</f>
        <v>#DIV/0!</v>
      </c>
      <c r="O69" s="976" t="s">
        <v>401</v>
      </c>
      <c r="P69" s="968" t="s">
        <v>839</v>
      </c>
      <c r="Q69" s="3431" t="e">
        <f ca="1">L67</f>
        <v>#DIV/0!</v>
      </c>
      <c r="R69" s="969" t="s">
        <v>840</v>
      </c>
    </row>
    <row r="70" spans="1:18" s="935" customFormat="1" ht="13.5" thickBot="1">
      <c r="A70" s="2504" t="s">
        <v>3961</v>
      </c>
      <c r="B70" s="2716" t="s">
        <v>3960</v>
      </c>
      <c r="C70" s="4086">
        <f ca="1">ROUND((C68-C69)*F70,2)</f>
        <v>0</v>
      </c>
      <c r="D70" s="2739" t="s">
        <v>3983</v>
      </c>
      <c r="E70" s="186" t="s">
        <v>3984</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6" t="s">
        <v>766</v>
      </c>
      <c r="B71" s="2694" t="s">
        <v>3971</v>
      </c>
      <c r="C71" s="4086">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1.2E-2</v>
      </c>
      <c r="I71" s="1009" t="s">
        <v>842</v>
      </c>
      <c r="J71" s="1010" t="s">
        <v>843</v>
      </c>
      <c r="K71" s="1010" t="s">
        <v>844</v>
      </c>
      <c r="L71" s="1010" t="s">
        <v>845</v>
      </c>
      <c r="M71" s="1011" t="s">
        <v>846</v>
      </c>
      <c r="O71" s="4037" t="s">
        <v>403</v>
      </c>
      <c r="P71" s="4041" t="s">
        <v>3916</v>
      </c>
      <c r="Q71" s="4042" t="e">
        <f ca="1">ROUND((Q65+Q66)*(1+F31),0)</f>
        <v>#DIV/0!</v>
      </c>
      <c r="R71" s="4039" t="s">
        <v>3917</v>
      </c>
    </row>
    <row r="72" spans="1:18" s="935" customFormat="1" ht="13.5" thickBot="1">
      <c r="A72" s="4090" t="s">
        <v>769</v>
      </c>
      <c r="B72" s="4082" t="s">
        <v>3966</v>
      </c>
      <c r="C72" s="4087">
        <f ca="1">IF(项目基本情况!B11="自然人","——",ROUND(F72*F73/10000,2))</f>
        <v>0</v>
      </c>
      <c r="D72" s="641" t="s">
        <v>771</v>
      </c>
      <c r="E72" s="626" t="s">
        <v>772</v>
      </c>
      <c r="F72" s="3419">
        <f t="shared" si="1"/>
        <v>0</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0</v>
      </c>
      <c r="D74" s="3861" t="s">
        <v>3440</v>
      </c>
      <c r="E74" s="3874" t="s">
        <v>3799</v>
      </c>
      <c r="F74" s="3875">
        <f ca="1">C51</f>
        <v>0</v>
      </c>
      <c r="I74" s="1009" t="s">
        <v>851</v>
      </c>
      <c r="J74" s="223">
        <v>40</v>
      </c>
      <c r="K74" s="223">
        <v>30</v>
      </c>
      <c r="L74" s="223">
        <v>50</v>
      </c>
      <c r="M74" s="1012">
        <v>0.02</v>
      </c>
      <c r="O74" s="4037" t="s">
        <v>397</v>
      </c>
      <c r="P74" s="4038" t="s">
        <v>3909</v>
      </c>
      <c r="Q74" s="4040">
        <f ca="1">C28+J31</f>
        <v>0</v>
      </c>
      <c r="R74" s="4039" t="s">
        <v>3910</v>
      </c>
    </row>
    <row r="75" spans="1:18" s="935" customFormat="1" ht="15" thickBot="1">
      <c r="A75" s="3868"/>
      <c r="B75" s="632"/>
      <c r="C75" s="3860"/>
      <c r="D75" s="3862"/>
      <c r="E75" s="626" t="s">
        <v>768</v>
      </c>
      <c r="F75" s="2766">
        <f ca="1">F22</f>
        <v>0</v>
      </c>
      <c r="O75" s="4037" t="s">
        <v>398</v>
      </c>
      <c r="P75" s="4038" t="s">
        <v>3913</v>
      </c>
      <c r="Q75" s="4042" t="e">
        <f ca="1">L69</f>
        <v>#DIV/0!</v>
      </c>
      <c r="R75" s="4039" t="s">
        <v>3915</v>
      </c>
    </row>
    <row r="76" spans="1:18" s="935" customFormat="1" ht="13.5" thickBot="1">
      <c r="A76" s="3867" t="s">
        <v>777</v>
      </c>
      <c r="B76" s="625" t="s">
        <v>727</v>
      </c>
      <c r="C76" s="3859">
        <f ca="1">ROUND(F76*F77,2)</f>
        <v>0</v>
      </c>
      <c r="D76" s="3861" t="s">
        <v>3443</v>
      </c>
      <c r="E76" s="3874" t="s">
        <v>3800</v>
      </c>
      <c r="F76" s="3876">
        <f ca="1">C53</f>
        <v>0</v>
      </c>
      <c r="O76" s="967"/>
      <c r="P76" s="968"/>
      <c r="Q76" s="3428"/>
      <c r="R76" s="969"/>
    </row>
    <row r="77" spans="1:18" s="935" customFormat="1" ht="16.5" thickBot="1">
      <c r="A77" s="3869"/>
      <c r="B77" s="632"/>
      <c r="C77" s="3860"/>
      <c r="D77" s="3862"/>
      <c r="E77" s="626" t="s">
        <v>729</v>
      </c>
      <c r="F77" s="2766">
        <f ca="1">F24</f>
        <v>0</v>
      </c>
      <c r="O77" s="976" t="s">
        <v>399</v>
      </c>
      <c r="P77" s="968" t="s">
        <v>834</v>
      </c>
      <c r="Q77" s="3432">
        <f ca="1">L60</f>
        <v>0</v>
      </c>
      <c r="R77" s="969" t="s">
        <v>854</v>
      </c>
    </row>
    <row r="78" spans="1:18" s="935" customFormat="1" ht="13.5" thickBot="1">
      <c r="A78" s="3869" t="s">
        <v>778</v>
      </c>
      <c r="B78" s="626" t="s">
        <v>713</v>
      </c>
      <c r="C78" s="4086">
        <f ca="1">ROUND(C57*F78,2)</f>
        <v>0</v>
      </c>
      <c r="D78" s="640" t="s">
        <v>3865</v>
      </c>
      <c r="E78" s="626" t="s">
        <v>697</v>
      </c>
      <c r="F78" s="2766">
        <f ca="1">F26</f>
        <v>0</v>
      </c>
      <c r="O78" s="976"/>
      <c r="P78" s="968"/>
      <c r="Q78" s="3432"/>
      <c r="R78" s="969"/>
    </row>
    <row r="79" spans="1:18" s="935" customFormat="1" ht="16.5" thickBot="1">
      <c r="A79" s="633" t="s">
        <v>3801</v>
      </c>
      <c r="B79" s="643" t="s">
        <v>737</v>
      </c>
      <c r="C79" s="2742">
        <f ca="1">C57-C65</f>
        <v>0</v>
      </c>
      <c r="D79" s="643" t="s">
        <v>3905</v>
      </c>
      <c r="E79" s="4026"/>
      <c r="F79" s="4027"/>
      <c r="O79" s="976" t="s">
        <v>400</v>
      </c>
      <c r="P79" s="1014" t="s">
        <v>855</v>
      </c>
      <c r="Q79" s="3432">
        <f ca="1">ROUND(Q80-Q81*Q82,0)</f>
        <v>0</v>
      </c>
      <c r="R79" s="969" t="s">
        <v>408</v>
      </c>
    </row>
    <row r="80" spans="1:18" s="935" customFormat="1" ht="13.5" thickBot="1">
      <c r="A80" s="3200" t="s">
        <v>3802</v>
      </c>
      <c r="B80" s="624" t="s">
        <v>759</v>
      </c>
      <c r="C80" s="3911" t="e">
        <f ca="1">ROUND(C79*(1-((1+F82)/(1+F80))^F81)/(F80-F82),0)</f>
        <v>#DIV/0!</v>
      </c>
      <c r="D80" s="4028" t="s">
        <v>3890</v>
      </c>
      <c r="E80" s="634" t="s">
        <v>3891</v>
      </c>
      <c r="F80" s="2766">
        <f ca="1">F28</f>
        <v>0</v>
      </c>
      <c r="O80" s="976" t="s">
        <v>405</v>
      </c>
      <c r="P80" s="1014" t="s">
        <v>856</v>
      </c>
      <c r="Q80" s="3432">
        <f ca="1">C27</f>
        <v>0</v>
      </c>
      <c r="R80" s="969" t="s">
        <v>803</v>
      </c>
    </row>
    <row r="81" spans="1:18" s="935" customFormat="1" ht="13.5" thickBot="1">
      <c r="A81" s="3201"/>
      <c r="B81" s="628"/>
      <c r="C81" s="4092"/>
      <c r="D81" s="4029" t="s">
        <v>3895</v>
      </c>
      <c r="E81" s="634" t="s">
        <v>3894</v>
      </c>
      <c r="F81" s="2767">
        <f ca="1">F29</f>
        <v>0</v>
      </c>
      <c r="O81" s="976" t="s">
        <v>406</v>
      </c>
      <c r="P81" s="1014" t="s">
        <v>857</v>
      </c>
      <c r="Q81" s="3432">
        <f ca="1">C52</f>
        <v>0</v>
      </c>
      <c r="R81" s="969" t="s">
        <v>803</v>
      </c>
    </row>
    <row r="82" spans="1:18" s="935" customFormat="1" ht="13.5" thickBot="1">
      <c r="A82" s="3202"/>
      <c r="B82" s="2782"/>
      <c r="C82" s="2782"/>
      <c r="D82" s="4030"/>
      <c r="E82" s="634" t="s">
        <v>3896</v>
      </c>
      <c r="F82" s="2761"/>
      <c r="O82" s="976" t="s">
        <v>407</v>
      </c>
      <c r="P82" s="1014" t="s">
        <v>858</v>
      </c>
      <c r="Q82" s="3429">
        <f ca="1">C88</f>
        <v>0</v>
      </c>
      <c r="R82" s="969"/>
    </row>
    <row r="83" spans="1:18" s="935" customFormat="1" ht="13.5" thickBot="1">
      <c r="A83" s="630" t="s">
        <v>3805</v>
      </c>
      <c r="B83" s="2741" t="s">
        <v>3447</v>
      </c>
      <c r="C83" s="3852" t="e">
        <f ca="1">ROUND(C80*(1+F31),0)</f>
        <v>#DIV/0!</v>
      </c>
      <c r="D83" s="4031" t="str">
        <f>D31</f>
        <v>其他类型公式—收益价值×（1+9%）</v>
      </c>
      <c r="E83" s="1018"/>
      <c r="F83" s="4032"/>
      <c r="O83" s="976" t="s">
        <v>401</v>
      </c>
      <c r="P83" s="968" t="s">
        <v>836</v>
      </c>
      <c r="Q83" s="3429">
        <f>L61</f>
        <v>0</v>
      </c>
      <c r="R83" s="969"/>
    </row>
    <row r="84" spans="1:18" ht="16.5" thickBot="1">
      <c r="A84" s="647" t="s">
        <v>390</v>
      </c>
      <c r="B84" s="648" t="s">
        <v>761</v>
      </c>
      <c r="C84" s="2753" t="e">
        <f ca="1">ROUND(C83*10000/F84,0)</f>
        <v>#DIV/0!</v>
      </c>
      <c r="D84" s="4033" t="s">
        <v>3899</v>
      </c>
      <c r="E84" s="648" t="s">
        <v>3900</v>
      </c>
      <c r="F84" s="2768">
        <f ca="1">F32</f>
        <v>0</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5.5" thickBot="1">
      <c r="A86" s="935"/>
      <c r="B86" s="168" t="s">
        <v>859</v>
      </c>
      <c r="C86" s="1016"/>
      <c r="D86" s="935"/>
      <c r="E86" s="935"/>
      <c r="F86" s="935"/>
      <c r="K86" s="951"/>
      <c r="L86" s="935"/>
      <c r="O86" s="4037" t="s">
        <v>403</v>
      </c>
      <c r="P86" s="4041" t="s">
        <v>3916</v>
      </c>
      <c r="Q86" s="4040" t="e">
        <f ca="1">ROUND((Q74+Q75)*(1+F31),0)</f>
        <v>#DIV/0!</v>
      </c>
      <c r="R86" s="4039" t="s">
        <v>3917</v>
      </c>
    </row>
    <row r="87" spans="1:18">
      <c r="A87" s="935"/>
      <c r="B87" s="222" t="s">
        <v>780</v>
      </c>
      <c r="C87" s="2830">
        <f ca="1">ROUND(C53*C88,0)</f>
        <v>0</v>
      </c>
      <c r="D87" s="935"/>
      <c r="E87" s="935"/>
      <c r="F87" s="935"/>
      <c r="I87" s="935"/>
      <c r="J87" s="935"/>
      <c r="K87" s="951"/>
      <c r="L87" s="935"/>
    </row>
    <row r="88" spans="1:18">
      <c r="B88" s="224" t="s">
        <v>781</v>
      </c>
      <c r="C88" s="2726">
        <f ca="1">INDIRECT("'数据-取费表'!j"&amp;$G$1)</f>
        <v>0</v>
      </c>
      <c r="I88" s="935"/>
      <c r="J88" s="935"/>
      <c r="K88" s="951"/>
      <c r="L88" s="935"/>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2"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2" t="e">
        <f>C30</f>
        <v>#DIV/0!</v>
      </c>
      <c r="C2" s="1440" t="s">
        <v>1842</v>
      </c>
      <c r="D2" s="68" t="s">
        <v>1843</v>
      </c>
      <c r="E2" s="2467"/>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0</v>
      </c>
      <c r="T2" s="4160" t="e">
        <f t="shared" ref="T2:T16" si="0">ROUND($C$5*$C$22*$C$23*$C$24*S2*$C$28,0)</f>
        <v>#DIV/0!</v>
      </c>
      <c r="U2" s="4161"/>
      <c r="V2" s="4160" t="e">
        <f>ROUND(T2*U2/10000,0)</f>
        <v>#DIV/0!</v>
      </c>
      <c r="W2" s="804"/>
      <c r="X2" s="804"/>
      <c r="Y2" s="804"/>
      <c r="Z2" s="804"/>
      <c r="AA2" s="804"/>
      <c r="AB2" s="804"/>
      <c r="AC2" s="805"/>
      <c r="AD2" s="806"/>
      <c r="AE2" s="806"/>
      <c r="AF2" s="806"/>
      <c r="AG2" s="806"/>
      <c r="AH2" s="806"/>
      <c r="AI2" s="806"/>
      <c r="AJ2" s="807"/>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0</v>
      </c>
      <c r="T3" s="4160" t="e">
        <f t="shared" si="0"/>
        <v>#DIV/0!</v>
      </c>
      <c r="U3" s="4161"/>
      <c r="V3" s="4160" t="e">
        <f t="shared" ref="V3:V16" si="1">ROUND(T3*U3/10000,0)</f>
        <v>#DIV/0!</v>
      </c>
      <c r="W3" s="804"/>
      <c r="X3" s="804"/>
      <c r="Y3" s="804"/>
      <c r="Z3" s="804"/>
      <c r="AA3" s="804"/>
      <c r="AB3" s="804"/>
      <c r="AC3" s="805"/>
      <c r="AD3" s="806"/>
      <c r="AE3" s="806"/>
      <c r="AF3" s="806"/>
      <c r="AG3" s="806"/>
      <c r="AH3" s="806"/>
      <c r="AI3" s="806"/>
      <c r="AJ3" s="807"/>
    </row>
    <row r="4" spans="1:36" ht="15.75">
      <c r="A4" s="3393" t="s">
        <v>3633</v>
      </c>
      <c r="B4" s="3392" t="e">
        <f>ROUND(B2*10000/F1,0)</f>
        <v>#DIV/0!</v>
      </c>
      <c r="C4" s="3391" t="s">
        <v>3634</v>
      </c>
      <c r="D4" s="3392" t="e">
        <f>ROUND(B2/(F1/666.67),0)</f>
        <v>#DIV/0!</v>
      </c>
      <c r="E4" s="3391" t="s">
        <v>3635</v>
      </c>
      <c r="F4" s="3389"/>
      <c r="G4" s="3389"/>
      <c r="H4" s="3389"/>
      <c r="I4" s="3389"/>
      <c r="J4" s="3390"/>
      <c r="K4" s="750"/>
      <c r="L4" s="1441" t="s">
        <v>1853</v>
      </c>
      <c r="M4" s="552">
        <f>SUMPRODUCT((区片价!B55:B86=I2)*(区片价!C3:G3=E2)*(区片价!C55:G86))</f>
        <v>0</v>
      </c>
      <c r="N4" s="554">
        <f>SUMPRODUCT((因素修正幅度!B55:B86=I2)*(因素修正幅度!C3:G3=E2)*(因素修正幅度!C55:G86))</f>
        <v>0</v>
      </c>
      <c r="O4" s="750"/>
      <c r="P4" s="750"/>
      <c r="Q4" s="750"/>
      <c r="R4" s="802">
        <v>3</v>
      </c>
      <c r="S4" s="4160">
        <f>ROUND(SUMPRODUCT((B106:B110=R4)*(C105:N105=G2)*(C106:N110)),4)</f>
        <v>0</v>
      </c>
      <c r="T4" s="4160" t="e">
        <f t="shared" si="0"/>
        <v>#DIV/0!</v>
      </c>
      <c r="U4" s="4161"/>
      <c r="V4" s="4160" t="e">
        <f t="shared" si="1"/>
        <v>#DIV/0!</v>
      </c>
      <c r="W4" s="804"/>
      <c r="X4" s="804"/>
      <c r="Y4" s="804"/>
      <c r="Z4" s="804"/>
      <c r="AA4" s="804"/>
      <c r="AB4" s="804"/>
      <c r="AC4" s="805"/>
      <c r="AD4" s="806"/>
      <c r="AE4" s="806"/>
      <c r="AF4" s="806"/>
      <c r="AG4" s="806"/>
      <c r="AH4" s="806"/>
      <c r="AI4" s="806"/>
      <c r="AJ4" s="807"/>
    </row>
    <row r="5" spans="1:36" s="1452" customFormat="1" ht="15.75" thickBot="1">
      <c r="A5" s="1443" t="s">
        <v>356</v>
      </c>
      <c r="B5" s="1444" t="s">
        <v>1854</v>
      </c>
      <c r="C5" s="4125" t="e">
        <f>ROUND(IF(E2="商业",C6*C7*C17+C20,(IF(E2="住宅",C6*C13*C17+C20,IF(E2="办公",C6*C12*C17+C20,C6+C20)))),0)</f>
        <v>#DIV/0!</v>
      </c>
      <c r="D5" s="2923" t="e">
        <f>ROUND(C6*C17+C20,0)</f>
        <v>#DIV/0!</v>
      </c>
      <c r="E5" s="895"/>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v>
      </c>
      <c r="T5" s="4160" t="e">
        <f t="shared" si="0"/>
        <v>#DIV/0!</v>
      </c>
      <c r="U5" s="4161"/>
      <c r="V5" s="4160" t="e">
        <f t="shared" si="1"/>
        <v>#DIV/0!</v>
      </c>
      <c r="W5" s="804"/>
      <c r="X5" s="804"/>
      <c r="Y5" s="804"/>
      <c r="Z5" s="804"/>
      <c r="AA5" s="804"/>
      <c r="AB5" s="804"/>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5"/>
      <c r="L6" s="1441" t="s">
        <v>1858</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v>
      </c>
      <c r="T6" s="4160" t="e">
        <f t="shared" si="0"/>
        <v>#DIV/0!</v>
      </c>
      <c r="U6" s="4161"/>
      <c r="V6" s="4160" t="e">
        <f t="shared" si="1"/>
        <v>#DIV/0!</v>
      </c>
      <c r="W6" s="804"/>
      <c r="X6" s="804"/>
      <c r="Y6" s="804"/>
      <c r="Z6" s="804"/>
      <c r="AA6" s="804"/>
      <c r="AB6" s="804"/>
      <c r="AC6" s="1449"/>
      <c r="AD6" s="1450"/>
      <c r="AE6" s="1450"/>
      <c r="AF6" s="1450"/>
      <c r="AG6" s="1450"/>
      <c r="AH6" s="1450"/>
      <c r="AI6" s="1450"/>
      <c r="AJ6" s="1451"/>
    </row>
    <row r="7" spans="1:36" ht="24.75" thickBot="1">
      <c r="A7" s="2396" t="s">
        <v>3126</v>
      </c>
      <c r="B7" s="1459" t="s">
        <v>1859</v>
      </c>
      <c r="C7" s="4127" t="e">
        <f>IF(C8="不临65条商业街",1,ROUND(1+(1.6*E8+1.2*E9+0.8*E10+0.4*E11)*C9,4))</f>
        <v>#DIV/0!</v>
      </c>
      <c r="D7" s="1460" t="s">
        <v>1860</v>
      </c>
      <c r="E7" s="4132"/>
      <c r="F7" s="1461"/>
      <c r="G7" s="1462"/>
      <c r="H7" s="1462"/>
      <c r="I7" s="1462"/>
      <c r="J7" s="1463"/>
      <c r="K7" s="935"/>
      <c r="L7" s="1441" t="s">
        <v>1861</v>
      </c>
      <c r="M7" s="552">
        <f>SUMPRODUCT((区片价!B190:B233=I2)*(区片价!C3:G3=E2)*(区片价!C190:G233))</f>
        <v>0</v>
      </c>
      <c r="N7" s="554">
        <f>SUMPRODUCT((因素修正幅度!B190:B233=I2)*(因素修正幅度!C3:G3=E2)*(因素修正幅度!C190:G233))</f>
        <v>0</v>
      </c>
      <c r="O7" s="750"/>
      <c r="P7" s="750"/>
      <c r="Q7" s="750"/>
      <c r="R7" s="802">
        <v>6</v>
      </c>
      <c r="S7" s="4162"/>
      <c r="T7" s="4160" t="e">
        <f t="shared" si="0"/>
        <v>#DIV/0!</v>
      </c>
      <c r="U7" s="4161"/>
      <c r="V7" s="4160" t="e">
        <f t="shared" si="1"/>
        <v>#DIV/0!</v>
      </c>
      <c r="W7" s="910" t="s">
        <v>1862</v>
      </c>
      <c r="X7" s="4177">
        <f>G2</f>
        <v>0</v>
      </c>
      <c r="Y7" s="803" t="s">
        <v>1863</v>
      </c>
      <c r="Z7" s="4179">
        <f>G3</f>
        <v>0</v>
      </c>
      <c r="AA7" s="804"/>
      <c r="AB7" s="804"/>
      <c r="AC7" s="805"/>
      <c r="AD7" s="806"/>
      <c r="AE7" s="806"/>
      <c r="AF7" s="806"/>
      <c r="AG7" s="806"/>
      <c r="AH7" s="806"/>
      <c r="AI7" s="806"/>
      <c r="AJ7" s="807"/>
    </row>
    <row r="8" spans="1:36" ht="15">
      <c r="A8" s="2393"/>
      <c r="B8" s="68" t="s">
        <v>1864</v>
      </c>
      <c r="C8" s="4128"/>
      <c r="D8" s="3658" t="s">
        <v>110</v>
      </c>
      <c r="E8" s="4129"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61"/>
      <c r="T8" s="4160" t="e">
        <f t="shared" si="0"/>
        <v>#DIV/0!</v>
      </c>
      <c r="U8" s="4161"/>
      <c r="V8" s="4160" t="e">
        <f t="shared" si="1"/>
        <v>#DIV/0!</v>
      </c>
      <c r="W8" s="4498" t="s">
        <v>1867</v>
      </c>
      <c r="X8" s="449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3"/>
      <c r="B9" s="68" t="s">
        <v>1880</v>
      </c>
      <c r="C9" s="3539">
        <f>SUMIF(修正!C73:C140,C8,修正!E73:E140)</f>
        <v>0</v>
      </c>
      <c r="D9" s="3540" t="s">
        <v>111</v>
      </c>
      <c r="E9" s="3540" t="e">
        <f>ROUND(C11/E7,4)</f>
        <v>#DIV/0!</v>
      </c>
      <c r="F9" s="1465" t="s">
        <v>1881</v>
      </c>
      <c r="G9" s="1466"/>
      <c r="H9" s="1466"/>
      <c r="I9" s="1466"/>
      <c r="J9" s="1467"/>
      <c r="K9" s="750"/>
      <c r="L9" s="1441" t="s">
        <v>1882</v>
      </c>
      <c r="M9" s="552">
        <f>SUMPRODUCT((区片价!B277:B326=I2)*(区片价!C3:G3=E2)*(区片价!C277:G326))</f>
        <v>0</v>
      </c>
      <c r="N9" s="554">
        <f>SUMPRODUCT((因素修正幅度!B277:B326=I2)*(因素修正幅度!C3:G3=E2)*(因素修正幅度!C277:G326))</f>
        <v>0</v>
      </c>
      <c r="O9" s="750"/>
      <c r="P9" s="750"/>
      <c r="Q9" s="750"/>
      <c r="R9" s="802">
        <v>8</v>
      </c>
      <c r="S9" s="4161"/>
      <c r="T9" s="4160" t="e">
        <f t="shared" si="0"/>
        <v>#DIV/0!</v>
      </c>
      <c r="U9" s="4161"/>
      <c r="V9" s="4160" t="e">
        <f t="shared" si="1"/>
        <v>#DIV/0!</v>
      </c>
      <c r="W9" s="4500"/>
      <c r="X9" s="2441" t="s">
        <v>3155</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2">
        <f>SUMIF(修正!C73:C140,C8,修正!F73:F140)</f>
        <v>0</v>
      </c>
      <c r="D10" s="3540" t="s">
        <v>112</v>
      </c>
      <c r="E10" s="3540"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61"/>
      <c r="T10" s="4160" t="e">
        <f t="shared" si="0"/>
        <v>#DIV/0!</v>
      </c>
      <c r="U10" s="4161"/>
      <c r="V10" s="4160" t="e">
        <f t="shared" si="1"/>
        <v>#DIV/0!</v>
      </c>
      <c r="W10" s="4500"/>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61"/>
      <c r="T11" s="4160" t="e">
        <f t="shared" si="0"/>
        <v>#DIV/0!</v>
      </c>
      <c r="U11" s="4161"/>
      <c r="V11" s="4160" t="e">
        <f t="shared" si="1"/>
        <v>#DIV/0!</v>
      </c>
      <c r="W11" s="804"/>
      <c r="X11" s="804"/>
      <c r="Y11" s="804"/>
      <c r="Z11" s="804"/>
      <c r="AA11" s="804"/>
      <c r="AB11" s="804"/>
      <c r="AC11" s="805"/>
      <c r="AD11" s="2039"/>
      <c r="AE11" s="2039"/>
      <c r="AF11" s="2039"/>
      <c r="AG11" s="2039"/>
      <c r="AH11" s="2039"/>
      <c r="AI11" s="2039"/>
      <c r="AJ11" s="2040"/>
    </row>
    <row r="12" spans="1:36" ht="25.5" thickBot="1">
      <c r="A12" s="2396" t="s">
        <v>3127</v>
      </c>
      <c r="B12" s="2397" t="s">
        <v>3128</v>
      </c>
      <c r="C12" s="4135"/>
      <c r="D12" s="2398" t="s">
        <v>3129</v>
      </c>
      <c r="E12" s="2399" t="s">
        <v>3130</v>
      </c>
      <c r="F12" s="2400"/>
      <c r="G12" s="2401"/>
      <c r="H12" s="2401"/>
      <c r="I12" s="2401"/>
      <c r="J12" s="2402"/>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61"/>
      <c r="T12" s="4160" t="e">
        <f t="shared" si="0"/>
        <v>#DIV/0!</v>
      </c>
      <c r="U12" s="4161"/>
      <c r="V12" s="4160" t="e">
        <f t="shared" si="1"/>
        <v>#DIV/0!</v>
      </c>
      <c r="W12" s="804"/>
      <c r="X12" s="804"/>
      <c r="Y12" s="804"/>
      <c r="Z12" s="804"/>
      <c r="AA12" s="804"/>
      <c r="AB12" s="804"/>
      <c r="AC12" s="805"/>
      <c r="AD12" s="2039"/>
      <c r="AE12" s="2039"/>
      <c r="AF12" s="2039"/>
      <c r="AG12" s="2039"/>
      <c r="AH12" s="2039"/>
      <c r="AI12" s="2039"/>
      <c r="AJ12" s="2040"/>
    </row>
    <row r="13" spans="1:36" ht="15.75" thickBot="1">
      <c r="A13" s="2396" t="s">
        <v>3131</v>
      </c>
      <c r="B13" s="1472" t="s">
        <v>1889</v>
      </c>
      <c r="C13" s="4136">
        <f>ROUND(C16*D16*E16*F16*G16*H16*I16*J16,4)</f>
        <v>0</v>
      </c>
      <c r="D13" s="1473" t="s">
        <v>1890</v>
      </c>
      <c r="E13" s="1474"/>
      <c r="F13" s="1474"/>
      <c r="G13" s="1475"/>
      <c r="H13" s="1475"/>
      <c r="I13" s="1475"/>
      <c r="J13" s="1476"/>
      <c r="K13" s="750"/>
      <c r="L13" s="3"/>
      <c r="M13" s="4"/>
      <c r="N13" s="2394"/>
      <c r="O13" s="750"/>
      <c r="P13" s="750"/>
      <c r="Q13" s="750"/>
      <c r="R13" s="802">
        <v>12</v>
      </c>
      <c r="S13" s="4161"/>
      <c r="T13" s="4160" t="e">
        <f t="shared" si="0"/>
        <v>#DIV/0!</v>
      </c>
      <c r="U13" s="4161"/>
      <c r="V13" s="4160" t="e">
        <f t="shared" si="1"/>
        <v>#DIV/0!</v>
      </c>
      <c r="W13" s="804"/>
      <c r="X13" s="804"/>
      <c r="Y13" s="804"/>
      <c r="Z13" s="804"/>
      <c r="AA13" s="804"/>
      <c r="AB13" s="804"/>
      <c r="AC13" s="805"/>
      <c r="AD13" s="2039"/>
      <c r="AE13" s="2039"/>
      <c r="AF13" s="2039"/>
      <c r="AG13" s="2039"/>
      <c r="AH13" s="2039"/>
      <c r="AI13" s="2039"/>
      <c r="AJ13" s="2040"/>
    </row>
    <row r="14" spans="1:36" ht="15">
      <c r="A14" s="2392"/>
      <c r="B14" s="1477" t="s">
        <v>1892</v>
      </c>
      <c r="C14" s="1478" t="s">
        <v>1893</v>
      </c>
      <c r="D14" s="904" t="s">
        <v>1894</v>
      </c>
      <c r="E14" s="18" t="s">
        <v>1895</v>
      </c>
      <c r="F14" s="2403" t="s">
        <v>3132</v>
      </c>
      <c r="G14" s="2403" t="s">
        <v>3132</v>
      </c>
      <c r="H14" s="2403" t="s">
        <v>3132</v>
      </c>
      <c r="I14" s="2403" t="s">
        <v>3132</v>
      </c>
      <c r="J14" s="2403" t="s">
        <v>3132</v>
      </c>
      <c r="K14" s="750"/>
      <c r="L14" s="750"/>
      <c r="M14" s="750"/>
      <c r="N14" s="750"/>
      <c r="O14" s="750"/>
      <c r="P14" s="750"/>
      <c r="Q14" s="750"/>
      <c r="R14" s="802">
        <v>13</v>
      </c>
      <c r="S14" s="4161"/>
      <c r="T14" s="4160" t="e">
        <f t="shared" si="0"/>
        <v>#DIV/0!</v>
      </c>
      <c r="U14" s="4161"/>
      <c r="V14" s="4160" t="e">
        <f t="shared" si="1"/>
        <v>#DIV/0!</v>
      </c>
      <c r="W14" s="804"/>
      <c r="X14" s="804"/>
      <c r="Y14" s="804"/>
      <c r="Z14" s="804"/>
      <c r="AA14" s="804"/>
      <c r="AB14" s="804"/>
      <c r="AC14" s="805"/>
      <c r="AD14" s="2039"/>
      <c r="AE14" s="2039"/>
      <c r="AF14" s="2039"/>
      <c r="AG14" s="2039"/>
      <c r="AH14" s="2039"/>
      <c r="AI14" s="2039"/>
      <c r="AJ14" s="2040"/>
    </row>
    <row r="15" spans="1:36" ht="15">
      <c r="A15" s="2392"/>
      <c r="B15" s="1479"/>
      <c r="C15" s="1480"/>
      <c r="D15" s="1481"/>
      <c r="E15" s="1482"/>
      <c r="F15" s="1114" t="s">
        <v>3133</v>
      </c>
      <c r="G15" s="1521"/>
      <c r="H15" s="2404"/>
      <c r="I15" s="2405"/>
      <c r="J15" s="2406"/>
      <c r="K15" s="750"/>
      <c r="L15" s="750"/>
      <c r="M15" s="750"/>
      <c r="N15" s="750"/>
      <c r="O15" s="750"/>
      <c r="P15" s="750"/>
      <c r="Q15" s="750"/>
      <c r="R15" s="802">
        <v>14</v>
      </c>
      <c r="S15" s="4161"/>
      <c r="T15" s="4160" t="e">
        <f t="shared" si="0"/>
        <v>#DIV/0!</v>
      </c>
      <c r="U15" s="4161"/>
      <c r="V15" s="4160" t="e">
        <f t="shared" si="1"/>
        <v>#DIV/0!</v>
      </c>
      <c r="W15" s="804"/>
      <c r="X15" s="804"/>
      <c r="Y15" s="804"/>
      <c r="Z15" s="804"/>
      <c r="AA15" s="804"/>
      <c r="AB15" s="804"/>
      <c r="AC15" s="805"/>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50"/>
      <c r="L16" s="1438"/>
      <c r="M16" s="1438"/>
      <c r="N16" s="1438"/>
      <c r="O16" s="1438"/>
      <c r="P16" s="1438"/>
      <c r="Q16" s="750"/>
      <c r="R16" s="802">
        <v>15</v>
      </c>
      <c r="S16" s="4161"/>
      <c r="T16" s="4160" t="e">
        <f t="shared" si="0"/>
        <v>#DIV/0!</v>
      </c>
      <c r="U16" s="4161"/>
      <c r="V16" s="4160" t="e">
        <f t="shared" si="1"/>
        <v>#DIV/0!</v>
      </c>
      <c r="W16" s="804"/>
      <c r="X16" s="804"/>
      <c r="Y16" s="804"/>
      <c r="Z16" s="804"/>
      <c r="AA16" s="804"/>
      <c r="AB16" s="804"/>
      <c r="AC16" s="805"/>
      <c r="AD16" s="2039"/>
      <c r="AE16" s="2039"/>
      <c r="AF16" s="2039"/>
      <c r="AG16" s="2039"/>
      <c r="AH16" s="2039"/>
      <c r="AI16" s="2039"/>
      <c r="AJ16" s="2040"/>
    </row>
    <row r="17" spans="1:37">
      <c r="A17" s="2415" t="s">
        <v>3134</v>
      </c>
      <c r="B17" s="2408" t="s">
        <v>3135</v>
      </c>
      <c r="C17" s="4139">
        <f>ROUND(IF(OR(E2="工业",E2="公共服务"),1,IF(AND(E18=0,E19=0),1,IF(AND(E18=J24,E19=G19),0.8,IF(E19=0,1+E17*(-0.2),1+E17*G17*(-0.2))))),4)</f>
        <v>1</v>
      </c>
      <c r="D17" s="2409" t="s">
        <v>3136</v>
      </c>
      <c r="E17" s="2416" t="e">
        <f>ROUND(G18/I18,2)</f>
        <v>#DIV/0!</v>
      </c>
      <c r="F17" s="2409" t="s">
        <v>3139</v>
      </c>
      <c r="G17" s="2416" t="e">
        <f>ROUND(E19/G19,2)</f>
        <v>#DIV/0!</v>
      </c>
      <c r="H17" s="2416"/>
      <c r="I17" s="2416"/>
      <c r="J17" s="2417"/>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4.25">
      <c r="A18" s="2418"/>
      <c r="B18" s="1847"/>
      <c r="C18" s="4140"/>
      <c r="D18" s="2410" t="s">
        <v>3137</v>
      </c>
      <c r="E18" s="2591"/>
      <c r="F18" s="2411" t="s">
        <v>3140</v>
      </c>
      <c r="G18" s="2414">
        <f>ROUND(1-(1/(POWER(1+G24,E18))),4)</f>
        <v>0</v>
      </c>
      <c r="H18" s="2411" t="s">
        <v>3142</v>
      </c>
      <c r="I18" s="2414">
        <f>ROUND(1-(1/(POWER(1+G24,J24))),4)</f>
        <v>0</v>
      </c>
      <c r="J18" s="2419"/>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8"/>
    </row>
    <row r="19" spans="1:37" s="1452" customFormat="1" ht="15" thickBot="1">
      <c r="A19" s="2420"/>
      <c r="B19" s="2421"/>
      <c r="C19" s="4141"/>
      <c r="D19" s="2422" t="s">
        <v>3138</v>
      </c>
      <c r="E19" s="2924"/>
      <c r="F19" s="2423" t="s">
        <v>3141</v>
      </c>
      <c r="G19" s="2924"/>
      <c r="H19" s="2422"/>
      <c r="I19" s="2422"/>
      <c r="J19" s="2424"/>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41"/>
      <c r="AH19" s="1569"/>
      <c r="AI19" s="2042"/>
      <c r="AJ19" s="2042"/>
      <c r="AK19" s="1493"/>
    </row>
    <row r="20" spans="1:37" s="1452" customFormat="1" ht="14.25">
      <c r="A20" s="4501" t="s">
        <v>3143</v>
      </c>
      <c r="B20" s="66" t="s">
        <v>1901</v>
      </c>
      <c r="C20" s="4142" t="e">
        <f>ROUND(IF(F21="与级别开发程度一致",0,(G21-E21)/C21),0)</f>
        <v>#DIV/0!</v>
      </c>
      <c r="D20" s="2425" t="s">
        <v>1905</v>
      </c>
      <c r="E20" s="2426"/>
      <c r="F20" s="4507" t="s">
        <v>1902</v>
      </c>
      <c r="G20" s="4508"/>
      <c r="H20" s="2412"/>
      <c r="I20" s="2412"/>
      <c r="J20" s="2413"/>
      <c r="K20" s="1483"/>
      <c r="L20" s="1483"/>
      <c r="M20" s="1483"/>
      <c r="N20" s="1483"/>
      <c r="O20" s="1484"/>
      <c r="P20" s="1438"/>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2" customFormat="1" ht="15" thickBot="1">
      <c r="A21" s="4502"/>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46097</v>
      </c>
      <c r="H23" s="2427"/>
      <c r="I23" s="2428" t="str">
        <f>IF(H23="季度增幅（自定义）",SUMIF(N25:N28,E2,O25:O28),"")</f>
        <v/>
      </c>
      <c r="J23" s="2482"/>
      <c r="K23" s="755"/>
      <c r="L23" s="1491" t="s">
        <v>1911</v>
      </c>
      <c r="M23" s="887">
        <f>ROUND(SUMIF(地价!B2:G2,E2,地价!B16:G16),0)</f>
        <v>0</v>
      </c>
      <c r="N23" s="1492"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5"/>
      <c r="L25" s="2038"/>
      <c r="M25" s="2038"/>
      <c r="N25" s="1505"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69"/>
      <c r="AH25" s="1569"/>
      <c r="AI25" s="1569"/>
      <c r="AJ25" s="1569"/>
    </row>
    <row r="26" spans="1:37" ht="14.25">
      <c r="A26" s="1409" t="s">
        <v>1921</v>
      </c>
      <c r="B26" s="1506" t="s">
        <v>1922</v>
      </c>
      <c r="C26" s="1506" t="s">
        <v>3144</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3145</v>
      </c>
      <c r="J26" s="4159" t="str">
        <f>IF(G3&gt;=10,D115,"——")</f>
        <v>——</v>
      </c>
      <c r="K26" s="755"/>
      <c r="L26" s="2038"/>
      <c r="M26" s="2038"/>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5"/>
      <c r="L28" s="2038"/>
      <c r="M28" s="2038"/>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75" thickBot="1">
      <c r="A29" s="1494" t="s">
        <v>362</v>
      </c>
      <c r="B29" s="1516" t="s">
        <v>1929</v>
      </c>
      <c r="C29" s="509"/>
      <c r="D29" s="1462"/>
      <c r="E29" s="1462"/>
      <c r="F29" s="1517"/>
      <c r="G29" s="1462"/>
      <c r="H29" s="1462"/>
      <c r="I29" s="1462"/>
      <c r="J29" s="1463"/>
      <c r="K29" s="750"/>
      <c r="L29" s="1438"/>
      <c r="M29" s="1438"/>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5">
      <c r="A30" s="1518"/>
      <c r="B30" s="1506" t="s">
        <v>1931</v>
      </c>
      <c r="C30" s="4150" t="e">
        <f>IF(B25="容积率修正",E33+SUM(I37:I42),SUM(V2:V16)+SUM(I37:I42))</f>
        <v>#DIV/0!</v>
      </c>
      <c r="D30" s="3849" t="s">
        <v>3791</v>
      </c>
      <c r="E30" s="1436"/>
      <c r="F30" s="1519"/>
      <c r="G30" s="1436"/>
      <c r="H30" s="1436"/>
      <c r="I30" s="1436"/>
      <c r="J30" s="1520"/>
      <c r="K30" s="750"/>
      <c r="L30" s="2433" t="s">
        <v>1843</v>
      </c>
      <c r="M30" s="2434" t="s">
        <v>1897</v>
      </c>
      <c r="N30" s="2434" t="s">
        <v>1898</v>
      </c>
      <c r="O30" s="2434" t="s">
        <v>1899</v>
      </c>
      <c r="P30" s="2434" t="s">
        <v>1900</v>
      </c>
      <c r="Q30" s="2437" t="s">
        <v>3149</v>
      </c>
      <c r="R30" s="754"/>
      <c r="S30" s="754"/>
      <c r="T30" s="751"/>
      <c r="U30" s="751"/>
      <c r="V30" s="751"/>
      <c r="W30" s="750"/>
      <c r="X30" s="750"/>
      <c r="Y30" s="750"/>
      <c r="Z30" s="755"/>
      <c r="AA30" s="755"/>
      <c r="AB30" s="755"/>
      <c r="AC30" s="755"/>
      <c r="AD30" s="755"/>
      <c r="AE30" s="750"/>
      <c r="AF30" s="750"/>
      <c r="AG30" s="1438"/>
      <c r="AH30" s="1438"/>
      <c r="AI30" s="1438"/>
      <c r="AJ30" s="1438"/>
    </row>
    <row r="31" spans="1:37" ht="15.75" thickBot="1">
      <c r="A31" s="1518"/>
      <c r="B31" s="1521" t="s">
        <v>1932</v>
      </c>
      <c r="C31" s="4151" t="e">
        <f>E34+SUM(I37:I42)</f>
        <v>#DIV/0!</v>
      </c>
      <c r="D31" s="1522"/>
      <c r="E31" s="1523"/>
      <c r="F31" s="1524"/>
      <c r="G31" s="1523"/>
      <c r="H31" s="1523"/>
      <c r="I31" s="1523"/>
      <c r="J31" s="1525"/>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50"/>
      <c r="L32" s="2436" t="s">
        <v>1906</v>
      </c>
      <c r="M32" s="1873">
        <f>ROUND($E$24*(1+M31),3)</f>
        <v>5.3999999999999999E-2</v>
      </c>
      <c r="N32" s="1873">
        <f>ROUND($E$24*(1+N31),3)</f>
        <v>5.1999999999999998E-2</v>
      </c>
      <c r="O32" s="1873">
        <f>ROUND($E$24*(1+O31),3)</f>
        <v>0.05</v>
      </c>
      <c r="P32" s="1873">
        <f>ROUND($E$24*(1+P31),3)</f>
        <v>4.8000000000000001E-2</v>
      </c>
      <c r="Q32" s="2438">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4.25">
      <c r="A33" s="1531"/>
      <c r="B33" s="1532" t="s">
        <v>1937</v>
      </c>
      <c r="C33" s="4150" t="e">
        <f>ROUND(C5*C22*C23*C24*C25*C28,0)</f>
        <v>#DIV/0!</v>
      </c>
      <c r="D33" s="4152"/>
      <c r="E33" s="2609" t="e">
        <f>ROUND(C33*D33/10000,0)</f>
        <v>#DIV/0!</v>
      </c>
      <c r="F33" s="2429" t="s">
        <v>3147</v>
      </c>
      <c r="G33" s="1533"/>
      <c r="H33" s="1533"/>
      <c r="I33" s="1533"/>
      <c r="J33" s="1534"/>
      <c r="K33" s="750"/>
      <c r="L33" s="2432" t="s">
        <v>3150</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50"/>
      <c r="L34" s="2432" t="s">
        <v>3151</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30" t="s">
        <v>3148</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3152</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69"/>
      <c r="AH36" s="1569"/>
      <c r="AI36" s="1569"/>
      <c r="AJ36" s="1569"/>
    </row>
    <row r="37" spans="1:37" ht="24.75" thickBot="1">
      <c r="A37" s="4505"/>
      <c r="B37" s="4180" t="s">
        <v>1943</v>
      </c>
      <c r="C37" s="4150" t="e">
        <f>ROUND(D5*C22*C23*C24*C28*F37,0)</f>
        <v>#DIV/0!</v>
      </c>
      <c r="D37" s="4152"/>
      <c r="E37" s="3087" t="e">
        <f>ROUND(C37*D37/10000,0)</f>
        <v>#DIV/0!</v>
      </c>
      <c r="F37" s="3062">
        <f>SUMIF(修正!A59:A70,G2,修正!B59:B70)</f>
        <v>0</v>
      </c>
      <c r="G37" s="3087" t="e">
        <f>ROUND(IF(E2="工业",C37*$M$42,C37*$M$41),0)</f>
        <v>#DIV/0!</v>
      </c>
      <c r="H37" s="3062">
        <f>D37</f>
        <v>0</v>
      </c>
      <c r="I37" s="3087" t="e">
        <f>ROUND(G37*H37/10000,0)</f>
        <v>#DIV/0!</v>
      </c>
      <c r="J37" s="2183"/>
      <c r="K37" s="2439" t="s">
        <v>3153</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69"/>
      <c r="AH37" s="1569"/>
      <c r="AI37" s="1569"/>
      <c r="AJ37" s="1569"/>
    </row>
    <row r="38" spans="1:37">
      <c r="A38" s="4506"/>
      <c r="B38" s="3538" t="s">
        <v>1944</v>
      </c>
      <c r="C38" s="4150" t="e">
        <f>ROUND(D5*C22*C23*C24*C28*F38,0)</f>
        <v>#DIV/0!</v>
      </c>
      <c r="D38" s="4152"/>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5" thickBot="1">
      <c r="A39" s="4506"/>
      <c r="B39" s="3538" t="s">
        <v>3146</v>
      </c>
      <c r="C39" s="4150" t="e">
        <f>ROUND(D5*C22*C23*C24*C28*F39,0)</f>
        <v>#DIV/0!</v>
      </c>
      <c r="D39" s="4152"/>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38" t="s">
        <v>1945</v>
      </c>
      <c r="C40" s="3087" t="e">
        <f>ROUND(D5*C22*C23*C24*C28*F40,0)</f>
        <v>#DIV/0!</v>
      </c>
      <c r="D40" s="4152"/>
      <c r="E40" s="3087" t="e">
        <f t="shared" si="4"/>
        <v>#DIV/0!</v>
      </c>
      <c r="F40" s="4155">
        <f>SUMIF(修正!A59:A70,G2,修正!E59:E70)</f>
        <v>0</v>
      </c>
      <c r="G40" s="3087" t="e">
        <f>ROUND(IF(E2="工业",C40*$M$42,C40*$M$41),0)</f>
        <v>#DIV/0!</v>
      </c>
      <c r="H40" s="3062">
        <f t="shared" si="5"/>
        <v>0</v>
      </c>
      <c r="I40" s="3087" t="e">
        <f t="shared" si="6"/>
        <v>#DIV/0!</v>
      </c>
      <c r="J40" s="665"/>
      <c r="L40" s="1547" t="s">
        <v>1946</v>
      </c>
      <c r="M40" s="1548"/>
      <c r="Z40" s="751"/>
      <c r="AA40" s="751"/>
      <c r="AB40" s="751"/>
      <c r="AC40" s="751"/>
      <c r="AD40" s="751"/>
      <c r="AE40" s="751"/>
      <c r="AF40" s="751"/>
      <c r="AG40" s="751"/>
      <c r="AH40" s="751"/>
      <c r="AI40" s="751"/>
      <c r="AJ40" s="751"/>
    </row>
    <row r="41" spans="1:37" s="750" customFormat="1">
      <c r="A41" s="1546"/>
      <c r="B41" s="3538" t="s">
        <v>1947</v>
      </c>
      <c r="C41" s="3087" t="e">
        <f>ROUND(D5*C22*C23*C44*C28*F41,0)</f>
        <v>#DIV/0!</v>
      </c>
      <c r="D41" s="4152"/>
      <c r="E41" s="3087" t="e">
        <f t="shared" si="4"/>
        <v>#DIV/0!</v>
      </c>
      <c r="F41" s="4155">
        <f>SUMIF(修正!A59:A70,G2,修正!F59:F70)</f>
        <v>0</v>
      </c>
      <c r="G41" s="3087" t="e">
        <f>ROUND(IF(E2="工业",C41*$M$42,C41*$M$41),0)</f>
        <v>#DIV/0!</v>
      </c>
      <c r="H41" s="3062">
        <f t="shared" si="5"/>
        <v>0</v>
      </c>
      <c r="I41" s="3087" t="e">
        <f t="shared" si="6"/>
        <v>#DIV/0!</v>
      </c>
      <c r="J41" s="665"/>
      <c r="L41" s="2440" t="s">
        <v>3154</v>
      </c>
      <c r="M41" s="1549">
        <v>0.25</v>
      </c>
      <c r="Z41" s="751"/>
      <c r="AA41" s="751"/>
      <c r="AB41" s="751"/>
      <c r="AC41" s="751"/>
      <c r="AD41" s="751"/>
      <c r="AE41" s="751"/>
      <c r="AF41" s="751"/>
      <c r="AG41" s="751"/>
      <c r="AH41" s="751"/>
      <c r="AI41" s="751"/>
      <c r="AJ41" s="751"/>
    </row>
    <row r="42" spans="1:37" s="750"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1" t="s">
        <v>2026</v>
      </c>
      <c r="C44" s="224" t="e">
        <f>ROUND(POWER(1+E44,H44-G44)*(POWER(1+E44,G44)-1)/(POWER(1+E44,H44)-1),4)</f>
        <v>#DIV/0!</v>
      </c>
      <c r="D44" s="69" t="s">
        <v>1906</v>
      </c>
      <c r="E44" s="1580">
        <f>G24</f>
        <v>0</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75" thickBot="1">
      <c r="A47" s="1554" t="s">
        <v>1949</v>
      </c>
      <c r="B47" s="1555"/>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6" t="s">
        <v>1950</v>
      </c>
      <c r="B48" s="4182">
        <f>1+E50</f>
        <v>1</v>
      </c>
      <c r="C48" s="1344"/>
      <c r="D48" s="504"/>
      <c r="E48" s="505"/>
      <c r="F48" s="1558"/>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59" t="s">
        <v>1951</v>
      </c>
      <c r="B49" s="905" t="s">
        <v>1952</v>
      </c>
      <c r="C49" s="905" t="s">
        <v>1953</v>
      </c>
      <c r="D49" s="905" t="s">
        <v>1954</v>
      </c>
      <c r="E49" s="506" t="s">
        <v>1955</v>
      </c>
      <c r="F49" s="1560" t="s">
        <v>1956</v>
      </c>
      <c r="G49" s="905" t="s">
        <v>308</v>
      </c>
      <c r="H49" s="1561"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59" t="s">
        <v>1959</v>
      </c>
      <c r="B50" s="1562" t="str">
        <f>估价对象房地状况!C4</f>
        <v>估价对象位于XX商圈，周边商业氛围成熟，人流量大，商业繁华度好</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1"/>
      <c r="AB50" s="751"/>
      <c r="AC50" s="751"/>
      <c r="AD50" s="751"/>
      <c r="AE50" s="751"/>
      <c r="AF50" s="751"/>
      <c r="AG50" s="751"/>
      <c r="AH50" s="751"/>
      <c r="AI50" s="751"/>
      <c r="AJ50" s="751"/>
      <c r="AK50" s="751"/>
    </row>
    <row r="51" spans="1:37" s="750" customFormat="1" ht="38.25">
      <c r="A51" s="1559" t="s">
        <v>1960</v>
      </c>
      <c r="B51" s="905" t="str">
        <f>估价对象房地状况!C18</f>
        <v>估价对象周边道路状况、公共交通通达情况、停车便捷程度，综合评价交通便捷度较好</v>
      </c>
      <c r="C51" s="1481"/>
      <c r="D51" s="4183">
        <f t="shared" si="7"/>
        <v>0</v>
      </c>
      <c r="E51" s="4185"/>
      <c r="F51" s="1301"/>
      <c r="G51" s="4187"/>
      <c r="H51" s="4188" t="str">
        <f t="shared" si="8"/>
        <v>——</v>
      </c>
      <c r="I51" s="4189">
        <v>0.22</v>
      </c>
      <c r="J51" s="4190">
        <f t="shared" si="9"/>
        <v>0</v>
      </c>
      <c r="K51" s="4190">
        <f t="shared" si="10"/>
        <v>0</v>
      </c>
      <c r="L51" s="4190">
        <v>0</v>
      </c>
      <c r="M51" s="4190">
        <f t="shared" si="11"/>
        <v>0</v>
      </c>
      <c r="N51" s="4190">
        <f t="shared" si="11"/>
        <v>0</v>
      </c>
      <c r="AA51" s="751"/>
      <c r="AB51" s="751"/>
      <c r="AC51" s="751"/>
      <c r="AD51" s="751"/>
      <c r="AE51" s="751"/>
      <c r="AF51" s="751"/>
      <c r="AG51" s="751"/>
      <c r="AH51" s="751"/>
      <c r="AI51" s="751"/>
      <c r="AJ51" s="751"/>
      <c r="AK51" s="751"/>
    </row>
    <row r="52" spans="1:37" s="750" customFormat="1" ht="36">
      <c r="A52" s="2442" t="s">
        <v>3156</v>
      </c>
      <c r="B52" s="905">
        <f>估价对象房地状况!C19</f>
        <v>0</v>
      </c>
      <c r="C52" s="1481"/>
      <c r="D52" s="4183">
        <f t="shared" si="7"/>
        <v>0</v>
      </c>
      <c r="E52" s="4185"/>
      <c r="F52" s="1301"/>
      <c r="G52" s="4187"/>
      <c r="H52" s="4188" t="str">
        <f t="shared" si="8"/>
        <v>——</v>
      </c>
      <c r="I52" s="4189">
        <v>0.12</v>
      </c>
      <c r="J52" s="4190">
        <f t="shared" si="9"/>
        <v>0</v>
      </c>
      <c r="K52" s="4190">
        <f t="shared" si="10"/>
        <v>0</v>
      </c>
      <c r="L52" s="4190">
        <v>0</v>
      </c>
      <c r="M52" s="4190">
        <f t="shared" si="11"/>
        <v>0</v>
      </c>
      <c r="N52" s="4190">
        <f t="shared" si="11"/>
        <v>0</v>
      </c>
      <c r="AA52" s="751"/>
      <c r="AB52" s="751"/>
      <c r="AC52" s="751"/>
      <c r="AD52" s="751"/>
      <c r="AE52" s="751"/>
      <c r="AF52" s="751"/>
      <c r="AG52" s="751"/>
      <c r="AH52" s="751"/>
      <c r="AI52" s="751"/>
      <c r="AJ52" s="751"/>
      <c r="AK52" s="751"/>
    </row>
    <row r="53" spans="1:37" s="750" customFormat="1" ht="36.75">
      <c r="A53" s="1559" t="s">
        <v>1961</v>
      </c>
      <c r="B53" s="1563" t="s">
        <v>1962</v>
      </c>
      <c r="C53" s="1481"/>
      <c r="D53" s="4183">
        <f t="shared" si="7"/>
        <v>0</v>
      </c>
      <c r="E53" s="4185"/>
      <c r="F53" s="1301"/>
      <c r="G53" s="4187"/>
      <c r="H53" s="4188" t="str">
        <f t="shared" si="8"/>
        <v>——</v>
      </c>
      <c r="I53" s="4189">
        <v>0.05</v>
      </c>
      <c r="J53" s="4190">
        <f t="shared" si="9"/>
        <v>0</v>
      </c>
      <c r="K53" s="4190">
        <f t="shared" si="10"/>
        <v>0</v>
      </c>
      <c r="L53" s="4190">
        <v>0</v>
      </c>
      <c r="M53" s="4190">
        <f t="shared" si="11"/>
        <v>0</v>
      </c>
      <c r="N53" s="4190">
        <f t="shared" si="11"/>
        <v>0</v>
      </c>
      <c r="AA53" s="751"/>
      <c r="AB53" s="751"/>
      <c r="AC53" s="751"/>
      <c r="AD53" s="751"/>
      <c r="AE53" s="751"/>
      <c r="AF53" s="751"/>
      <c r="AG53" s="751"/>
      <c r="AH53" s="751"/>
      <c r="AI53" s="751"/>
      <c r="AJ53" s="751"/>
      <c r="AK53" s="751"/>
    </row>
    <row r="54" spans="1:37" s="750" customFormat="1" ht="24">
      <c r="A54" s="1559" t="s">
        <v>1963</v>
      </c>
      <c r="B54" s="905">
        <f>估价对象房地状况!C24</f>
        <v>0</v>
      </c>
      <c r="C54" s="1481"/>
      <c r="D54" s="4183">
        <f t="shared" si="7"/>
        <v>0</v>
      </c>
      <c r="E54" s="4185"/>
      <c r="F54" s="1301"/>
      <c r="G54" s="4187"/>
      <c r="H54" s="4188" t="str">
        <f t="shared" si="8"/>
        <v>——</v>
      </c>
      <c r="I54" s="4189">
        <v>0.08</v>
      </c>
      <c r="J54" s="4190">
        <f t="shared" si="9"/>
        <v>0</v>
      </c>
      <c r="K54" s="4190">
        <f t="shared" si="10"/>
        <v>0</v>
      </c>
      <c r="L54" s="4190">
        <v>0</v>
      </c>
      <c r="M54" s="4190">
        <f t="shared" si="11"/>
        <v>0</v>
      </c>
      <c r="N54" s="4190">
        <f t="shared" si="11"/>
        <v>0</v>
      </c>
      <c r="AA54" s="751"/>
      <c r="AB54" s="751"/>
      <c r="AC54" s="751"/>
      <c r="AD54" s="751"/>
      <c r="AE54" s="751"/>
      <c r="AF54" s="751"/>
      <c r="AG54" s="751"/>
      <c r="AH54" s="751"/>
      <c r="AI54" s="751"/>
      <c r="AJ54" s="751"/>
      <c r="AK54" s="751"/>
    </row>
    <row r="55" spans="1:37" s="750" customFormat="1" ht="24">
      <c r="A55" s="1559" t="s">
        <v>1964</v>
      </c>
      <c r="B55" s="1564" t="s">
        <v>1965</v>
      </c>
      <c r="C55" s="1481"/>
      <c r="D55" s="4183">
        <f t="shared" si="7"/>
        <v>0</v>
      </c>
      <c r="E55" s="4185"/>
      <c r="F55" s="1301"/>
      <c r="G55" s="4187"/>
      <c r="H55" s="4188" t="str">
        <f t="shared" si="8"/>
        <v>——</v>
      </c>
      <c r="I55" s="4189">
        <v>0.05</v>
      </c>
      <c r="J55" s="4190">
        <f t="shared" si="9"/>
        <v>0</v>
      </c>
      <c r="K55" s="4190">
        <f t="shared" si="10"/>
        <v>0</v>
      </c>
      <c r="L55" s="4190">
        <v>0</v>
      </c>
      <c r="M55" s="4190">
        <f t="shared" si="11"/>
        <v>0</v>
      </c>
      <c r="N55" s="4190">
        <f t="shared" si="11"/>
        <v>0</v>
      </c>
      <c r="AA55" s="751"/>
      <c r="AB55" s="751"/>
      <c r="AC55" s="751"/>
      <c r="AD55" s="751"/>
      <c r="AE55" s="751"/>
      <c r="AF55" s="751"/>
      <c r="AG55" s="751"/>
      <c r="AH55" s="751"/>
      <c r="AI55" s="751"/>
      <c r="AJ55" s="751"/>
      <c r="AK55" s="751"/>
    </row>
    <row r="56" spans="1:37" s="750" customFormat="1" ht="25.5">
      <c r="A56" s="1565" t="s">
        <v>1966</v>
      </c>
      <c r="B56" s="886" t="str">
        <f>估价对象房地状况!C21</f>
        <v>估价对象所在区域公共配套设施齐备情况</v>
      </c>
      <c r="C56" s="1481"/>
      <c r="D56" s="4183">
        <f t="shared" si="7"/>
        <v>0</v>
      </c>
      <c r="E56" s="4185"/>
      <c r="F56" s="1301"/>
      <c r="G56" s="4187"/>
      <c r="H56" s="4188" t="str">
        <f t="shared" si="8"/>
        <v>——</v>
      </c>
      <c r="I56" s="4189">
        <v>0.05</v>
      </c>
      <c r="J56" s="4190">
        <f t="shared" si="9"/>
        <v>0</v>
      </c>
      <c r="K56" s="4190">
        <f t="shared" si="10"/>
        <v>0</v>
      </c>
      <c r="L56" s="4190">
        <v>0</v>
      </c>
      <c r="M56" s="4190">
        <f t="shared" si="11"/>
        <v>0</v>
      </c>
      <c r="N56" s="4190">
        <f t="shared" si="11"/>
        <v>0</v>
      </c>
      <c r="AA56" s="751"/>
      <c r="AB56" s="751"/>
      <c r="AC56" s="751"/>
      <c r="AD56" s="751"/>
      <c r="AE56" s="751"/>
      <c r="AF56" s="751"/>
      <c r="AG56" s="751"/>
      <c r="AH56" s="751"/>
      <c r="AI56" s="751"/>
      <c r="AJ56" s="751"/>
      <c r="AK56" s="751"/>
    </row>
    <row r="57" spans="1:37" s="750" customFormat="1" ht="25.5">
      <c r="A57" s="1565" t="s">
        <v>1967</v>
      </c>
      <c r="B57" s="905" t="str">
        <f>估价对象房地状况!C22</f>
        <v>估价对象所在区域基础设施水平</v>
      </c>
      <c r="C57" s="1481"/>
      <c r="D57" s="4183">
        <f t="shared" si="7"/>
        <v>0</v>
      </c>
      <c r="E57" s="4185"/>
      <c r="F57" s="1301"/>
      <c r="G57" s="4187"/>
      <c r="H57" s="4188" t="str">
        <f t="shared" si="8"/>
        <v>——</v>
      </c>
      <c r="I57" s="4189">
        <v>0.08</v>
      </c>
      <c r="J57" s="4190">
        <f t="shared" si="9"/>
        <v>0</v>
      </c>
      <c r="K57" s="4190">
        <f t="shared" si="10"/>
        <v>0</v>
      </c>
      <c r="L57" s="4190">
        <v>0</v>
      </c>
      <c r="M57" s="4190">
        <f t="shared" si="11"/>
        <v>0</v>
      </c>
      <c r="N57" s="4190">
        <f t="shared" si="11"/>
        <v>0</v>
      </c>
      <c r="AA57" s="751"/>
      <c r="AB57" s="751"/>
      <c r="AC57" s="751"/>
      <c r="AD57" s="751"/>
      <c r="AE57" s="751"/>
      <c r="AF57" s="751"/>
      <c r="AG57" s="751"/>
      <c r="AH57" s="751"/>
      <c r="AI57" s="751"/>
      <c r="AJ57" s="751"/>
      <c r="AK57" s="751"/>
    </row>
    <row r="58" spans="1:37" s="750" customFormat="1" ht="26.25" thickBot="1">
      <c r="A58" s="1566" t="s">
        <v>1968</v>
      </c>
      <c r="B58" s="1567" t="str">
        <f>估价对象房地状况!C20</f>
        <v>区域自然环境：；人文环境；综合评价环境状况一般</v>
      </c>
      <c r="C58" s="1481"/>
      <c r="D58" s="4183">
        <f t="shared" si="7"/>
        <v>0</v>
      </c>
      <c r="E58" s="4186"/>
      <c r="F58" s="1301"/>
      <c r="G58" s="4187"/>
      <c r="H58" s="4188" t="str">
        <f t="shared" si="8"/>
        <v>——</v>
      </c>
      <c r="I58" s="4191">
        <v>0.05</v>
      </c>
      <c r="J58" s="4190">
        <f t="shared" si="9"/>
        <v>0</v>
      </c>
      <c r="K58" s="4190">
        <f t="shared" si="10"/>
        <v>0</v>
      </c>
      <c r="L58" s="4190">
        <v>0</v>
      </c>
      <c r="M58" s="4190">
        <f t="shared" si="11"/>
        <v>0</v>
      </c>
      <c r="N58" s="4190">
        <f t="shared" si="11"/>
        <v>0</v>
      </c>
      <c r="AA58" s="751"/>
      <c r="AB58" s="751"/>
      <c r="AC58" s="751"/>
      <c r="AD58" s="751"/>
      <c r="AE58" s="751"/>
      <c r="AF58" s="751"/>
      <c r="AG58" s="751"/>
      <c r="AH58" s="751"/>
      <c r="AI58" s="751"/>
      <c r="AJ58" s="751"/>
      <c r="AK58" s="751"/>
    </row>
    <row r="59" spans="1:37" s="750" customFormat="1" ht="15">
      <c r="A59" s="1556" t="s">
        <v>1969</v>
      </c>
      <c r="B59" s="1557">
        <f>1+E61</f>
        <v>1</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59" t="s">
        <v>1951</v>
      </c>
      <c r="B60" s="905"/>
      <c r="C60" s="905" t="s">
        <v>1953</v>
      </c>
      <c r="D60" s="905" t="s">
        <v>1954</v>
      </c>
      <c r="E60" s="506" t="s">
        <v>1955</v>
      </c>
      <c r="F60" s="1560" t="s">
        <v>1970</v>
      </c>
      <c r="G60" s="905" t="s">
        <v>308</v>
      </c>
      <c r="H60" s="1561"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59" t="s">
        <v>1971</v>
      </c>
      <c r="B61" s="1562" t="str">
        <f>估价对象房地状况!C17</f>
        <v>估价对象位于XX商圈，周边办公楼项目较多，入驻率高，办公集聚程度较好</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38.25">
      <c r="A62" s="1559" t="s">
        <v>1960</v>
      </c>
      <c r="B62" s="905" t="str">
        <f>估价对象房地状况!C18</f>
        <v>估价对象周边道路状况、公共交通通达情况、停车便捷程度，综合评价交通便捷度较好</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6">
      <c r="A63" s="2442" t="s">
        <v>3156</v>
      </c>
      <c r="B63" s="905">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4">
      <c r="A65" s="1559" t="s">
        <v>1963</v>
      </c>
      <c r="B65" s="905">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5.5">
      <c r="A67" s="1559" t="s">
        <v>1966</v>
      </c>
      <c r="B67" s="886" t="str">
        <f>估价对象房地状况!C21</f>
        <v>估价对象所在区域公共配套设施齐备情况</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5.5">
      <c r="A68" s="1559" t="s">
        <v>1967</v>
      </c>
      <c r="B68" s="886" t="str">
        <f>估价对象房地状况!C22</f>
        <v>估价对象所在区域基础设施水平</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25" thickBot="1">
      <c r="A69" s="1566" t="s">
        <v>1968</v>
      </c>
      <c r="B69" s="1568" t="str">
        <f>估价对象房地状况!C20</f>
        <v>区域自然环境：；人文环境；综合评价环境状况一般</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5">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59" t="s">
        <v>1951</v>
      </c>
      <c r="B71" s="905"/>
      <c r="C71" s="905" t="s">
        <v>1953</v>
      </c>
      <c r="D71" s="905" t="s">
        <v>1954</v>
      </c>
      <c r="E71" s="506" t="s">
        <v>1955</v>
      </c>
      <c r="F71" s="1560" t="s">
        <v>1970</v>
      </c>
      <c r="G71" s="905" t="s">
        <v>308</v>
      </c>
      <c r="H71" s="1561"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59" t="s">
        <v>1973</v>
      </c>
      <c r="B72" s="1562" t="str">
        <f>估价对象房地状况!C15</f>
        <v>估价对象周边居住用地比例、居住小区规模和社区发展完善程度，综合评价居住社区成熟度一般</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38.25">
      <c r="A73" s="1559" t="s">
        <v>1960</v>
      </c>
      <c r="B73" s="905" t="str">
        <f>估价对象房地状况!C18</f>
        <v>估价对象周边道路状况、公共交通通达情况、停车便捷程度，综合评价交通便捷度较好</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8" customFormat="1" ht="36">
      <c r="A74" s="2442" t="s">
        <v>3156</v>
      </c>
      <c r="B74" s="905">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69"/>
      <c r="AB74" s="751"/>
      <c r="AC74" s="751"/>
      <c r="AD74" s="751"/>
      <c r="AE74" s="751"/>
      <c r="AF74" s="751"/>
      <c r="AG74" s="751"/>
      <c r="AH74" s="1569"/>
      <c r="AI74" s="1569"/>
      <c r="AJ74" s="1569"/>
      <c r="AK74" s="1569"/>
    </row>
    <row r="75" spans="1:37" ht="14.25">
      <c r="A75" s="1559" t="s">
        <v>1974</v>
      </c>
      <c r="B75" s="905">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8"/>
      <c r="Z75" s="1439"/>
      <c r="AA75" s="1489"/>
      <c r="AG75" s="752"/>
      <c r="AK75" s="1489"/>
    </row>
    <row r="76" spans="1:37" ht="25.5">
      <c r="A76" s="1559" t="s">
        <v>1966</v>
      </c>
      <c r="B76" s="886" t="str">
        <f>估价对象房地状况!C21</f>
        <v>估价对象所在区域公共配套设施齐备情况</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39"/>
      <c r="AA76" s="1489"/>
      <c r="AG76" s="752"/>
      <c r="AK76" s="1489"/>
    </row>
    <row r="77" spans="1:37" ht="25.5">
      <c r="A77" s="1559" t="s">
        <v>1967</v>
      </c>
      <c r="B77" s="886" t="str">
        <f>估价对象房地状况!C22</f>
        <v>估价对象所在区域基础设施水平</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39"/>
      <c r="AA77" s="1489"/>
      <c r="AG77" s="752"/>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2"/>
      <c r="AK78" s="1489"/>
    </row>
    <row r="79" spans="1:37" ht="25.5">
      <c r="A79" s="1559" t="s">
        <v>1968</v>
      </c>
      <c r="B79" s="1562" t="str">
        <f>估价对象房地状况!C20</f>
        <v>区域自然环境：；人文环境；综合评价环境状况一般</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2"/>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2"/>
      <c r="AK80" s="1489"/>
    </row>
    <row r="81" spans="1:37" ht="15">
      <c r="A81" s="1556" t="s">
        <v>1976</v>
      </c>
      <c r="B81" s="1557">
        <f>1+E83</f>
        <v>1</v>
      </c>
      <c r="C81" s="504"/>
      <c r="D81" s="504"/>
      <c r="E81" s="505"/>
      <c r="F81" s="1558"/>
      <c r="G81" s="3"/>
      <c r="H81" s="3"/>
      <c r="I81" s="3"/>
      <c r="J81" s="4"/>
      <c r="K81" s="4"/>
      <c r="L81" s="4"/>
      <c r="M81" s="4"/>
      <c r="N81" s="4"/>
      <c r="Z81" s="1439"/>
      <c r="AA81" s="1489"/>
      <c r="AG81" s="752"/>
      <c r="AK81" s="1489"/>
    </row>
    <row r="82" spans="1:37" ht="24.75">
      <c r="A82" s="1559" t="s">
        <v>1951</v>
      </c>
      <c r="B82" s="905"/>
      <c r="C82" s="905" t="s">
        <v>1953</v>
      </c>
      <c r="D82" s="905" t="s">
        <v>1954</v>
      </c>
      <c r="E82" s="506" t="s">
        <v>1955</v>
      </c>
      <c r="F82" s="1560" t="s">
        <v>1970</v>
      </c>
      <c r="G82" s="905" t="s">
        <v>308</v>
      </c>
      <c r="H82" s="1561" t="s">
        <v>1957</v>
      </c>
      <c r="I82" s="905" t="s">
        <v>1958</v>
      </c>
      <c r="J82" s="389" t="s">
        <v>1628</v>
      </c>
      <c r="K82" s="389" t="s">
        <v>1629</v>
      </c>
      <c r="L82" s="389" t="s">
        <v>1630</v>
      </c>
      <c r="M82" s="389" t="s">
        <v>1631</v>
      </c>
      <c r="N82" s="389" t="s">
        <v>1632</v>
      </c>
      <c r="Z82" s="1439"/>
      <c r="AA82" s="1489"/>
      <c r="AG82" s="752"/>
      <c r="AK82" s="1489"/>
    </row>
    <row r="83" spans="1:37" ht="38.25">
      <c r="A83" s="1559" t="s">
        <v>1977</v>
      </c>
      <c r="B83" s="905" t="str">
        <f>估价对象房地状况!G15</f>
        <v>估价对象位于XX开发区，园区建设成熟度XX，产业集聚程度XX</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2"/>
      <c r="AK83" s="1489"/>
    </row>
    <row r="84" spans="1:37" ht="38.25">
      <c r="A84" s="1559" t="s">
        <v>1960</v>
      </c>
      <c r="B84" s="905" t="str">
        <f>估价对象房地状况!G16</f>
        <v>估价对象周边道路状况、公共交通通达情况、停车便捷程度，综合评价交通便捷度较好</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2"/>
      <c r="AK84" s="1489"/>
    </row>
    <row r="85" spans="1:37" ht="36">
      <c r="A85" s="2442" t="s">
        <v>3157</v>
      </c>
      <c r="B85" s="905">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2"/>
      <c r="AK85" s="1489"/>
    </row>
    <row r="86" spans="1:37" ht="14.25">
      <c r="A86" s="1559" t="s">
        <v>1974</v>
      </c>
      <c r="B86" s="905">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2"/>
      <c r="AK86" s="1489"/>
    </row>
    <row r="87" spans="1:37" ht="25.5">
      <c r="A87" s="1559" t="s">
        <v>1966</v>
      </c>
      <c r="B87" s="886" t="str">
        <f>估价对象房地状况!G19</f>
        <v>估价对象所在区域公共配套设施齐备情况</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5.5">
      <c r="A88" s="1559" t="s">
        <v>1967</v>
      </c>
      <c r="B88" s="886" t="str">
        <f>估价对象房地状况!G20</f>
        <v>估价对象所在区域基础设施水平</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9" thickBot="1">
      <c r="A90" s="1566" t="s">
        <v>1979</v>
      </c>
      <c r="B90" s="1571" t="str">
        <f>估价对象房地状况!G18</f>
        <v>该园区内是否有污染型企业，绿化情况，卫生条件，整体环境状况判断</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2501</v>
      </c>
      <c r="B91" s="2451">
        <f>1+E93</f>
        <v>1</v>
      </c>
      <c r="C91" s="2444"/>
      <c r="D91" s="2445"/>
      <c r="E91" s="1301"/>
      <c r="F91" s="1301"/>
      <c r="G91" s="2446"/>
      <c r="H91" s="2447"/>
      <c r="I91" s="2448"/>
      <c r="J91" s="2449"/>
      <c r="K91" s="2449"/>
      <c r="L91" s="2449"/>
      <c r="M91" s="2449"/>
      <c r="N91" s="2449"/>
    </row>
    <row r="92" spans="1:37" ht="24.75">
      <c r="A92" s="2452" t="s">
        <v>3158</v>
      </c>
      <c r="B92" s="1847"/>
      <c r="C92" s="1847" t="s">
        <v>3167</v>
      </c>
      <c r="D92" s="1847" t="s">
        <v>3168</v>
      </c>
      <c r="E92" s="2431" t="s">
        <v>3169</v>
      </c>
      <c r="F92" s="2454" t="s">
        <v>3170</v>
      </c>
      <c r="G92" s="1847" t="s">
        <v>3171</v>
      </c>
      <c r="H92" s="2458" t="s">
        <v>3174</v>
      </c>
      <c r="I92" s="1847" t="s">
        <v>3175</v>
      </c>
      <c r="J92" s="1697" t="s">
        <v>3176</v>
      </c>
      <c r="K92" s="1697" t="s">
        <v>3177</v>
      </c>
      <c r="L92" s="1697" t="s">
        <v>3178</v>
      </c>
      <c r="M92" s="1697" t="s">
        <v>3179</v>
      </c>
      <c r="N92" s="1697" t="s">
        <v>3180</v>
      </c>
    </row>
    <row r="93" spans="1:37" ht="24">
      <c r="A93" s="2442" t="s">
        <v>3159</v>
      </c>
      <c r="B93" s="877"/>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38.25">
      <c r="A94" s="2452" t="s">
        <v>3160</v>
      </c>
      <c r="B94" s="2443" t="str">
        <f>估价对象房地状况!C18</f>
        <v>估价对象周边道路状况、公共交通通达情况、停车便捷程度，综合评价交通便捷度较好</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3156</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3161</v>
      </c>
      <c r="B96" s="2455" t="s">
        <v>3172</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3162</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3163</v>
      </c>
      <c r="B98" s="2456" t="s">
        <v>3173</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5.5">
      <c r="A99" s="2452" t="s">
        <v>3164</v>
      </c>
      <c r="B99" s="2443" t="str">
        <f>估价对象房地状况!C21</f>
        <v>估价对象所在区域公共配套设施齐备情况</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5.5">
      <c r="A100" s="2452" t="s">
        <v>3165</v>
      </c>
      <c r="B100" s="2443" t="str">
        <f>估价对象房地状况!C22</f>
        <v>估价对象所在区域基础设施水平</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25" thickBot="1">
      <c r="A101" s="2453" t="s">
        <v>3166</v>
      </c>
      <c r="B101" s="2457" t="str">
        <f>估价对象房地状况!C20</f>
        <v>区域自然环境：；人文环境；综合评价环境状况一般</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503" t="s">
        <v>3181</v>
      </c>
      <c r="B103" s="4503"/>
      <c r="C103" s="4503"/>
      <c r="D103" s="4503"/>
      <c r="E103" s="4503"/>
      <c r="F103" s="4503"/>
      <c r="G103" s="4503"/>
      <c r="H103" s="4503"/>
      <c r="I103" s="4503"/>
      <c r="J103" s="4503"/>
      <c r="K103" s="1293"/>
      <c r="L103" s="1293"/>
      <c r="M103" s="1293"/>
      <c r="N103" s="1293"/>
    </row>
    <row r="104" spans="1:14">
      <c r="A104" s="4504" t="s">
        <v>3182</v>
      </c>
      <c r="B104" s="4504" t="s">
        <v>3183</v>
      </c>
      <c r="C104" s="4213" t="s">
        <v>3184</v>
      </c>
      <c r="D104" s="1533"/>
      <c r="E104" s="1533"/>
      <c r="F104" s="1533"/>
      <c r="G104" s="1533"/>
      <c r="H104" s="1533"/>
      <c r="I104" s="1533"/>
      <c r="J104" s="1533"/>
      <c r="K104" s="1533"/>
      <c r="L104" s="1533"/>
      <c r="M104" s="1533"/>
      <c r="N104" s="4214"/>
    </row>
    <row r="105" spans="1:14">
      <c r="A105" s="4504"/>
      <c r="B105" s="4504"/>
      <c r="C105" s="2459" t="s">
        <v>3185</v>
      </c>
      <c r="D105" s="2459" t="s">
        <v>3186</v>
      </c>
      <c r="E105" s="2459" t="s">
        <v>3187</v>
      </c>
      <c r="F105" s="2459" t="s">
        <v>3188</v>
      </c>
      <c r="G105" s="2459" t="s">
        <v>3189</v>
      </c>
      <c r="H105" s="2459" t="s">
        <v>3190</v>
      </c>
      <c r="I105" s="2459" t="s">
        <v>3191</v>
      </c>
      <c r="J105" s="2459" t="s">
        <v>3192</v>
      </c>
      <c r="K105" s="2459" t="s">
        <v>3193</v>
      </c>
      <c r="L105" s="2459" t="s">
        <v>3194</v>
      </c>
      <c r="M105" s="2459" t="s">
        <v>3195</v>
      </c>
      <c r="N105" s="2459" t="s">
        <v>3196</v>
      </c>
    </row>
    <row r="106" spans="1:14">
      <c r="A106" s="4494" t="s">
        <v>3197</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495"/>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495"/>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495"/>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495"/>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495"/>
      <c r="B111" s="2459" t="s">
        <v>3155</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496"/>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497" t="s">
        <v>3198</v>
      </c>
      <c r="B113" s="4497"/>
      <c r="C113" s="4497"/>
      <c r="D113" s="4497"/>
      <c r="E113" s="4497"/>
      <c r="F113" s="4497"/>
      <c r="G113" s="4497"/>
      <c r="H113" s="4497"/>
      <c r="I113" s="4497"/>
      <c r="J113" s="4497"/>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3199</v>
      </c>
      <c r="B116" s="4211">
        <f>G3</f>
        <v>0</v>
      </c>
      <c r="C116" s="4208" t="s">
        <v>3200</v>
      </c>
      <c r="D116" s="4212">
        <f>SUMPRODUCT((A118:A122=F116)*(B117:M117=H116)*B118:M122)</f>
        <v>0</v>
      </c>
      <c r="E116" s="4208" t="s">
        <v>3201</v>
      </c>
      <c r="F116" s="4209">
        <f>E2</f>
        <v>0</v>
      </c>
      <c r="G116" s="4208" t="s">
        <v>3202</v>
      </c>
      <c r="H116" s="4209">
        <f>G2</f>
        <v>0</v>
      </c>
      <c r="I116" s="4210"/>
      <c r="J116" s="2462"/>
      <c r="K116" s="2462"/>
      <c r="L116" s="2462"/>
      <c r="M116" s="2462"/>
      <c r="N116" s="2461"/>
    </row>
    <row r="117" spans="1:14">
      <c r="A117" s="2433"/>
      <c r="B117" s="2463" t="s">
        <v>3203</v>
      </c>
      <c r="C117" s="2463" t="s">
        <v>3204</v>
      </c>
      <c r="D117" s="2463" t="s">
        <v>3205</v>
      </c>
      <c r="E117" s="2463" t="s">
        <v>3206</v>
      </c>
      <c r="F117" s="2463" t="s">
        <v>3207</v>
      </c>
      <c r="G117" s="2463" t="s">
        <v>3208</v>
      </c>
      <c r="H117" s="4204" t="s">
        <v>3209</v>
      </c>
      <c r="I117" s="4204" t="s">
        <v>3210</v>
      </c>
      <c r="J117" s="2463" t="s">
        <v>3211</v>
      </c>
      <c r="K117" s="2463" t="s">
        <v>3212</v>
      </c>
      <c r="L117" s="2463" t="s">
        <v>3213</v>
      </c>
      <c r="M117" s="4205" t="s">
        <v>3214</v>
      </c>
      <c r="N117" s="2461"/>
    </row>
    <row r="118" spans="1:14">
      <c r="A118" s="2435" t="s">
        <v>3215</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3216</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3217</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3218</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2501</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90" zoomScaleNormal="70" zoomScaleSheetLayoutView="90" workbookViewId="0">
      <selection activeCell="L13" sqref="L13"/>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1717</v>
      </c>
      <c r="C1" s="812" t="s">
        <v>1569</v>
      </c>
      <c r="D1" s="813" t="s">
        <v>19</v>
      </c>
      <c r="E1" s="2474" t="s">
        <v>4087</v>
      </c>
      <c r="F1" s="1353" t="s">
        <v>4088</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1138.7047</v>
      </c>
      <c r="C2" s="2783" t="s">
        <v>4081</v>
      </c>
      <c r="D2" s="229">
        <f>IF(E1="项目模式",IF(E2="——",ROUND(C50*D3/10000,0),ROUND(C50*D3/10000,0)-F2),IF(E1="单套模式",IF(E2="——",ROUND(C50*D3/10000,4),ROUND(C50*D3/10000,4)-F2)))</f>
        <v>1138.7047</v>
      </c>
      <c r="E2" s="1355" t="s">
        <v>41</v>
      </c>
      <c r="F2" s="3745"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22855</v>
      </c>
      <c r="C3" s="234" t="s">
        <v>1675</v>
      </c>
      <c r="D3" s="2879">
        <f>IF(D1="",'数据-汇总表'!E3,SUMIF('数据-汇总表'!$C19:$C33,D1,'数据-汇总表'!$E19:$E33))</f>
        <v>498.23</v>
      </c>
      <c r="E3" s="3846" t="s">
        <v>3476</v>
      </c>
      <c r="F3" s="3847">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30" t="s">
        <v>1677</v>
      </c>
      <c r="D4" s="4531"/>
      <c r="E4" s="4532" t="s">
        <v>1678</v>
      </c>
      <c r="F4" s="4533"/>
      <c r="G4" s="4530" t="s">
        <v>1679</v>
      </c>
      <c r="H4" s="4531"/>
      <c r="I4" s="4530" t="s">
        <v>1680</v>
      </c>
      <c r="J4" s="4531"/>
      <c r="K4" s="393" t="s">
        <v>1681</v>
      </c>
      <c r="L4" s="1973"/>
      <c r="M4" s="1974"/>
      <c r="N4" s="1974"/>
      <c r="O4" s="1974"/>
      <c r="P4" s="4534" t="s">
        <v>1682</v>
      </c>
      <c r="Q4" s="4535"/>
      <c r="R4" s="4514" t="s">
        <v>1678</v>
      </c>
      <c r="S4" s="4515"/>
      <c r="T4" s="4514" t="s">
        <v>1679</v>
      </c>
      <c r="U4" s="4515"/>
      <c r="V4" s="4542" t="s">
        <v>1680</v>
      </c>
      <c r="W4" s="4542"/>
      <c r="X4" s="1412"/>
      <c r="Y4" s="4546" t="s">
        <v>1682</v>
      </c>
      <c r="Z4" s="4547"/>
      <c r="AA4" s="4509" t="s">
        <v>1678</v>
      </c>
      <c r="AB4" s="4509" t="s">
        <v>1679</v>
      </c>
      <c r="AC4" s="4527" t="s">
        <v>1680</v>
      </c>
    </row>
    <row r="5" spans="1:29" ht="15">
      <c r="A5" s="238"/>
      <c r="B5" s="239"/>
      <c r="C5" s="4518" t="s">
        <v>4125</v>
      </c>
      <c r="D5" s="4520"/>
      <c r="E5" s="4518" t="s">
        <v>4089</v>
      </c>
      <c r="F5" s="4519"/>
      <c r="G5" s="4518" t="s">
        <v>4124</v>
      </c>
      <c r="H5" s="4519"/>
      <c r="I5" s="4518" t="s">
        <v>4126</v>
      </c>
      <c r="J5" s="4519"/>
      <c r="K5" s="393"/>
      <c r="L5" s="1973"/>
      <c r="M5" s="1974"/>
      <c r="N5" s="1974"/>
      <c r="O5" s="1974"/>
      <c r="P5" s="4536"/>
      <c r="Q5" s="4537"/>
      <c r="R5" s="4516"/>
      <c r="S5" s="4517"/>
      <c r="T5" s="4516"/>
      <c r="U5" s="4517"/>
      <c r="V5" s="4543"/>
      <c r="W5" s="4543"/>
      <c r="X5" s="909"/>
      <c r="Y5" s="4548"/>
      <c r="Z5" s="4549"/>
      <c r="AA5" s="4510"/>
      <c r="AB5" s="4510"/>
      <c r="AC5" s="4528"/>
    </row>
    <row r="6" spans="1:29" ht="15.75" thickBot="1">
      <c r="A6" s="240"/>
      <c r="B6" s="241"/>
      <c r="C6" s="4521" t="s">
        <v>1584</v>
      </c>
      <c r="D6" s="4522"/>
      <c r="E6" s="4523" t="s">
        <v>1584</v>
      </c>
      <c r="F6" s="4524"/>
      <c r="G6" s="4521" t="s">
        <v>1584</v>
      </c>
      <c r="H6" s="4522"/>
      <c r="I6" s="4521" t="s">
        <v>1584</v>
      </c>
      <c r="J6" s="4522"/>
      <c r="K6" s="393" t="s">
        <v>1585</v>
      </c>
      <c r="L6" s="1973"/>
      <c r="M6" s="1974"/>
      <c r="N6" s="1974"/>
      <c r="O6" s="1974"/>
      <c r="P6" s="4538"/>
      <c r="Q6" s="4539"/>
      <c r="R6" s="4516"/>
      <c r="S6" s="4517"/>
      <c r="T6" s="4540"/>
      <c r="U6" s="4541"/>
      <c r="V6" s="4543"/>
      <c r="W6" s="4543"/>
      <c r="X6" s="909"/>
      <c r="Y6" s="4550"/>
      <c r="Z6" s="4551"/>
      <c r="AA6" s="4511"/>
      <c r="AB6" s="4511"/>
      <c r="AC6" s="4529"/>
    </row>
    <row r="7" spans="1:29" s="46" customFormat="1" ht="15.75" thickBot="1">
      <c r="A7" s="242" t="s">
        <v>1586</v>
      </c>
      <c r="B7" s="243"/>
      <c r="C7" s="244">
        <f>'数据-取费表'!B2</f>
        <v>46097</v>
      </c>
      <c r="D7" s="2897">
        <v>100</v>
      </c>
      <c r="E7" s="245">
        <f>C7</f>
        <v>46097</v>
      </c>
      <c r="F7" s="3746">
        <f>SUMIF(59:59,YEAR(E7)&amp;"-"&amp;MONTH(E7),60:60)</f>
        <v>100</v>
      </c>
      <c r="G7" s="245">
        <f>C7</f>
        <v>46097</v>
      </c>
      <c r="H7" s="3752">
        <f>SUMIF(59:59,YEAR(G7)&amp;"-"&amp;MONTH(G7),60:60)</f>
        <v>100</v>
      </c>
      <c r="I7" s="245">
        <f>C7</f>
        <v>46097</v>
      </c>
      <c r="J7" s="3752">
        <f>SUMIF(59:59,YEAR(I7)&amp;"-"&amp;MONTH(I7),60:60)</f>
        <v>100</v>
      </c>
      <c r="K7" s="22"/>
      <c r="L7" s="1975"/>
      <c r="M7" s="1928"/>
      <c r="N7" s="1928"/>
      <c r="O7" s="1928"/>
      <c r="P7" s="4544" t="s">
        <v>1587</v>
      </c>
      <c r="Q7" s="4552"/>
      <c r="R7" s="3632" t="s">
        <v>13</v>
      </c>
      <c r="S7" s="3155">
        <f t="shared" ref="S7:S15" si="0">F7</f>
        <v>100</v>
      </c>
      <c r="T7" s="3632" t="s">
        <v>13</v>
      </c>
      <c r="U7" s="3155">
        <f t="shared" ref="U7:U15" si="1">H7</f>
        <v>100</v>
      </c>
      <c r="V7" s="3632" t="s">
        <v>13</v>
      </c>
      <c r="W7" s="3155">
        <f t="shared" ref="W7:W15" si="2">J7</f>
        <v>100</v>
      </c>
      <c r="X7" s="482"/>
      <c r="Y7" s="4512" t="s">
        <v>1587</v>
      </c>
      <c r="Z7" s="4513"/>
      <c r="AA7" s="28">
        <f>D7/F7</f>
        <v>1</v>
      </c>
      <c r="AB7" s="28">
        <f>D7/H7</f>
        <v>1</v>
      </c>
      <c r="AC7" s="545">
        <f>D7/J7</f>
        <v>1</v>
      </c>
    </row>
    <row r="8" spans="1:29" s="46" customFormat="1" ht="15.75" thickBot="1">
      <c r="A8" s="242" t="s">
        <v>1588</v>
      </c>
      <c r="B8" s="243"/>
      <c r="C8" s="246" t="s">
        <v>4090</v>
      </c>
      <c r="D8" s="2897">
        <v>100</v>
      </c>
      <c r="E8" s="246" t="s">
        <v>4118</v>
      </c>
      <c r="F8" s="3746">
        <f>SUMIF(62:62,E8,63:63)-SUMIF(62:62,C8,63:63)+100</f>
        <v>105</v>
      </c>
      <c r="G8" s="246" t="s">
        <v>4118</v>
      </c>
      <c r="H8" s="3752">
        <f>SUMIF(62:62,G8,63:63)-SUMIF(62:62,C8,63:63)+100</f>
        <v>105</v>
      </c>
      <c r="I8" s="246" t="s">
        <v>4118</v>
      </c>
      <c r="J8" s="3752">
        <f>SUMIF(62:62,I8,63:63)-SUMIF(62:62,C8,63:63)+100</f>
        <v>105</v>
      </c>
      <c r="K8" s="22"/>
      <c r="L8" s="1975"/>
      <c r="M8" s="1928"/>
      <c r="N8" s="1928"/>
      <c r="O8" s="1928"/>
      <c r="P8" s="4544" t="s">
        <v>1590</v>
      </c>
      <c r="Q8" s="4545"/>
      <c r="R8" s="3632" t="s">
        <v>13</v>
      </c>
      <c r="S8" s="3155">
        <f t="shared" si="0"/>
        <v>105</v>
      </c>
      <c r="T8" s="3632" t="s">
        <v>13</v>
      </c>
      <c r="U8" s="3155">
        <f t="shared" si="1"/>
        <v>105</v>
      </c>
      <c r="V8" s="3632" t="s">
        <v>13</v>
      </c>
      <c r="W8" s="3155">
        <f t="shared" si="2"/>
        <v>105</v>
      </c>
      <c r="X8" s="482"/>
      <c r="Y8" s="4512" t="s">
        <v>1590</v>
      </c>
      <c r="Z8" s="4513"/>
      <c r="AA8" s="28">
        <f t="shared" ref="AA8:AA47" si="3">D8/F8</f>
        <v>0.95238095238095233</v>
      </c>
      <c r="AB8" s="28">
        <f t="shared" ref="AB8:AB47" si="4">D8/H8</f>
        <v>0.95238095238095233</v>
      </c>
      <c r="AC8" s="545">
        <f t="shared" ref="AC8:AC47" si="5">D8/J8</f>
        <v>0.95238095238095233</v>
      </c>
    </row>
    <row r="9" spans="1:29" s="46" customFormat="1">
      <c r="A9" s="247" t="s">
        <v>1591</v>
      </c>
      <c r="B9" s="34" t="s">
        <v>1592</v>
      </c>
      <c r="C9" s="4258" t="s">
        <v>4091</v>
      </c>
      <c r="D9" s="2898">
        <v>100</v>
      </c>
      <c r="E9" s="250" t="s">
        <v>19</v>
      </c>
      <c r="F9" s="33">
        <f>SUMIF(64:64,E9,65:65)-SUMIF(64:64,C9,65:65)+100</f>
        <v>100</v>
      </c>
      <c r="G9" s="250" t="s">
        <v>19</v>
      </c>
      <c r="H9" s="33">
        <f>SUMIF(64:64,G9,65:65)-SUMIF(64:64,C9,65:65)+100</f>
        <v>100</v>
      </c>
      <c r="I9" s="250" t="s">
        <v>19</v>
      </c>
      <c r="J9" s="33">
        <f>SUMIF(64:64,I9,65:65)-SUMIF(64:64,C9,65:65)+100</f>
        <v>100</v>
      </c>
      <c r="K9" s="22"/>
      <c r="L9" s="1975"/>
      <c r="M9" s="1928"/>
      <c r="N9" s="1928"/>
      <c r="O9" s="1928"/>
      <c r="P9" s="4525" t="s">
        <v>1593</v>
      </c>
      <c r="Q9" s="1697" t="str">
        <f t="shared" ref="Q9:Q15" si="6">B9</f>
        <v>用途</v>
      </c>
      <c r="R9" s="3632" t="s">
        <v>13</v>
      </c>
      <c r="S9" s="3155">
        <f t="shared" si="0"/>
        <v>100</v>
      </c>
      <c r="T9" s="3632" t="s">
        <v>13</v>
      </c>
      <c r="U9" s="3155">
        <f t="shared" si="1"/>
        <v>100</v>
      </c>
      <c r="V9" s="3632" t="s">
        <v>13</v>
      </c>
      <c r="W9" s="3155">
        <f t="shared" si="2"/>
        <v>100</v>
      </c>
      <c r="X9" s="482"/>
      <c r="Y9" s="4526" t="s">
        <v>1594</v>
      </c>
      <c r="Z9" s="28" t="str">
        <f t="shared" ref="Z9:Z15" si="7">Q9</f>
        <v>用途</v>
      </c>
      <c r="AA9" s="28">
        <f t="shared" si="3"/>
        <v>1</v>
      </c>
      <c r="AB9" s="28">
        <f t="shared" si="4"/>
        <v>1</v>
      </c>
      <c r="AC9" s="545">
        <f t="shared" si="5"/>
        <v>1</v>
      </c>
    </row>
    <row r="10" spans="1:29" s="253" customFormat="1" ht="27">
      <c r="A10" s="251"/>
      <c r="B10" s="252" t="s">
        <v>1595</v>
      </c>
      <c r="C10" s="2475" t="str">
        <f>D66</f>
        <v>40（含）-30</v>
      </c>
      <c r="D10" s="2899">
        <v>100</v>
      </c>
      <c r="E10" s="2475" t="str">
        <f>D66</f>
        <v>40（含）-30</v>
      </c>
      <c r="F10" s="422">
        <f>SUMIF(66:66,E10,67:67)-SUMIF(66:66,C10,67:67)+100</f>
        <v>100</v>
      </c>
      <c r="G10" s="2476" t="str">
        <f>D66</f>
        <v>40（含）-30</v>
      </c>
      <c r="H10" s="422">
        <f>SUMIF(66:66,G10,67:67)-SUMIF(66:66,C10,67:67)+100</f>
        <v>100</v>
      </c>
      <c r="I10" s="2475" t="str">
        <f>D66</f>
        <v>40（含）-30</v>
      </c>
      <c r="J10" s="422">
        <f>SUMIF(66:66,I10,67:67)-SUMIF(66:66,C10,67:67)+100</f>
        <v>100</v>
      </c>
      <c r="K10" s="22"/>
      <c r="L10" s="1976"/>
      <c r="M10" s="1977"/>
      <c r="N10" s="1977"/>
      <c r="O10" s="1977"/>
      <c r="P10" s="4525"/>
      <c r="Q10" s="1697" t="str">
        <f t="shared" si="6"/>
        <v>土地使用年限（年）</v>
      </c>
      <c r="R10" s="3632" t="s">
        <v>13</v>
      </c>
      <c r="S10" s="3155">
        <f t="shared" si="0"/>
        <v>100</v>
      </c>
      <c r="T10" s="3632" t="s">
        <v>13</v>
      </c>
      <c r="U10" s="3155">
        <f t="shared" si="1"/>
        <v>100</v>
      </c>
      <c r="V10" s="3632" t="s">
        <v>13</v>
      </c>
      <c r="W10" s="3155">
        <f t="shared" si="2"/>
        <v>100</v>
      </c>
      <c r="X10" s="482"/>
      <c r="Y10" s="4526"/>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25"/>
      <c r="Q11" s="1697" t="str">
        <f t="shared" si="6"/>
        <v>容积率</v>
      </c>
      <c r="R11" s="3632" t="s">
        <v>13</v>
      </c>
      <c r="S11" s="3155">
        <f t="shared" si="0"/>
        <v>100</v>
      </c>
      <c r="T11" s="3632" t="s">
        <v>13</v>
      </c>
      <c r="U11" s="3155">
        <f t="shared" si="1"/>
        <v>100</v>
      </c>
      <c r="V11" s="3632" t="s">
        <v>13</v>
      </c>
      <c r="W11" s="3155">
        <f t="shared" si="2"/>
        <v>100</v>
      </c>
      <c r="X11" s="482"/>
      <c r="Y11" s="4526"/>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3"/>
      <c r="H12" s="422">
        <f>SUMIF(71:71,G12,72:72)-SUMIF(71:71,C12,72:72)+100</f>
        <v>100</v>
      </c>
      <c r="I12" s="258"/>
      <c r="J12" s="422">
        <f>SUMIF(71:71,I12,72:72)-SUMIF(71:71,C12,72:72)+100</f>
        <v>100</v>
      </c>
      <c r="K12" s="395"/>
      <c r="L12" s="1975"/>
      <c r="M12" s="1928"/>
      <c r="N12" s="1928"/>
      <c r="O12" s="1928"/>
      <c r="P12" s="4525"/>
      <c r="Q12" s="1697">
        <f t="shared" si="6"/>
        <v>111</v>
      </c>
      <c r="R12" s="3632" t="s">
        <v>13</v>
      </c>
      <c r="S12" s="3155">
        <f t="shared" si="0"/>
        <v>100</v>
      </c>
      <c r="T12" s="3632" t="s">
        <v>13</v>
      </c>
      <c r="U12" s="3155">
        <f t="shared" si="1"/>
        <v>100</v>
      </c>
      <c r="V12" s="3632" t="s">
        <v>13</v>
      </c>
      <c r="W12" s="3155">
        <f t="shared" si="2"/>
        <v>100</v>
      </c>
      <c r="X12" s="482"/>
      <c r="Y12" s="4526"/>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3"/>
      <c r="H13" s="3750">
        <f>SUMIF(73:73,G13,74:74)-SUMIF(73:73,C13,74:74)+100</f>
        <v>100</v>
      </c>
      <c r="I13" s="258"/>
      <c r="J13" s="3750">
        <f>SUMIF(73:73,I13,74:74)-SUMIF(73:73,C13,74:74)+100</f>
        <v>100</v>
      </c>
      <c r="K13" s="395"/>
      <c r="L13" s="1979"/>
      <c r="M13" s="1974"/>
      <c r="N13" s="1974"/>
      <c r="O13" s="1974"/>
      <c r="P13" s="4525"/>
      <c r="Q13" s="1697">
        <f t="shared" si="6"/>
        <v>111</v>
      </c>
      <c r="R13" s="3632" t="s">
        <v>13</v>
      </c>
      <c r="S13" s="3155">
        <f t="shared" si="0"/>
        <v>100</v>
      </c>
      <c r="T13" s="3632" t="s">
        <v>13</v>
      </c>
      <c r="U13" s="3155">
        <f t="shared" si="1"/>
        <v>100</v>
      </c>
      <c r="V13" s="3632" t="s">
        <v>13</v>
      </c>
      <c r="W13" s="3155">
        <f t="shared" si="2"/>
        <v>100</v>
      </c>
      <c r="X13" s="482"/>
      <c r="Y13" s="4526"/>
      <c r="Z13" s="28">
        <f t="shared" si="7"/>
        <v>111</v>
      </c>
      <c r="AA13" s="28">
        <f t="shared" si="3"/>
        <v>1</v>
      </c>
      <c r="AB13" s="28">
        <f t="shared" si="4"/>
        <v>1</v>
      </c>
      <c r="AC13" s="545">
        <f t="shared" si="5"/>
        <v>1</v>
      </c>
    </row>
    <row r="14" spans="1:29" ht="15.75" thickBot="1">
      <c r="A14" s="260"/>
      <c r="B14" s="1361">
        <v>111</v>
      </c>
      <c r="C14" s="261"/>
      <c r="D14" s="2902">
        <v>100</v>
      </c>
      <c r="E14" s="402"/>
      <c r="F14" s="3747">
        <f>SUMIF(75:75,E14,76:76)-SUMIF(75:75,C14,76:76)+100</f>
        <v>100</v>
      </c>
      <c r="G14" s="1413"/>
      <c r="H14" s="3747">
        <f>SUMIF(75:75,G14,76:76)-SUMIF(75:75,C14,76:76)+100</f>
        <v>100</v>
      </c>
      <c r="I14" s="258"/>
      <c r="J14" s="3747">
        <f>SUMIF(75:75,I14,76:76)-SUMIF(75:75,C14,76:76)+100</f>
        <v>100</v>
      </c>
      <c r="K14" s="395"/>
      <c r="L14" s="1979"/>
      <c r="M14" s="1974"/>
      <c r="N14" s="1974"/>
      <c r="O14" s="1974"/>
      <c r="P14" s="4525"/>
      <c r="Q14" s="1697">
        <f t="shared" si="6"/>
        <v>111</v>
      </c>
      <c r="R14" s="3632" t="s">
        <v>13</v>
      </c>
      <c r="S14" s="3155">
        <f t="shared" si="0"/>
        <v>100</v>
      </c>
      <c r="T14" s="3632" t="s">
        <v>13</v>
      </c>
      <c r="U14" s="3155">
        <f t="shared" si="1"/>
        <v>100</v>
      </c>
      <c r="V14" s="3632" t="s">
        <v>13</v>
      </c>
      <c r="W14" s="3155">
        <f t="shared" si="2"/>
        <v>100</v>
      </c>
      <c r="X14" s="482"/>
      <c r="Y14" s="4526"/>
      <c r="Z14" s="28">
        <f t="shared" si="7"/>
        <v>111</v>
      </c>
      <c r="AA14" s="28">
        <f t="shared" si="3"/>
        <v>1</v>
      </c>
      <c r="AB14" s="28">
        <f t="shared" si="4"/>
        <v>1</v>
      </c>
      <c r="AC14" s="545">
        <f t="shared" si="5"/>
        <v>1</v>
      </c>
    </row>
    <row r="15" spans="1:29" ht="71.25">
      <c r="A15" s="262" t="s">
        <v>1597</v>
      </c>
      <c r="B15" s="403" t="s">
        <v>1718</v>
      </c>
      <c r="C15" s="1414" t="str">
        <f>估价对象房地状况!C5</f>
        <v>估价对象位于XX商圈，周边办公楼项目较多，入驻率高，办公集聚程度较好</v>
      </c>
      <c r="D15" s="2903">
        <v>100</v>
      </c>
      <c r="E15" s="264"/>
      <c r="F15" s="3748">
        <f>SUMIF(77:77,E16,78:78)-SUMIF(77:77,C16,78:78)+100</f>
        <v>100</v>
      </c>
      <c r="G15" s="263"/>
      <c r="H15" s="3748">
        <f>SUMIF(77:77,G16,78:78)-SUMIF(77:77,C16,78:78)+100</f>
        <v>105</v>
      </c>
      <c r="I15" s="263"/>
      <c r="J15" s="3748">
        <f>SUMIF(77:77,I16,78:78)-SUMIF(77:77,C16,78:78)+100</f>
        <v>105</v>
      </c>
      <c r="K15" s="396">
        <v>5</v>
      </c>
      <c r="L15" s="1979"/>
      <c r="M15" s="1974"/>
      <c r="N15" s="1974"/>
      <c r="O15" s="1974"/>
      <c r="P15" s="4553" t="s">
        <v>1598</v>
      </c>
      <c r="Q15" s="1506" t="str">
        <f t="shared" si="6"/>
        <v>办公集聚程度</v>
      </c>
      <c r="R15" s="3734" t="s">
        <v>13</v>
      </c>
      <c r="S15" s="3156">
        <f t="shared" si="0"/>
        <v>100</v>
      </c>
      <c r="T15" s="3734" t="s">
        <v>13</v>
      </c>
      <c r="U15" s="3156">
        <f t="shared" si="1"/>
        <v>105</v>
      </c>
      <c r="V15" s="3734" t="s">
        <v>13</v>
      </c>
      <c r="W15" s="3156">
        <f t="shared" si="2"/>
        <v>105</v>
      </c>
      <c r="X15" s="909"/>
      <c r="Y15" s="4555" t="s">
        <v>1598</v>
      </c>
      <c r="Z15" s="907" t="str">
        <f t="shared" si="7"/>
        <v>办公集聚程度</v>
      </c>
      <c r="AA15" s="907">
        <f t="shared" si="3"/>
        <v>1</v>
      </c>
      <c r="AB15" s="907">
        <f t="shared" si="4"/>
        <v>0.95238095238095233</v>
      </c>
      <c r="AC15" s="1415">
        <f t="shared" si="5"/>
        <v>0.95238095238095233</v>
      </c>
    </row>
    <row r="16" spans="1:29" ht="15">
      <c r="A16" s="254"/>
      <c r="B16" s="404"/>
      <c r="C16" s="1368" t="s">
        <v>3611</v>
      </c>
      <c r="D16" s="2904"/>
      <c r="E16" s="1368" t="s">
        <v>3611</v>
      </c>
      <c r="F16" s="267"/>
      <c r="G16" s="1368" t="s">
        <v>3612</v>
      </c>
      <c r="H16" s="268"/>
      <c r="I16" s="1368" t="s">
        <v>3612</v>
      </c>
      <c r="J16" s="267"/>
      <c r="K16" s="397"/>
      <c r="L16" s="1979"/>
      <c r="M16" s="1974"/>
      <c r="N16" s="1974"/>
      <c r="O16" s="1974"/>
      <c r="P16" s="4554"/>
      <c r="Q16" s="1506"/>
      <c r="R16" s="3734"/>
      <c r="S16" s="3156"/>
      <c r="T16" s="3734"/>
      <c r="U16" s="3156"/>
      <c r="V16" s="3734"/>
      <c r="W16" s="3156"/>
      <c r="X16" s="909"/>
      <c r="Y16" s="4556"/>
      <c r="Z16" s="907"/>
      <c r="AA16" s="907">
        <v>1</v>
      </c>
      <c r="AB16" s="907">
        <v>1</v>
      </c>
      <c r="AC16" s="1415">
        <v>1</v>
      </c>
    </row>
    <row r="17" spans="1:29" ht="71.25">
      <c r="A17" s="254"/>
      <c r="B17" s="405" t="s">
        <v>1237</v>
      </c>
      <c r="C17" s="1416" t="str">
        <f>估价对象房地状况!C6</f>
        <v>估价对象周边道路状况、公共交通通达情况、停车便捷程度，综合评价交通便捷度较好</v>
      </c>
      <c r="D17" s="2905">
        <v>100</v>
      </c>
      <c r="E17" s="271"/>
      <c r="F17" s="268">
        <f>SUMIF(79:79,E18,80:80)-SUMIF(79:79,C18,80:80)+100</f>
        <v>100</v>
      </c>
      <c r="G17" s="270"/>
      <c r="H17" s="3749">
        <f>SUMIF(79:79,G18,80:80)-SUMIF(79:79,C18,80:80)+100</f>
        <v>100</v>
      </c>
      <c r="I17" s="270"/>
      <c r="J17" s="3749">
        <f>SUMIF(79:79,I18,80:80)-SUMIF(79:79,C18,80:80)+100</f>
        <v>100</v>
      </c>
      <c r="K17" s="396">
        <v>5</v>
      </c>
      <c r="L17" s="1979"/>
      <c r="M17" s="1974"/>
      <c r="N17" s="1974"/>
      <c r="O17" s="1974"/>
      <c r="P17" s="4554"/>
      <c r="Q17" s="1506" t="str">
        <f>B17</f>
        <v>交通便捷度</v>
      </c>
      <c r="R17" s="3734" t="s">
        <v>13</v>
      </c>
      <c r="S17" s="3156">
        <f>F17</f>
        <v>100</v>
      </c>
      <c r="T17" s="3734" t="s">
        <v>13</v>
      </c>
      <c r="U17" s="3156">
        <f>H17</f>
        <v>100</v>
      </c>
      <c r="V17" s="3734" t="s">
        <v>13</v>
      </c>
      <c r="W17" s="3156">
        <f>J17</f>
        <v>100</v>
      </c>
      <c r="X17" s="909"/>
      <c r="Y17" s="4556"/>
      <c r="Z17" s="907" t="str">
        <f>Q17</f>
        <v>交通便捷度</v>
      </c>
      <c r="AA17" s="907">
        <f t="shared" si="3"/>
        <v>1</v>
      </c>
      <c r="AB17" s="907">
        <f t="shared" si="4"/>
        <v>1</v>
      </c>
      <c r="AC17" s="1415">
        <f t="shared" si="5"/>
        <v>1</v>
      </c>
    </row>
    <row r="18" spans="1:29" ht="15">
      <c r="A18" s="254"/>
      <c r="B18" s="406"/>
      <c r="C18" s="1417" t="s">
        <v>3612</v>
      </c>
      <c r="D18" s="2905"/>
      <c r="E18" s="1417" t="s">
        <v>3612</v>
      </c>
      <c r="F18" s="268"/>
      <c r="G18" s="1417" t="s">
        <v>3612</v>
      </c>
      <c r="H18" s="267"/>
      <c r="I18" s="1417" t="s">
        <v>3612</v>
      </c>
      <c r="J18" s="267"/>
      <c r="K18" s="397"/>
      <c r="L18" s="1979"/>
      <c r="M18" s="1974"/>
      <c r="N18" s="1974"/>
      <c r="O18" s="1974"/>
      <c r="P18" s="4554"/>
      <c r="Q18" s="1506"/>
      <c r="R18" s="3734"/>
      <c r="S18" s="3156"/>
      <c r="T18" s="3734"/>
      <c r="U18" s="3156"/>
      <c r="V18" s="3734"/>
      <c r="W18" s="3156"/>
      <c r="X18" s="909"/>
      <c r="Y18" s="4556"/>
      <c r="Z18" s="907"/>
      <c r="AA18" s="907">
        <v>1</v>
      </c>
      <c r="AB18" s="907">
        <v>1</v>
      </c>
      <c r="AC18" s="1415">
        <v>1</v>
      </c>
    </row>
    <row r="19" spans="1:29" ht="42.75">
      <c r="A19" s="254"/>
      <c r="B19" s="405" t="s">
        <v>1719</v>
      </c>
      <c r="C19" s="1416" t="str">
        <f>估价对象房地状况!C7</f>
        <v>估价对象所在区域公共配套设施齐备情况</v>
      </c>
      <c r="D19" s="2906">
        <v>100</v>
      </c>
      <c r="E19" s="274"/>
      <c r="F19" s="3749">
        <f>SUMIF(81:81,E20,82:82)-SUMIF(81:81,C20,82:82)+100</f>
        <v>100</v>
      </c>
      <c r="G19" s="273"/>
      <c r="H19" s="268">
        <f>SUMIF(81:81,G20,82:82)-SUMIF(81:81,C20,82:82)+100</f>
        <v>100</v>
      </c>
      <c r="I19" s="273"/>
      <c r="J19" s="268">
        <f>SUMIF(81:81,I20,82:82)-SUMIF(81:81,C20,82:82)+100</f>
        <v>100</v>
      </c>
      <c r="K19" s="396">
        <v>5</v>
      </c>
      <c r="L19" s="1979"/>
      <c r="M19" s="1974"/>
      <c r="N19" s="1974"/>
      <c r="O19" s="1974"/>
      <c r="P19" s="4554"/>
      <c r="Q19" s="1506" t="str">
        <f>B19</f>
        <v>公共配套设施</v>
      </c>
      <c r="R19" s="3734" t="s">
        <v>13</v>
      </c>
      <c r="S19" s="3156">
        <f>F19</f>
        <v>100</v>
      </c>
      <c r="T19" s="3734" t="s">
        <v>13</v>
      </c>
      <c r="U19" s="3156">
        <f>H19</f>
        <v>100</v>
      </c>
      <c r="V19" s="3734" t="s">
        <v>13</v>
      </c>
      <c r="W19" s="3156">
        <f>J19</f>
        <v>100</v>
      </c>
      <c r="X19" s="909"/>
      <c r="Y19" s="4556"/>
      <c r="Z19" s="907" t="str">
        <f>Q19</f>
        <v>公共配套设施</v>
      </c>
      <c r="AA19" s="907">
        <f t="shared" si="3"/>
        <v>1</v>
      </c>
      <c r="AB19" s="907">
        <f t="shared" si="4"/>
        <v>1</v>
      </c>
      <c r="AC19" s="1415">
        <f t="shared" si="5"/>
        <v>1</v>
      </c>
    </row>
    <row r="20" spans="1:29" ht="15">
      <c r="A20" s="254"/>
      <c r="B20" s="406"/>
      <c r="C20" s="1368" t="s">
        <v>3612</v>
      </c>
      <c r="D20" s="2904"/>
      <c r="E20" s="1368" t="s">
        <v>3612</v>
      </c>
      <c r="F20" s="267"/>
      <c r="G20" s="1368" t="s">
        <v>3612</v>
      </c>
      <c r="H20" s="267"/>
      <c r="I20" s="1368" t="s">
        <v>3612</v>
      </c>
      <c r="J20" s="267"/>
      <c r="K20" s="397"/>
      <c r="L20" s="1979"/>
      <c r="M20" s="1974"/>
      <c r="N20" s="1974"/>
      <c r="O20" s="1974"/>
      <c r="P20" s="4554"/>
      <c r="Q20" s="1506"/>
      <c r="R20" s="3734"/>
      <c r="S20" s="3156"/>
      <c r="T20" s="3734"/>
      <c r="U20" s="3156"/>
      <c r="V20" s="3734"/>
      <c r="W20" s="3156"/>
      <c r="X20" s="909"/>
      <c r="Y20" s="4556"/>
      <c r="Z20" s="907"/>
      <c r="AA20" s="907">
        <v>1</v>
      </c>
      <c r="AB20" s="907">
        <v>1</v>
      </c>
      <c r="AC20" s="1415">
        <v>1</v>
      </c>
    </row>
    <row r="21" spans="1:29" ht="28.5">
      <c r="A21" s="254"/>
      <c r="B21" s="407" t="s">
        <v>1720</v>
      </c>
      <c r="C21" s="1416" t="str">
        <f>估价对象房地状况!C8</f>
        <v>估价对象所在区域基础设施水平</v>
      </c>
      <c r="D21" s="2905">
        <v>100</v>
      </c>
      <c r="E21" s="274"/>
      <c r="F21" s="3749">
        <f>SUMIF(83:83,E22,84:84)-SUMIF(83:83,C22,84:84)+100</f>
        <v>100</v>
      </c>
      <c r="G21" s="273"/>
      <c r="H21" s="268">
        <f>SUMIF(83:83,G22,84:84)-SUMIF(83:83,C22,84:84)+100</f>
        <v>100</v>
      </c>
      <c r="I21" s="273"/>
      <c r="J21" s="268">
        <f>SUMIF(83:83,I22,84:84)-SUMIF(83:83,C22,84:84)+100</f>
        <v>100</v>
      </c>
      <c r="K21" s="396">
        <v>2</v>
      </c>
      <c r="L21" s="1979"/>
      <c r="M21" s="1974"/>
      <c r="N21" s="1974"/>
      <c r="O21" s="1974"/>
      <c r="P21" s="4554"/>
      <c r="Q21" s="1506" t="str">
        <f>B21</f>
        <v>基础设施水平</v>
      </c>
      <c r="R21" s="3734" t="s">
        <v>13</v>
      </c>
      <c r="S21" s="3156">
        <f>F21</f>
        <v>100</v>
      </c>
      <c r="T21" s="3734" t="s">
        <v>13</v>
      </c>
      <c r="U21" s="3156">
        <f>H21</f>
        <v>100</v>
      </c>
      <c r="V21" s="3734" t="s">
        <v>13</v>
      </c>
      <c r="W21" s="3156">
        <f>J21</f>
        <v>100</v>
      </c>
      <c r="X21" s="909"/>
      <c r="Y21" s="4556"/>
      <c r="Z21" s="907" t="str">
        <f>Q21</f>
        <v>基础设施水平</v>
      </c>
      <c r="AA21" s="907">
        <f t="shared" ref="AA21" si="8">D21/F21</f>
        <v>1</v>
      </c>
      <c r="AB21" s="907">
        <f t="shared" ref="AB21" si="9">D21/H21</f>
        <v>1</v>
      </c>
      <c r="AC21" s="1415">
        <f t="shared" ref="AC21" si="10">D21/J21</f>
        <v>1</v>
      </c>
    </row>
    <row r="22" spans="1:29" ht="15">
      <c r="A22" s="254"/>
      <c r="B22" s="407"/>
      <c r="C22" s="1417" t="s">
        <v>3613</v>
      </c>
      <c r="D22" s="2904"/>
      <c r="E22" s="1417" t="s">
        <v>3613</v>
      </c>
      <c r="F22" s="267"/>
      <c r="G22" s="1417" t="s">
        <v>3613</v>
      </c>
      <c r="H22" s="267"/>
      <c r="I22" s="1417" t="s">
        <v>3613</v>
      </c>
      <c r="J22" s="267"/>
      <c r="K22" s="758"/>
      <c r="L22" s="1979"/>
      <c r="M22" s="1974"/>
      <c r="N22" s="1974"/>
      <c r="O22" s="1974"/>
      <c r="P22" s="4554"/>
      <c r="Q22" s="1506"/>
      <c r="R22" s="3734"/>
      <c r="S22" s="3156"/>
      <c r="T22" s="3734"/>
      <c r="U22" s="3156"/>
      <c r="V22" s="3734"/>
      <c r="W22" s="3156"/>
      <c r="X22" s="909"/>
      <c r="Y22" s="4556"/>
      <c r="Z22" s="907"/>
      <c r="AA22" s="907">
        <v>1</v>
      </c>
      <c r="AB22" s="907">
        <v>1</v>
      </c>
      <c r="AC22" s="1415">
        <v>1</v>
      </c>
    </row>
    <row r="23" spans="1:29" ht="42.75">
      <c r="A23" s="254"/>
      <c r="B23" s="405" t="s">
        <v>1721</v>
      </c>
      <c r="C23" s="1416" t="str">
        <f>估价对象房地状况!C9</f>
        <v>区域自然环境：；人文环境；综合评价环境状况一般</v>
      </c>
      <c r="D23" s="2905">
        <v>100</v>
      </c>
      <c r="E23" s="271"/>
      <c r="F23" s="268">
        <f>SUMIF(85:85,E24,86:86)-SUMIF(85:85,C24,86:86)+100</f>
        <v>100</v>
      </c>
      <c r="G23" s="270"/>
      <c r="H23" s="268">
        <f>SUMIF(85:85,G24,86:86)-SUMIF(85:85,C24,86:86)+100</f>
        <v>100</v>
      </c>
      <c r="I23" s="270"/>
      <c r="J23" s="268">
        <f>SUMIF(85:85,I24,86:86)-SUMIF(85:85,C24,86:86)+100</f>
        <v>100</v>
      </c>
      <c r="K23" s="396">
        <v>5</v>
      </c>
      <c r="L23" s="1979"/>
      <c r="M23" s="1974"/>
      <c r="N23" s="1974"/>
      <c r="O23" s="1974"/>
      <c r="P23" s="4554"/>
      <c r="Q23" s="1506" t="str">
        <f>B23</f>
        <v>环境质量</v>
      </c>
      <c r="R23" s="3734" t="s">
        <v>13</v>
      </c>
      <c r="S23" s="3156">
        <f>F23</f>
        <v>100</v>
      </c>
      <c r="T23" s="3734" t="s">
        <v>13</v>
      </c>
      <c r="U23" s="3156">
        <f>H23</f>
        <v>100</v>
      </c>
      <c r="V23" s="3734" t="s">
        <v>13</v>
      </c>
      <c r="W23" s="3156">
        <f>J23</f>
        <v>100</v>
      </c>
      <c r="X23" s="909"/>
      <c r="Y23" s="4556"/>
      <c r="Z23" s="907" t="str">
        <f>Q23</f>
        <v>环境质量</v>
      </c>
      <c r="AA23" s="907">
        <f t="shared" si="3"/>
        <v>1</v>
      </c>
      <c r="AB23" s="907">
        <f t="shared" si="4"/>
        <v>1</v>
      </c>
      <c r="AC23" s="1415">
        <f t="shared" si="5"/>
        <v>1</v>
      </c>
    </row>
    <row r="24" spans="1:29" ht="15">
      <c r="A24" s="254"/>
      <c r="B24" s="407"/>
      <c r="C24" s="1368" t="s">
        <v>3612</v>
      </c>
      <c r="D24" s="2904"/>
      <c r="E24" s="1368" t="s">
        <v>3612</v>
      </c>
      <c r="F24" s="267"/>
      <c r="G24" s="1368" t="s">
        <v>3612</v>
      </c>
      <c r="H24" s="267"/>
      <c r="I24" s="1368" t="s">
        <v>3612</v>
      </c>
      <c r="J24" s="267"/>
      <c r="K24" s="397"/>
      <c r="L24" s="1979"/>
      <c r="M24" s="1974"/>
      <c r="N24" s="1974"/>
      <c r="O24" s="1974"/>
      <c r="P24" s="4554"/>
      <c r="Q24" s="1506"/>
      <c r="R24" s="3734"/>
      <c r="S24" s="3156"/>
      <c r="T24" s="3734"/>
      <c r="U24" s="3156"/>
      <c r="V24" s="3734"/>
      <c r="W24" s="3156"/>
      <c r="X24" s="909"/>
      <c r="Y24" s="4556"/>
      <c r="Z24" s="907"/>
      <c r="AA24" s="907">
        <v>1</v>
      </c>
      <c r="AB24" s="907">
        <v>1</v>
      </c>
      <c r="AC24" s="1415">
        <v>1</v>
      </c>
    </row>
    <row r="25" spans="1:29" ht="27">
      <c r="A25" s="238"/>
      <c r="B25" s="405" t="s">
        <v>1722</v>
      </c>
      <c r="C25" s="1369"/>
      <c r="D25" s="2901">
        <v>100</v>
      </c>
      <c r="E25" s="259"/>
      <c r="F25" s="3750">
        <f>SUMIF(87:87,E26,88:88)-SUMIF(87:87,C26,88:88)+100</f>
        <v>100</v>
      </c>
      <c r="G25" s="1369"/>
      <c r="H25" s="3750">
        <f>SUMIF(87:87,G26,88:88)-SUMIF(87:87,C26,88:88)+100</f>
        <v>100</v>
      </c>
      <c r="I25" s="259"/>
      <c r="J25" s="3750">
        <f>SUMIF(87:87,I26,88:88)-SUMIF(87:87,C26,88:88)+100</f>
        <v>100</v>
      </c>
      <c r="K25" s="396"/>
      <c r="L25" s="1979"/>
      <c r="M25" s="1974"/>
      <c r="N25" s="1974"/>
      <c r="O25" s="1974"/>
      <c r="P25" s="4554"/>
      <c r="Q25" s="1506" t="str">
        <f>B25</f>
        <v>毗邻道路的类型与等级</v>
      </c>
      <c r="R25" s="3734" t="s">
        <v>13</v>
      </c>
      <c r="S25" s="3156">
        <f>F25</f>
        <v>100</v>
      </c>
      <c r="T25" s="3734" t="s">
        <v>13</v>
      </c>
      <c r="U25" s="3156">
        <f>H25</f>
        <v>100</v>
      </c>
      <c r="V25" s="3734" t="s">
        <v>13</v>
      </c>
      <c r="W25" s="3156">
        <f>J25</f>
        <v>100</v>
      </c>
      <c r="X25" s="909"/>
      <c r="Y25" s="4556"/>
      <c r="Z25" s="907" t="str">
        <f>Q25</f>
        <v>毗邻道路的类型与等级</v>
      </c>
      <c r="AA25" s="907">
        <f t="shared" si="3"/>
        <v>1</v>
      </c>
      <c r="AB25" s="907">
        <f t="shared" si="4"/>
        <v>1</v>
      </c>
      <c r="AC25" s="1415">
        <f t="shared" si="5"/>
        <v>1</v>
      </c>
    </row>
    <row r="26" spans="1:29" ht="15">
      <c r="A26" s="238"/>
      <c r="B26" s="406"/>
      <c r="C26" s="408"/>
      <c r="D26" s="2901"/>
      <c r="E26" s="398"/>
      <c r="F26" s="3750"/>
      <c r="G26" s="408"/>
      <c r="H26" s="3750"/>
      <c r="I26" s="398"/>
      <c r="J26" s="3750"/>
      <c r="K26" s="397"/>
      <c r="L26" s="1979"/>
      <c r="M26" s="1974"/>
      <c r="N26" s="1974"/>
      <c r="O26" s="1974"/>
      <c r="P26" s="4554"/>
      <c r="Q26" s="1506"/>
      <c r="R26" s="3734"/>
      <c r="S26" s="3156"/>
      <c r="T26" s="3734"/>
      <c r="U26" s="3156"/>
      <c r="V26" s="3734"/>
      <c r="W26" s="3156"/>
      <c r="X26" s="909"/>
      <c r="Y26" s="4556"/>
      <c r="Z26" s="907"/>
      <c r="AA26" s="907">
        <v>1</v>
      </c>
      <c r="AB26" s="907">
        <v>1</v>
      </c>
      <c r="AC26" s="1415">
        <v>1</v>
      </c>
    </row>
    <row r="27" spans="1:29" ht="15">
      <c r="A27" s="254"/>
      <c r="B27" s="406" t="s">
        <v>1690</v>
      </c>
      <c r="C27" s="408" t="s">
        <v>4097</v>
      </c>
      <c r="D27" s="2901">
        <v>100</v>
      </c>
      <c r="E27" s="398" t="s">
        <v>4099</v>
      </c>
      <c r="F27" s="3750">
        <f>SUMIF(89:89,E27,90:90)-SUMIF(89:89,C27,90:90)+100</f>
        <v>97</v>
      </c>
      <c r="G27" s="408" t="s">
        <v>4101</v>
      </c>
      <c r="H27" s="3750">
        <f>SUMIF(89:89,G27,90:90)-SUMIF(89:89,C27,90:90)+100</f>
        <v>94</v>
      </c>
      <c r="I27" s="398" t="s">
        <v>4099</v>
      </c>
      <c r="J27" s="3750">
        <f>SUMIF(89:89,I27,90:90)-SUMIF(89:89,C27,90:90)+100</f>
        <v>97</v>
      </c>
      <c r="K27" s="394">
        <v>3</v>
      </c>
      <c r="L27" s="1979"/>
      <c r="M27" s="1974"/>
      <c r="N27" s="1974"/>
      <c r="O27" s="1974"/>
      <c r="P27" s="4554"/>
      <c r="Q27" s="1506" t="str">
        <f t="shared" ref="Q27:Q47" si="11">B27</f>
        <v>楼层</v>
      </c>
      <c r="R27" s="3734" t="s">
        <v>13</v>
      </c>
      <c r="S27" s="3156">
        <f>F27</f>
        <v>97</v>
      </c>
      <c r="T27" s="3734" t="s">
        <v>13</v>
      </c>
      <c r="U27" s="3156">
        <f>H27</f>
        <v>94</v>
      </c>
      <c r="V27" s="3734" t="s">
        <v>13</v>
      </c>
      <c r="W27" s="3156">
        <f>J27</f>
        <v>97</v>
      </c>
      <c r="X27" s="909"/>
      <c r="Y27" s="4556"/>
      <c r="Z27" s="907" t="str">
        <f>Q27</f>
        <v>楼层</v>
      </c>
      <c r="AA27" s="907">
        <f t="shared" si="3"/>
        <v>1.0309278350515463</v>
      </c>
      <c r="AB27" s="907">
        <f t="shared" si="4"/>
        <v>1.0638297872340425</v>
      </c>
      <c r="AC27" s="1415">
        <f t="shared" si="5"/>
        <v>1.0309278350515463</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54"/>
      <c r="Q28" s="1697" t="str">
        <f t="shared" si="11"/>
        <v>朝向</v>
      </c>
      <c r="R28" s="3632" t="s">
        <v>13</v>
      </c>
      <c r="S28" s="3155">
        <f>F28</f>
        <v>100</v>
      </c>
      <c r="T28" s="3632" t="s">
        <v>13</v>
      </c>
      <c r="U28" s="3155">
        <f>H28</f>
        <v>100</v>
      </c>
      <c r="V28" s="3632" t="s">
        <v>13</v>
      </c>
      <c r="W28" s="3155">
        <f>J28</f>
        <v>100</v>
      </c>
      <c r="X28" s="482"/>
      <c r="Y28" s="4556"/>
      <c r="Z28" s="28" t="str">
        <f>Q28</f>
        <v>朝向</v>
      </c>
      <c r="AA28" s="907">
        <f>D28/F28</f>
        <v>1</v>
      </c>
      <c r="AB28" s="907">
        <f>D28/H28</f>
        <v>1</v>
      </c>
      <c r="AC28" s="1415">
        <f>D28/J28</f>
        <v>1</v>
      </c>
    </row>
    <row r="29" spans="1:29" ht="15">
      <c r="A29" s="254"/>
      <c r="B29" s="777">
        <v>111</v>
      </c>
      <c r="C29" s="1369"/>
      <c r="D29" s="2901">
        <v>100</v>
      </c>
      <c r="E29" s="258"/>
      <c r="F29" s="3750">
        <f>SUMIF(93:93,E29,94:94)-SUMIF(93:93,C29,94:94)+100</f>
        <v>100</v>
      </c>
      <c r="G29" s="1413"/>
      <c r="H29" s="3750">
        <f>SUMIF(93:93,G29,94:94)-SUMIF(93:93,C29,94:94)+100</f>
        <v>100</v>
      </c>
      <c r="I29" s="258"/>
      <c r="J29" s="3750">
        <f>SUMIF(93:93,I29,94:94)-SUMIF(93:93,C29,94:94)+100</f>
        <v>100</v>
      </c>
      <c r="K29" s="395"/>
      <c r="L29" s="1979"/>
      <c r="M29" s="1974"/>
      <c r="N29" s="1974"/>
      <c r="O29" s="1974"/>
      <c r="P29" s="4554"/>
      <c r="Q29" s="1506">
        <f t="shared" si="11"/>
        <v>111</v>
      </c>
      <c r="R29" s="3734" t="s">
        <v>13</v>
      </c>
      <c r="S29" s="3156">
        <f t="shared" ref="S29:S47" si="12">F29</f>
        <v>100</v>
      </c>
      <c r="T29" s="3734" t="s">
        <v>13</v>
      </c>
      <c r="U29" s="3156">
        <f t="shared" ref="U29:U47" si="13">H29</f>
        <v>100</v>
      </c>
      <c r="V29" s="3734" t="s">
        <v>13</v>
      </c>
      <c r="W29" s="3156">
        <f t="shared" ref="W29:W47" si="14">J29</f>
        <v>100</v>
      </c>
      <c r="X29" s="909"/>
      <c r="Y29" s="4556"/>
      <c r="Z29" s="907">
        <f t="shared" ref="Z29:Z47" si="15">Q29</f>
        <v>111</v>
      </c>
      <c r="AA29" s="907">
        <f t="shared" si="3"/>
        <v>1</v>
      </c>
      <c r="AB29" s="907">
        <f t="shared" si="4"/>
        <v>1</v>
      </c>
      <c r="AC29" s="1415">
        <f t="shared" si="5"/>
        <v>1</v>
      </c>
    </row>
    <row r="30" spans="1:29" ht="15">
      <c r="A30" s="254"/>
      <c r="B30" s="777">
        <v>111</v>
      </c>
      <c r="C30" s="1369"/>
      <c r="D30" s="2901">
        <v>100</v>
      </c>
      <c r="E30" s="258"/>
      <c r="F30" s="3750">
        <f>SUMIF(95:95,E30,96:96)-SUMIF(95:95,C30,96:96)+100</f>
        <v>100</v>
      </c>
      <c r="G30" s="1413"/>
      <c r="H30" s="3750">
        <f>SUMIF(95:95,G30,96:96)-SUMIF(95:95,C30,96:96)+100</f>
        <v>100</v>
      </c>
      <c r="I30" s="258"/>
      <c r="J30" s="3750">
        <f>SUMIF(95:95,I30,96:96)-SUMIF(95:95,C30,96:96)+100</f>
        <v>100</v>
      </c>
      <c r="K30" s="395"/>
      <c r="L30" s="1979"/>
      <c r="M30" s="1974"/>
      <c r="N30" s="1974"/>
      <c r="O30" s="1974"/>
      <c r="P30" s="4554"/>
      <c r="Q30" s="1506">
        <f t="shared" si="11"/>
        <v>111</v>
      </c>
      <c r="R30" s="3734" t="s">
        <v>13</v>
      </c>
      <c r="S30" s="3156">
        <f t="shared" si="12"/>
        <v>100</v>
      </c>
      <c r="T30" s="3734" t="s">
        <v>13</v>
      </c>
      <c r="U30" s="3156">
        <f t="shared" si="13"/>
        <v>100</v>
      </c>
      <c r="V30" s="3734" t="s">
        <v>13</v>
      </c>
      <c r="W30" s="3156">
        <f t="shared" si="14"/>
        <v>100</v>
      </c>
      <c r="X30" s="909"/>
      <c r="Y30" s="4556"/>
      <c r="Z30" s="907">
        <f t="shared" si="15"/>
        <v>111</v>
      </c>
      <c r="AA30" s="907">
        <f t="shared" si="3"/>
        <v>1</v>
      </c>
      <c r="AB30" s="907">
        <f t="shared" si="4"/>
        <v>1</v>
      </c>
      <c r="AC30" s="1415">
        <f t="shared" si="5"/>
        <v>1</v>
      </c>
    </row>
    <row r="31" spans="1:29" ht="15">
      <c r="A31" s="254"/>
      <c r="B31" s="777">
        <v>111</v>
      </c>
      <c r="C31" s="1369"/>
      <c r="D31" s="2901">
        <v>100</v>
      </c>
      <c r="E31" s="258"/>
      <c r="F31" s="3750">
        <f>SUMIF(97:97,E31,98:98)-SUMIF(97:97,C31,98:98)+100</f>
        <v>100</v>
      </c>
      <c r="G31" s="1413"/>
      <c r="H31" s="3750">
        <f>SUMIF(97:97,G31,98:98)-SUMIF(97:97,C31,98:98)+100</f>
        <v>100</v>
      </c>
      <c r="I31" s="258"/>
      <c r="J31" s="3750">
        <f>SUMIF(97:97,I31,98:98)-SUMIF(97:97,C31,98:98)+100</f>
        <v>100</v>
      </c>
      <c r="K31" s="395"/>
      <c r="L31" s="1979"/>
      <c r="M31" s="1974"/>
      <c r="N31" s="1974"/>
      <c r="O31" s="1974"/>
      <c r="P31" s="4554"/>
      <c r="Q31" s="1506">
        <f t="shared" si="11"/>
        <v>111</v>
      </c>
      <c r="R31" s="3734" t="s">
        <v>13</v>
      </c>
      <c r="S31" s="3156">
        <f t="shared" si="12"/>
        <v>100</v>
      </c>
      <c r="T31" s="3734" t="s">
        <v>13</v>
      </c>
      <c r="U31" s="3156">
        <f t="shared" si="13"/>
        <v>100</v>
      </c>
      <c r="V31" s="3734" t="s">
        <v>13</v>
      </c>
      <c r="W31" s="3156">
        <f t="shared" si="14"/>
        <v>100</v>
      </c>
      <c r="X31" s="909"/>
      <c r="Y31" s="4556"/>
      <c r="Z31" s="907">
        <f t="shared" si="15"/>
        <v>111</v>
      </c>
      <c r="AA31" s="907">
        <f t="shared" si="3"/>
        <v>1</v>
      </c>
      <c r="AB31" s="907">
        <f t="shared" si="4"/>
        <v>1</v>
      </c>
      <c r="AC31" s="1415">
        <f t="shared" si="5"/>
        <v>1</v>
      </c>
    </row>
    <row r="32" spans="1:29" ht="15.75" thickBot="1">
      <c r="A32" s="260"/>
      <c r="B32" s="409">
        <v>111</v>
      </c>
      <c r="C32" s="1370"/>
      <c r="D32" s="2902">
        <v>100</v>
      </c>
      <c r="E32" s="402"/>
      <c r="F32" s="3747">
        <f>SUMIF(99:99,E32,100:100)-SUMIF(99:99,C32,100:100)+100</f>
        <v>100</v>
      </c>
      <c r="G32" s="1413"/>
      <c r="H32" s="3747">
        <f>SUMIF(99:99,G32,100:100)-SUMIF(99:99,C32,100:100)+100</f>
        <v>100</v>
      </c>
      <c r="I32" s="258"/>
      <c r="J32" s="3747">
        <f>SUMIF(99:99,I32,100:100)-SUMIF(99:99,C32,100:100)+100</f>
        <v>100</v>
      </c>
      <c r="K32" s="395"/>
      <c r="L32" s="1979"/>
      <c r="M32" s="1974"/>
      <c r="N32" s="1974"/>
      <c r="O32" s="1974"/>
      <c r="P32" s="4554"/>
      <c r="Q32" s="1506">
        <f t="shared" si="11"/>
        <v>111</v>
      </c>
      <c r="R32" s="3734" t="s">
        <v>13</v>
      </c>
      <c r="S32" s="3156">
        <f t="shared" si="12"/>
        <v>100</v>
      </c>
      <c r="T32" s="3734" t="s">
        <v>13</v>
      </c>
      <c r="U32" s="3156">
        <f t="shared" si="13"/>
        <v>100</v>
      </c>
      <c r="V32" s="3734" t="s">
        <v>13</v>
      </c>
      <c r="W32" s="3156">
        <f t="shared" si="14"/>
        <v>100</v>
      </c>
      <c r="X32" s="909"/>
      <c r="Y32" s="4556"/>
      <c r="Z32" s="907">
        <f t="shared" si="15"/>
        <v>111</v>
      </c>
      <c r="AA32" s="907">
        <f t="shared" si="3"/>
        <v>1</v>
      </c>
      <c r="AB32" s="907">
        <f t="shared" si="4"/>
        <v>1</v>
      </c>
      <c r="AC32" s="1415">
        <f t="shared" si="5"/>
        <v>1</v>
      </c>
    </row>
    <row r="33" spans="1:29" ht="15">
      <c r="A33" s="262" t="s">
        <v>1601</v>
      </c>
      <c r="B33" s="34" t="s">
        <v>1724</v>
      </c>
      <c r="C33" s="1419" t="s">
        <v>4103</v>
      </c>
      <c r="D33" s="2908">
        <v>100</v>
      </c>
      <c r="E33" s="1419" t="s">
        <v>4103</v>
      </c>
      <c r="F33" s="908">
        <f>SUMIF(101:101,E33,102:102)-SUMIF(101:101,C33,102:102)+100</f>
        <v>100</v>
      </c>
      <c r="G33" s="1419" t="s">
        <v>4103</v>
      </c>
      <c r="H33" s="3750">
        <f>SUMIF(101:101,G33,102:102)-SUMIF(101:101,C33,102:102)+100</f>
        <v>100</v>
      </c>
      <c r="I33" s="1419" t="s">
        <v>4103</v>
      </c>
      <c r="J33" s="3753">
        <f>SUMIF(101:101,I33,102:102)-SUMIF(101:101,C33,102:102)+100</f>
        <v>100</v>
      </c>
      <c r="K33" s="394">
        <v>1</v>
      </c>
      <c r="L33" s="1979"/>
      <c r="M33" s="1974"/>
      <c r="N33" s="1974"/>
      <c r="O33" s="1974"/>
      <c r="P33" s="4557" t="s">
        <v>1603</v>
      </c>
      <c r="Q33" s="1506" t="str">
        <f t="shared" si="11"/>
        <v>建筑类型</v>
      </c>
      <c r="R33" s="3734" t="s">
        <v>13</v>
      </c>
      <c r="S33" s="3156">
        <f t="shared" si="12"/>
        <v>100</v>
      </c>
      <c r="T33" s="3734" t="s">
        <v>13</v>
      </c>
      <c r="U33" s="3156">
        <f t="shared" si="13"/>
        <v>100</v>
      </c>
      <c r="V33" s="3734" t="s">
        <v>13</v>
      </c>
      <c r="W33" s="3156">
        <f t="shared" si="14"/>
        <v>100</v>
      </c>
      <c r="X33" s="909"/>
      <c r="Y33" s="4560" t="s">
        <v>1603</v>
      </c>
      <c r="Z33" s="907" t="str">
        <f t="shared" si="15"/>
        <v>建筑类型</v>
      </c>
      <c r="AA33" s="907">
        <f t="shared" si="3"/>
        <v>1</v>
      </c>
      <c r="AB33" s="907">
        <f t="shared" si="4"/>
        <v>1</v>
      </c>
      <c r="AC33" s="1415">
        <f t="shared" si="5"/>
        <v>1</v>
      </c>
    </row>
    <row r="34" spans="1:29" s="279" customFormat="1" ht="15">
      <c r="A34" s="277"/>
      <c r="B34" s="252" t="s">
        <v>1604</v>
      </c>
      <c r="C34" s="278">
        <f>'数据-汇总表'!F19</f>
        <v>498.23</v>
      </c>
      <c r="D34" s="2899">
        <v>100</v>
      </c>
      <c r="E34" s="278">
        <v>802.36</v>
      </c>
      <c r="F34" s="252">
        <f>LOOKUP(E34,104:104,105:105)-LOOKUP(C34,104:104,105:105)+100</f>
        <v>98</v>
      </c>
      <c r="G34" s="278">
        <v>149.69999999999999</v>
      </c>
      <c r="H34" s="422">
        <f>LOOKUP(G34,104:104,105:105)-LOOKUP(C34,104:104,105:105)+100</f>
        <v>99</v>
      </c>
      <c r="I34" s="278">
        <v>197.03</v>
      </c>
      <c r="J34" s="422">
        <f>LOOKUP(I34,104:104,105:105)-LOOKUP(C34,104:104,105:105)+100</f>
        <v>99</v>
      </c>
      <c r="K34" s="395"/>
      <c r="L34" s="1978"/>
      <c r="M34" s="1980"/>
      <c r="N34" s="1980"/>
      <c r="O34" s="1980"/>
      <c r="P34" s="4558"/>
      <c r="Q34" s="2863" t="str">
        <f t="shared" si="11"/>
        <v>项目建筑规模</v>
      </c>
      <c r="R34" s="3735" t="s">
        <v>13</v>
      </c>
      <c r="S34" s="3157">
        <f t="shared" si="12"/>
        <v>98</v>
      </c>
      <c r="T34" s="3735" t="s">
        <v>13</v>
      </c>
      <c r="U34" s="3157">
        <f t="shared" si="13"/>
        <v>99</v>
      </c>
      <c r="V34" s="3735" t="s">
        <v>13</v>
      </c>
      <c r="W34" s="3157">
        <f t="shared" si="14"/>
        <v>99</v>
      </c>
      <c r="X34" s="484"/>
      <c r="Y34" s="4560"/>
      <c r="Z34" s="485" t="str">
        <f t="shared" si="15"/>
        <v>项目建筑规模</v>
      </c>
      <c r="AA34" s="907">
        <f t="shared" si="3"/>
        <v>1.0204081632653061</v>
      </c>
      <c r="AB34" s="907">
        <f t="shared" si="4"/>
        <v>1.0101010101010102</v>
      </c>
      <c r="AC34" s="1415">
        <f t="shared" si="5"/>
        <v>1.0101010101010102</v>
      </c>
    </row>
    <row r="35" spans="1:29" ht="15">
      <c r="A35" s="280"/>
      <c r="B35" s="252" t="s">
        <v>1605</v>
      </c>
      <c r="C35" s="275" t="s">
        <v>4084</v>
      </c>
      <c r="D35" s="2901">
        <v>100</v>
      </c>
      <c r="E35" s="275" t="s">
        <v>4084</v>
      </c>
      <c r="F35" s="908">
        <f>SUMIF(106:106,E35,107:107)-SUMIF(106:106,C35,107:107)+100</f>
        <v>100</v>
      </c>
      <c r="G35" s="275" t="s">
        <v>4084</v>
      </c>
      <c r="H35" s="3750">
        <f>SUMIF(106:106,G35,107:107)-SUMIF(106:106,C35,107:107)+100</f>
        <v>100</v>
      </c>
      <c r="I35" s="275" t="s">
        <v>4084</v>
      </c>
      <c r="J35" s="3750">
        <f>SUMIF(106:106,I35,107:107)-SUMIF(106:106,C35,107:107)+100</f>
        <v>100</v>
      </c>
      <c r="K35" s="394">
        <v>1</v>
      </c>
      <c r="L35" s="1979"/>
      <c r="M35" s="1974"/>
      <c r="N35" s="1974"/>
      <c r="O35" s="1974"/>
      <c r="P35" s="4558"/>
      <c r="Q35" s="1506" t="str">
        <f t="shared" si="11"/>
        <v>建筑结构</v>
      </c>
      <c r="R35" s="3734" t="s">
        <v>13</v>
      </c>
      <c r="S35" s="3156">
        <f t="shared" si="12"/>
        <v>100</v>
      </c>
      <c r="T35" s="3734" t="s">
        <v>13</v>
      </c>
      <c r="U35" s="3156">
        <f t="shared" si="13"/>
        <v>100</v>
      </c>
      <c r="V35" s="3734" t="s">
        <v>13</v>
      </c>
      <c r="W35" s="3156">
        <f t="shared" si="14"/>
        <v>100</v>
      </c>
      <c r="X35" s="909"/>
      <c r="Y35" s="4560"/>
      <c r="Z35" s="907" t="str">
        <f t="shared" si="15"/>
        <v>建筑结构</v>
      </c>
      <c r="AA35" s="907">
        <f t="shared" si="3"/>
        <v>1</v>
      </c>
      <c r="AB35" s="907">
        <f t="shared" si="4"/>
        <v>1</v>
      </c>
      <c r="AC35" s="1415">
        <f t="shared" si="5"/>
        <v>1</v>
      </c>
    </row>
    <row r="36" spans="1:29" ht="15">
      <c r="A36" s="280"/>
      <c r="B36" s="252" t="s">
        <v>1692</v>
      </c>
      <c r="C36" s="275" t="s">
        <v>4106</v>
      </c>
      <c r="D36" s="2901">
        <v>100</v>
      </c>
      <c r="E36" s="275" t="s">
        <v>4106</v>
      </c>
      <c r="F36" s="908">
        <f>SUMIF(108:108,E36,109:109)-SUMIF(108:108,C36,109:109)+100</f>
        <v>100</v>
      </c>
      <c r="G36" s="275" t="s">
        <v>4106</v>
      </c>
      <c r="H36" s="3750">
        <f>SUMIF(108:108,G36,109:109)-SUMIF(108:108,C36,109:109)+100</f>
        <v>100</v>
      </c>
      <c r="I36" s="275" t="s">
        <v>4106</v>
      </c>
      <c r="J36" s="3750">
        <f>SUMIF(108:108,I36,109:109)-SUMIF(108:108,C36,109:109)+100</f>
        <v>100</v>
      </c>
      <c r="K36" s="394">
        <v>1</v>
      </c>
      <c r="L36" s="1979"/>
      <c r="M36" s="1974"/>
      <c r="N36" s="1974"/>
      <c r="O36" s="1974"/>
      <c r="P36" s="4558"/>
      <c r="Q36" s="1506" t="str">
        <f t="shared" si="11"/>
        <v>公共部分装修</v>
      </c>
      <c r="R36" s="3734" t="s">
        <v>13</v>
      </c>
      <c r="S36" s="3156">
        <f t="shared" si="12"/>
        <v>100</v>
      </c>
      <c r="T36" s="3734" t="s">
        <v>13</v>
      </c>
      <c r="U36" s="3156">
        <f t="shared" si="13"/>
        <v>100</v>
      </c>
      <c r="V36" s="3734" t="s">
        <v>13</v>
      </c>
      <c r="W36" s="3156">
        <f t="shared" si="14"/>
        <v>100</v>
      </c>
      <c r="X36" s="909"/>
      <c r="Y36" s="4560"/>
      <c r="Z36" s="907" t="str">
        <f t="shared" si="15"/>
        <v>公共部分装修</v>
      </c>
      <c r="AA36" s="907">
        <f t="shared" si="3"/>
        <v>1</v>
      </c>
      <c r="AB36" s="907">
        <f t="shared" si="4"/>
        <v>1</v>
      </c>
      <c r="AC36" s="1415">
        <f t="shared" si="5"/>
        <v>1</v>
      </c>
    </row>
    <row r="37" spans="1:29" ht="15">
      <c r="A37" s="280"/>
      <c r="B37" s="252" t="s">
        <v>1693</v>
      </c>
      <c r="C37" s="282">
        <f>'数据-取费表'!N6</f>
        <v>0.83</v>
      </c>
      <c r="D37" s="2901">
        <v>100</v>
      </c>
      <c r="E37" s="282">
        <v>0.83</v>
      </c>
      <c r="F37" s="908">
        <f>LOOKUP(E37,111:111,112:112)-LOOKUP(C37,111:111,112:112)+100</f>
        <v>100</v>
      </c>
      <c r="G37" s="282">
        <v>0.78</v>
      </c>
      <c r="H37" s="908">
        <f>LOOKUP(G37,111:111,112:112)-LOOKUP(C37,111:111,112:112)+100</f>
        <v>99</v>
      </c>
      <c r="I37" s="282">
        <v>0.75</v>
      </c>
      <c r="J37" s="3750">
        <f>LOOKUP(I37,111:111,112:112)-LOOKUP(C37,111:111,112:112)+100</f>
        <v>99</v>
      </c>
      <c r="K37" s="394">
        <v>1</v>
      </c>
      <c r="L37" s="1979"/>
      <c r="M37" s="1974"/>
      <c r="N37" s="1974"/>
      <c r="O37" s="1974"/>
      <c r="P37" s="4558"/>
      <c r="Q37" s="1506" t="str">
        <f t="shared" si="11"/>
        <v>成新度</v>
      </c>
      <c r="R37" s="3734" t="s">
        <v>13</v>
      </c>
      <c r="S37" s="3156">
        <f t="shared" si="12"/>
        <v>100</v>
      </c>
      <c r="T37" s="3734" t="s">
        <v>13</v>
      </c>
      <c r="U37" s="3156">
        <f t="shared" si="13"/>
        <v>99</v>
      </c>
      <c r="V37" s="3734" t="s">
        <v>13</v>
      </c>
      <c r="W37" s="3156">
        <f t="shared" si="14"/>
        <v>99</v>
      </c>
      <c r="X37" s="909"/>
      <c r="Y37" s="4560"/>
      <c r="Z37" s="907" t="str">
        <f t="shared" si="15"/>
        <v>成新度</v>
      </c>
      <c r="AA37" s="907">
        <f t="shared" si="3"/>
        <v>1</v>
      </c>
      <c r="AB37" s="907">
        <f t="shared" si="4"/>
        <v>1.0101010101010102</v>
      </c>
      <c r="AC37" s="1415">
        <f t="shared" si="5"/>
        <v>1.0101010101010102</v>
      </c>
    </row>
    <row r="38" spans="1:29" s="46" customFormat="1" ht="15">
      <c r="A38" s="281"/>
      <c r="B38" s="252" t="s">
        <v>1725</v>
      </c>
      <c r="C38" s="275"/>
      <c r="D38" s="2899">
        <v>100</v>
      </c>
      <c r="E38" s="275"/>
      <c r="F38" s="908">
        <f>SUMIF(113:113,E38,114:114)-SUMIF(113:113,C38,114:114)+100</f>
        <v>100</v>
      </c>
      <c r="G38" s="275"/>
      <c r="H38" s="3750">
        <f>SUMIF(113:113,G38,114:114)-SUMIF(113:113,C38,114:114)+100</f>
        <v>100</v>
      </c>
      <c r="I38" s="275"/>
      <c r="J38" s="3750">
        <f>SUMIF(113:113,I38,114:114)-SUMIF(113:113,C38,114:114)+100</f>
        <v>100</v>
      </c>
      <c r="K38" s="394"/>
      <c r="L38" s="1975"/>
      <c r="M38" s="1928"/>
      <c r="N38" s="1928"/>
      <c r="O38" s="1928"/>
      <c r="P38" s="4558"/>
      <c r="Q38" s="1697" t="str">
        <f t="shared" si="11"/>
        <v>写字楼等级</v>
      </c>
      <c r="R38" s="3632" t="s">
        <v>13</v>
      </c>
      <c r="S38" s="3155">
        <f t="shared" si="12"/>
        <v>100</v>
      </c>
      <c r="T38" s="3632" t="s">
        <v>13</v>
      </c>
      <c r="U38" s="3155">
        <f t="shared" si="13"/>
        <v>100</v>
      </c>
      <c r="V38" s="3632" t="s">
        <v>13</v>
      </c>
      <c r="W38" s="3155">
        <f t="shared" si="14"/>
        <v>100</v>
      </c>
      <c r="X38" s="482"/>
      <c r="Y38" s="4560"/>
      <c r="Z38" s="28" t="str">
        <f t="shared" si="15"/>
        <v>写字楼等级</v>
      </c>
      <c r="AA38" s="28">
        <f t="shared" si="3"/>
        <v>1</v>
      </c>
      <c r="AB38" s="28">
        <f t="shared" si="4"/>
        <v>1</v>
      </c>
      <c r="AC38" s="545">
        <f t="shared" si="5"/>
        <v>1</v>
      </c>
    </row>
    <row r="39" spans="1:29" ht="15">
      <c r="A39" s="280"/>
      <c r="B39" s="252" t="s">
        <v>1726</v>
      </c>
      <c r="C39" s="275" t="s">
        <v>4115</v>
      </c>
      <c r="D39" s="2901">
        <v>100</v>
      </c>
      <c r="E39" s="275" t="s">
        <v>4115</v>
      </c>
      <c r="F39" s="908">
        <f>SUMIF(115:115,E39,116:116)-SUMIF(115:115,C39,116:116)+100</f>
        <v>100</v>
      </c>
      <c r="G39" s="275" t="s">
        <v>4115</v>
      </c>
      <c r="H39" s="3750">
        <f>SUMIF(115:115,G39,116:116)-SUMIF(115:115,C39,116:116)+100</f>
        <v>100</v>
      </c>
      <c r="I39" s="275" t="s">
        <v>4115</v>
      </c>
      <c r="J39" s="3750">
        <f>SUMIF(115:115,I39,116:116)-SUMIF(115:115,C39,116:116)+100</f>
        <v>100</v>
      </c>
      <c r="K39" s="394">
        <v>1</v>
      </c>
      <c r="L39" s="1979"/>
      <c r="M39" s="1974"/>
      <c r="N39" s="1974"/>
      <c r="O39" s="1974"/>
      <c r="P39" s="4558" t="s">
        <v>1603</v>
      </c>
      <c r="Q39" s="1506" t="str">
        <f t="shared" si="11"/>
        <v>物业管理</v>
      </c>
      <c r="R39" s="3734" t="s">
        <v>13</v>
      </c>
      <c r="S39" s="3156">
        <f t="shared" si="12"/>
        <v>100</v>
      </c>
      <c r="T39" s="3734" t="s">
        <v>13</v>
      </c>
      <c r="U39" s="3156">
        <f t="shared" si="13"/>
        <v>100</v>
      </c>
      <c r="V39" s="3734" t="s">
        <v>13</v>
      </c>
      <c r="W39" s="3156">
        <f t="shared" si="14"/>
        <v>100</v>
      </c>
      <c r="X39" s="909"/>
      <c r="Y39" s="4560" t="s">
        <v>1603</v>
      </c>
      <c r="Z39" s="907" t="str">
        <f t="shared" si="15"/>
        <v>物业管理</v>
      </c>
      <c r="AA39" s="907">
        <f t="shared" si="3"/>
        <v>1</v>
      </c>
      <c r="AB39" s="907">
        <f t="shared" si="4"/>
        <v>1</v>
      </c>
      <c r="AC39" s="1415">
        <f t="shared" si="5"/>
        <v>1</v>
      </c>
    </row>
    <row r="40" spans="1:29" ht="15">
      <c r="A40" s="280"/>
      <c r="B40" s="252" t="s">
        <v>1694</v>
      </c>
      <c r="C40" s="275"/>
      <c r="D40" s="2901">
        <v>100</v>
      </c>
      <c r="E40" s="275"/>
      <c r="F40" s="908">
        <f>SUMIF(117:117,E40,118:118)-SUMIF(117:117,C40,118:118)+100</f>
        <v>100</v>
      </c>
      <c r="G40" s="275"/>
      <c r="H40" s="3750">
        <f>SUMIF(117:117,G40,118:118)-SUMIF(117:117,C40,118:118)+100</f>
        <v>100</v>
      </c>
      <c r="I40" s="275"/>
      <c r="J40" s="3750">
        <f>SUMIF(117:117,I40,118:118)-SUMIF(117:117,C40,118:118)+100</f>
        <v>100</v>
      </c>
      <c r="K40" s="394"/>
      <c r="L40" s="1979"/>
      <c r="M40" s="1974"/>
      <c r="N40" s="1974"/>
      <c r="O40" s="1974"/>
      <c r="P40" s="4558"/>
      <c r="Q40" s="1506" t="str">
        <f t="shared" si="11"/>
        <v>市政基础设施</v>
      </c>
      <c r="R40" s="3734" t="s">
        <v>13</v>
      </c>
      <c r="S40" s="3156">
        <f t="shared" si="12"/>
        <v>100</v>
      </c>
      <c r="T40" s="3734" t="s">
        <v>13</v>
      </c>
      <c r="U40" s="3156">
        <f t="shared" si="13"/>
        <v>100</v>
      </c>
      <c r="V40" s="3734" t="s">
        <v>13</v>
      </c>
      <c r="W40" s="3156">
        <f t="shared" si="14"/>
        <v>100</v>
      </c>
      <c r="X40" s="909"/>
      <c r="Y40" s="4560"/>
      <c r="Z40" s="907" t="str">
        <f t="shared" si="15"/>
        <v>市政基础设施</v>
      </c>
      <c r="AA40" s="907">
        <f t="shared" si="3"/>
        <v>1</v>
      </c>
      <c r="AB40" s="907">
        <f t="shared" si="4"/>
        <v>1</v>
      </c>
      <c r="AC40" s="1415">
        <f t="shared" si="5"/>
        <v>1</v>
      </c>
    </row>
    <row r="41" spans="1:29" ht="15">
      <c r="A41" s="280"/>
      <c r="B41" s="252" t="s">
        <v>1696</v>
      </c>
      <c r="C41" s="398" t="s">
        <v>4111</v>
      </c>
      <c r="D41" s="2901">
        <v>100</v>
      </c>
      <c r="E41" s="398" t="s">
        <v>4111</v>
      </c>
      <c r="F41" s="908">
        <f>SUMIF(119:119,E41,120:120)-SUMIF(119:119,C41,120:120)+100</f>
        <v>100</v>
      </c>
      <c r="G41" s="398" t="s">
        <v>4113</v>
      </c>
      <c r="H41" s="3750">
        <f>SUMIF(119:119,G41,120:120)-SUMIF(119:119,C41,120:120)+100</f>
        <v>97</v>
      </c>
      <c r="I41" s="398" t="s">
        <v>4113</v>
      </c>
      <c r="J41" s="3750">
        <f>SUMIF(119:119,I41,120:120)-SUMIF(119:119,C41,120:120)+100</f>
        <v>97</v>
      </c>
      <c r="K41" s="394">
        <v>3</v>
      </c>
      <c r="L41" s="1979"/>
      <c r="M41" s="1974"/>
      <c r="N41" s="1974"/>
      <c r="O41" s="1974"/>
      <c r="P41" s="4558"/>
      <c r="Q41" s="1506" t="str">
        <f t="shared" si="11"/>
        <v>层高</v>
      </c>
      <c r="R41" s="3734" t="s">
        <v>13</v>
      </c>
      <c r="S41" s="3156">
        <f t="shared" si="12"/>
        <v>100</v>
      </c>
      <c r="T41" s="3734" t="s">
        <v>13</v>
      </c>
      <c r="U41" s="3156">
        <f t="shared" si="13"/>
        <v>97</v>
      </c>
      <c r="V41" s="3734" t="s">
        <v>13</v>
      </c>
      <c r="W41" s="3156">
        <f t="shared" si="14"/>
        <v>97</v>
      </c>
      <c r="X41" s="909"/>
      <c r="Y41" s="4560"/>
      <c r="Z41" s="907" t="str">
        <f t="shared" si="15"/>
        <v>层高</v>
      </c>
      <c r="AA41" s="907">
        <f t="shared" si="3"/>
        <v>1</v>
      </c>
      <c r="AB41" s="907">
        <f t="shared" si="4"/>
        <v>1.0309278350515463</v>
      </c>
      <c r="AC41" s="1415">
        <f t="shared" si="5"/>
        <v>1.0309278350515463</v>
      </c>
    </row>
    <row r="42" spans="1:29" s="279" customFormat="1" ht="15">
      <c r="A42" s="277"/>
      <c r="B42" s="908" t="s">
        <v>1727</v>
      </c>
      <c r="C42" s="259"/>
      <c r="D42" s="2901">
        <v>100</v>
      </c>
      <c r="E42" s="259"/>
      <c r="F42" s="908">
        <f>SUMIF(121:121,E42,122:122)-SUMIF(121:121,C42,122:122)+100</f>
        <v>100</v>
      </c>
      <c r="G42" s="259"/>
      <c r="H42" s="3750">
        <f>SUMIF(121:121,G42,122:122)-SUMIF(121:121,C42,122:122)+100</f>
        <v>100</v>
      </c>
      <c r="I42" s="259"/>
      <c r="J42" s="3750">
        <f>SUMIF(121:121,I42,122:122)-SUMIF(121:121,C42,122:122)+100</f>
        <v>100</v>
      </c>
      <c r="K42" s="395"/>
      <c r="L42" s="1978"/>
      <c r="M42" s="1980"/>
      <c r="N42" s="1980"/>
      <c r="O42" s="1980"/>
      <c r="P42" s="4558"/>
      <c r="Q42" s="2863" t="str">
        <f t="shared" si="11"/>
        <v>单套建筑面积</v>
      </c>
      <c r="R42" s="3735" t="s">
        <v>13</v>
      </c>
      <c r="S42" s="3157">
        <f t="shared" si="12"/>
        <v>100</v>
      </c>
      <c r="T42" s="3735" t="s">
        <v>13</v>
      </c>
      <c r="U42" s="3157">
        <f t="shared" si="13"/>
        <v>100</v>
      </c>
      <c r="V42" s="3735" t="s">
        <v>13</v>
      </c>
      <c r="W42" s="3157">
        <f t="shared" si="14"/>
        <v>100</v>
      </c>
      <c r="X42" s="484"/>
      <c r="Y42" s="4560"/>
      <c r="Z42" s="485" t="str">
        <f t="shared" si="15"/>
        <v>单套建筑面积</v>
      </c>
      <c r="AA42" s="907">
        <f t="shared" si="3"/>
        <v>1</v>
      </c>
      <c r="AB42" s="907">
        <f t="shared" si="4"/>
        <v>1</v>
      </c>
      <c r="AC42" s="1415">
        <f t="shared" si="5"/>
        <v>1</v>
      </c>
    </row>
    <row r="43" spans="1:29" ht="15">
      <c r="A43" s="280"/>
      <c r="B43" s="252" t="s">
        <v>1699</v>
      </c>
      <c r="C43" s="275" t="s">
        <v>4106</v>
      </c>
      <c r="D43" s="2901">
        <v>100</v>
      </c>
      <c r="E43" s="275" t="s">
        <v>4106</v>
      </c>
      <c r="F43" s="908">
        <f>SUMIF(123:123,E43,124:124)-SUMIF(123:123,C43,124:124)+100</f>
        <v>100</v>
      </c>
      <c r="G43" s="275" t="s">
        <v>4106</v>
      </c>
      <c r="H43" s="3750">
        <f>SUMIF(123:123,G43,124:124)-SUMIF(123:123,C43,124:124)+100</f>
        <v>100</v>
      </c>
      <c r="I43" s="275" t="s">
        <v>4106</v>
      </c>
      <c r="J43" s="3750">
        <f>SUMIF(123:123,I43,124:124)-SUMIF(123:123,C43,124:124)+100</f>
        <v>100</v>
      </c>
      <c r="K43" s="394">
        <v>1</v>
      </c>
      <c r="L43" s="1979"/>
      <c r="M43" s="1974"/>
      <c r="N43" s="1974"/>
      <c r="O43" s="1974"/>
      <c r="P43" s="4558"/>
      <c r="Q43" s="1506" t="str">
        <f t="shared" si="11"/>
        <v>内部装修</v>
      </c>
      <c r="R43" s="3734" t="s">
        <v>13</v>
      </c>
      <c r="S43" s="3156">
        <f t="shared" si="12"/>
        <v>100</v>
      </c>
      <c r="T43" s="3734" t="s">
        <v>13</v>
      </c>
      <c r="U43" s="3156">
        <f t="shared" si="13"/>
        <v>100</v>
      </c>
      <c r="V43" s="3734" t="s">
        <v>13</v>
      </c>
      <c r="W43" s="3156">
        <f t="shared" si="14"/>
        <v>100</v>
      </c>
      <c r="X43" s="909"/>
      <c r="Y43" s="4560"/>
      <c r="Z43" s="907" t="str">
        <f t="shared" si="15"/>
        <v>内部装修</v>
      </c>
      <c r="AA43" s="907">
        <f t="shared" si="3"/>
        <v>1</v>
      </c>
      <c r="AB43" s="907">
        <f t="shared" si="4"/>
        <v>1</v>
      </c>
      <c r="AC43" s="1415">
        <f t="shared" si="5"/>
        <v>1</v>
      </c>
    </row>
    <row r="44" spans="1:29" ht="15">
      <c r="A44" s="280"/>
      <c r="B44" s="252" t="s">
        <v>1614</v>
      </c>
      <c r="C44" s="275" t="s">
        <v>3612</v>
      </c>
      <c r="D44" s="2901">
        <v>100</v>
      </c>
      <c r="E44" s="275" t="s">
        <v>3612</v>
      </c>
      <c r="F44" s="908">
        <f>SUMIF(125:125,E44,126:126)-SUMIF(125:125,C44,126:126)+100</f>
        <v>100</v>
      </c>
      <c r="G44" s="275" t="s">
        <v>3612</v>
      </c>
      <c r="H44" s="3750">
        <f>SUMIF(125:125,G44,126:126)-SUMIF(125:125,C44,126:126)+100</f>
        <v>100</v>
      </c>
      <c r="I44" s="275" t="s">
        <v>3612</v>
      </c>
      <c r="J44" s="3750">
        <f>SUMIF(125:125,I44,126:126)-SUMIF(125:125,C44,126:126)+100</f>
        <v>100</v>
      </c>
      <c r="K44" s="394">
        <v>1</v>
      </c>
      <c r="L44" s="1979"/>
      <c r="M44" s="1974"/>
      <c r="N44" s="1974"/>
      <c r="O44" s="1974"/>
      <c r="P44" s="4558"/>
      <c r="Q44" s="1506" t="str">
        <f t="shared" si="11"/>
        <v>内部装修维护情况</v>
      </c>
      <c r="R44" s="3734" t="s">
        <v>13</v>
      </c>
      <c r="S44" s="3156">
        <f t="shared" si="12"/>
        <v>100</v>
      </c>
      <c r="T44" s="3734" t="s">
        <v>13</v>
      </c>
      <c r="U44" s="3156">
        <f t="shared" si="13"/>
        <v>100</v>
      </c>
      <c r="V44" s="3734" t="s">
        <v>13</v>
      </c>
      <c r="W44" s="3156">
        <f t="shared" si="14"/>
        <v>100</v>
      </c>
      <c r="X44" s="909"/>
      <c r="Y44" s="4560"/>
      <c r="Z44" s="907" t="str">
        <f t="shared" si="15"/>
        <v>内部装修维护情况</v>
      </c>
      <c r="AA44" s="907">
        <f t="shared" si="3"/>
        <v>1</v>
      </c>
      <c r="AB44" s="907">
        <f t="shared" si="4"/>
        <v>1</v>
      </c>
      <c r="AC44" s="1415">
        <f t="shared" si="5"/>
        <v>1</v>
      </c>
    </row>
    <row r="45" spans="1:29" s="46" customFormat="1" ht="15">
      <c r="A45" s="281"/>
      <c r="B45" s="761">
        <v>111</v>
      </c>
      <c r="C45" s="278">
        <v>2016</v>
      </c>
      <c r="D45" s="2899">
        <v>100</v>
      </c>
      <c r="E45" s="258">
        <v>2016</v>
      </c>
      <c r="F45" s="252">
        <f>SUMIF(127:127,E45,128:128)-SUMIF(127:127,C45,128:128)+100</f>
        <v>100</v>
      </c>
      <c r="G45" s="258">
        <v>2013</v>
      </c>
      <c r="H45" s="422">
        <f>SUMIF(127:127,G45,128:128)-SUMIF(127:127,C45,128:128)+100</f>
        <v>100</v>
      </c>
      <c r="I45" s="258">
        <v>2011</v>
      </c>
      <c r="J45" s="422">
        <f>SUMIF(127:127,I45,128:128)-SUMIF(127:127,C45,128:128)+100</f>
        <v>100</v>
      </c>
      <c r="K45" s="395"/>
      <c r="L45" s="1975"/>
      <c r="M45" s="1928"/>
      <c r="N45" s="1928"/>
      <c r="O45" s="1928"/>
      <c r="P45" s="4558"/>
      <c r="Q45" s="1697">
        <f t="shared" si="11"/>
        <v>111</v>
      </c>
      <c r="R45" s="3632" t="s">
        <v>13</v>
      </c>
      <c r="S45" s="3155">
        <f t="shared" si="12"/>
        <v>100</v>
      </c>
      <c r="T45" s="3632" t="s">
        <v>13</v>
      </c>
      <c r="U45" s="3155">
        <f t="shared" si="13"/>
        <v>100</v>
      </c>
      <c r="V45" s="3632" t="s">
        <v>13</v>
      </c>
      <c r="W45" s="3155">
        <f t="shared" si="14"/>
        <v>100</v>
      </c>
      <c r="X45" s="482"/>
      <c r="Y45" s="4560"/>
      <c r="Z45" s="28">
        <f t="shared" si="15"/>
        <v>111</v>
      </c>
      <c r="AA45" s="28">
        <f t="shared" si="3"/>
        <v>1</v>
      </c>
      <c r="AB45" s="28">
        <f t="shared" si="4"/>
        <v>1</v>
      </c>
      <c r="AC45" s="545">
        <f t="shared" si="5"/>
        <v>1</v>
      </c>
    </row>
    <row r="46" spans="1:29" ht="15">
      <c r="A46" s="280"/>
      <c r="B46" s="761">
        <v>111</v>
      </c>
      <c r="C46" s="259"/>
      <c r="D46" s="2901">
        <v>100</v>
      </c>
      <c r="E46" s="258"/>
      <c r="F46" s="908">
        <f>SUMIF(129:129,E46,130:130)-SUMIF(129:129,C46,130:130)+100</f>
        <v>100</v>
      </c>
      <c r="G46" s="258"/>
      <c r="H46" s="3750">
        <f>SUMIF(129:129,G46,130:130)-SUMIF(129:129,C46,130:130)+100</f>
        <v>100</v>
      </c>
      <c r="I46" s="258"/>
      <c r="J46" s="3750">
        <f>SUMIF(129:129,I46,130:130)-SUMIF(129:129,C46,130:130)+100</f>
        <v>100</v>
      </c>
      <c r="K46" s="395"/>
      <c r="L46" s="1979"/>
      <c r="M46" s="1974"/>
      <c r="N46" s="1974"/>
      <c r="O46" s="1974"/>
      <c r="P46" s="4558"/>
      <c r="Q46" s="1506">
        <f t="shared" si="11"/>
        <v>111</v>
      </c>
      <c r="R46" s="3734" t="s">
        <v>13</v>
      </c>
      <c r="S46" s="3156">
        <f t="shared" si="12"/>
        <v>100</v>
      </c>
      <c r="T46" s="3734" t="s">
        <v>13</v>
      </c>
      <c r="U46" s="3156">
        <f t="shared" si="13"/>
        <v>100</v>
      </c>
      <c r="V46" s="3734" t="s">
        <v>13</v>
      </c>
      <c r="W46" s="3156">
        <f t="shared" si="14"/>
        <v>100</v>
      </c>
      <c r="X46" s="909"/>
      <c r="Y46" s="4560"/>
      <c r="Z46" s="907">
        <f t="shared" si="15"/>
        <v>111</v>
      </c>
      <c r="AA46" s="907">
        <f t="shared" si="3"/>
        <v>1</v>
      </c>
      <c r="AB46" s="907">
        <f t="shared" si="4"/>
        <v>1</v>
      </c>
      <c r="AC46" s="1415">
        <f t="shared" si="5"/>
        <v>1</v>
      </c>
    </row>
    <row r="47" spans="1:29" ht="15.75" thickBot="1">
      <c r="A47" s="285"/>
      <c r="B47" s="1361">
        <v>111</v>
      </c>
      <c r="C47" s="261"/>
      <c r="D47" s="2902">
        <v>100</v>
      </c>
      <c r="E47" s="258"/>
      <c r="F47" s="3751">
        <f>SUMIF(131:131,E47,132:132)-SUMIF(131:131,C47,132:132)+100</f>
        <v>100</v>
      </c>
      <c r="G47" s="258"/>
      <c r="H47" s="3747">
        <f>SUMIF(131:131,G47,132:132)-SUMIF(131:131,C47,132:132)+100</f>
        <v>100</v>
      </c>
      <c r="I47" s="258"/>
      <c r="J47" s="3747">
        <f>SUMIF(131:131,I47,132:132)-SUMIF(131:131,C47,132:132)+100</f>
        <v>100</v>
      </c>
      <c r="K47" s="395"/>
      <c r="L47" s="1979"/>
      <c r="M47" s="1974"/>
      <c r="N47" s="1974"/>
      <c r="O47" s="1974"/>
      <c r="P47" s="4559"/>
      <c r="Q47" s="1506">
        <f t="shared" si="11"/>
        <v>111</v>
      </c>
      <c r="R47" s="3734" t="s">
        <v>13</v>
      </c>
      <c r="S47" s="3156">
        <f t="shared" si="12"/>
        <v>100</v>
      </c>
      <c r="T47" s="3734" t="s">
        <v>13</v>
      </c>
      <c r="U47" s="3156">
        <f t="shared" si="13"/>
        <v>100</v>
      </c>
      <c r="V47" s="3734" t="s">
        <v>13</v>
      </c>
      <c r="W47" s="3156">
        <f t="shared" si="14"/>
        <v>100</v>
      </c>
      <c r="X47" s="909"/>
      <c r="Y47" s="4561"/>
      <c r="Z47" s="907">
        <f t="shared" si="15"/>
        <v>111</v>
      </c>
      <c r="AA47" s="907">
        <f t="shared" si="3"/>
        <v>1</v>
      </c>
      <c r="AB47" s="907">
        <f t="shared" si="4"/>
        <v>1</v>
      </c>
      <c r="AC47" s="1415">
        <f t="shared" si="5"/>
        <v>1</v>
      </c>
    </row>
    <row r="48" spans="1:29" ht="15">
      <c r="A48" s="286" t="s">
        <v>1615</v>
      </c>
      <c r="B48" s="287"/>
      <c r="C48" s="765" t="s">
        <v>0</v>
      </c>
      <c r="D48" s="288"/>
      <c r="E48" s="3204">
        <v>23681</v>
      </c>
      <c r="F48" s="3152"/>
      <c r="G48" s="3205">
        <v>22045</v>
      </c>
      <c r="H48" s="3153"/>
      <c r="I48" s="3204">
        <v>22840</v>
      </c>
      <c r="J48" s="3153"/>
      <c r="K48" s="2861"/>
      <c r="L48" s="1981"/>
      <c r="M48" s="1974"/>
      <c r="N48" s="1974"/>
      <c r="O48" s="1974"/>
      <c r="P48" s="4525" t="str">
        <f>A48</f>
        <v>成交单价（元/平方米）</v>
      </c>
      <c r="Q48" s="4562"/>
      <c r="R48" s="4563">
        <f>E48</f>
        <v>23681</v>
      </c>
      <c r="S48" s="4563"/>
      <c r="T48" s="4563">
        <f>G48</f>
        <v>22045</v>
      </c>
      <c r="U48" s="4563"/>
      <c r="V48" s="4563">
        <f>I48</f>
        <v>22840</v>
      </c>
      <c r="W48" s="4563"/>
      <c r="X48" s="265"/>
      <c r="Y48" s="486"/>
      <c r="Z48" s="265"/>
      <c r="AA48" s="265"/>
      <c r="AB48" s="265"/>
      <c r="AC48" s="404"/>
    </row>
    <row r="49" spans="1:29" ht="15.75" thickBot="1">
      <c r="A49" s="289" t="s">
        <v>1700</v>
      </c>
      <c r="B49" s="290"/>
      <c r="C49" s="3732">
        <f>R50</f>
        <v>22855</v>
      </c>
      <c r="D49" s="3845" t="s">
        <v>2042</v>
      </c>
      <c r="E49" s="3743">
        <f>R49</f>
        <v>23725</v>
      </c>
      <c r="F49" s="2800"/>
      <c r="G49" s="3732">
        <f>T49</f>
        <v>22375</v>
      </c>
      <c r="H49" s="2800"/>
      <c r="I49" s="3743">
        <f>V49</f>
        <v>22465</v>
      </c>
      <c r="J49" s="2800"/>
      <c r="K49" s="2854">
        <f>F49+H49+J49</f>
        <v>0</v>
      </c>
      <c r="L49" s="1981"/>
      <c r="M49" s="1974"/>
      <c r="N49" s="1974"/>
      <c r="O49" s="1974"/>
      <c r="P49" s="4525" t="str">
        <f>A49</f>
        <v>比较价值（元/平方米）</v>
      </c>
      <c r="Q49" s="4562"/>
      <c r="R49" s="4563">
        <f>IF(F1="售价",ROUND(PRODUCT(R48,AA7:AA47),0),ROUND(PRODUCT(R48,AA7:AA47),1))</f>
        <v>23725</v>
      </c>
      <c r="S49" s="4563"/>
      <c r="T49" s="4563">
        <f>IF(F1="售价",ROUND(PRODUCT(T48,AB7:AB47),0),ROUND(PRODUCT(T48,AB7:AB47),1))</f>
        <v>22375</v>
      </c>
      <c r="U49" s="4563"/>
      <c r="V49" s="4563">
        <f>IF(F1="售价",ROUND(PRODUCT(V48,AC7:AC47),0),ROUND(PRODUCT(V48,AC7:AC47),1))</f>
        <v>22465</v>
      </c>
      <c r="W49" s="4563"/>
      <c r="X49" s="265"/>
      <c r="Y49" s="265"/>
      <c r="Z49" s="265"/>
      <c r="AA49" s="265"/>
      <c r="AB49" s="265"/>
      <c r="AC49" s="404"/>
    </row>
    <row r="50" spans="1:29" ht="15.75" thickBot="1">
      <c r="A50" s="291" t="s">
        <v>1701</v>
      </c>
      <c r="B50" s="292"/>
      <c r="C50" s="3744">
        <f>R50</f>
        <v>22855</v>
      </c>
      <c r="D50" s="241"/>
      <c r="E50" s="241"/>
      <c r="F50" s="241"/>
      <c r="G50" s="241"/>
      <c r="H50" s="241"/>
      <c r="I50" s="241"/>
      <c r="J50" s="293"/>
      <c r="K50" s="487"/>
      <c r="L50" s="1981"/>
      <c r="M50" s="1974"/>
      <c r="N50" s="1974"/>
      <c r="O50" s="1974"/>
      <c r="P50" s="4564" t="str">
        <f>A50</f>
        <v>估价对象XX用房的比较价值（楼面单价，元/平方米）</v>
      </c>
      <c r="Q50" s="4565"/>
      <c r="R50" s="4566">
        <f>IF(F1="售价",ROUND(IF(D49="简单平均",AVERAGE(R49:V49),R49*F49+T49*H49+V49*J49),0),ROUND(IF(D49="简单平均",AVERAGE(R49:V49),R49*F49+T49*H49+V49*J49),1))</f>
        <v>22855</v>
      </c>
      <c r="S50" s="4566"/>
      <c r="T50" s="4566"/>
      <c r="U50" s="4566"/>
      <c r="V50" s="4566"/>
      <c r="W50" s="4566"/>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1.8580296440184885E-3</v>
      </c>
      <c r="F53" s="299" t="str">
        <f>IF(OR(E53&gt;=0.3,E53&lt;=-0.3),"超过30%","")</f>
        <v/>
      </c>
      <c r="G53" s="298">
        <f>IF(G48&lt;G49,G49/G48-1,G48/G49-1)</f>
        <v>1.4969380811975519E-2</v>
      </c>
      <c r="H53" s="299" t="str">
        <f>IF(OR(G53&gt;=0.3,G53&lt;=-0.3),"超过30%","")</f>
        <v/>
      </c>
      <c r="I53" s="298">
        <f>IF(I48&lt;I49,I49/I48-1,I48/I49-1)</f>
        <v>1.6692632984642852E-2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6.0335195530726304E-2</v>
      </c>
      <c r="F54" s="299" t="str">
        <f>IF(OR(E54&gt;=0.2,E54&lt;=-0.2),"超过20%","")</f>
        <v/>
      </c>
      <c r="G54" s="298">
        <f>IF(G49&lt;I49,I49/G49-1,G49/I49-1)</f>
        <v>4.0223463687150129E-3</v>
      </c>
      <c r="H54" s="299" t="str">
        <f>IF(OR(G54&gt;=0.2,G54&lt;=-0.2),"超过20%","")</f>
        <v/>
      </c>
      <c r="I54" s="298">
        <f>IF(I49&lt;E49,E49/I49-1,I49/E49-1)</f>
        <v>5.6087246828399717E-2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7.4211839419369374E-2</v>
      </c>
      <c r="F55" s="299" t="str">
        <f>IF(OR(E55&gt;=0.3,E55&lt;=-0.3),"超过30%","")</f>
        <v/>
      </c>
      <c r="G55" s="298">
        <f>IF(G48&lt;I48,I48/G48-1,G48/I48-1)</f>
        <v>3.6062599228850134E-2</v>
      </c>
      <c r="H55" s="299" t="str">
        <f>IF(OR(G55&gt;=0.3,G55&lt;=-0.3),"超过30%","")</f>
        <v/>
      </c>
      <c r="I55" s="298">
        <f>IF(I48&lt;E48,E48/I48-1,I48/E48-1)</f>
        <v>3.6821366024518465E-2</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4262" t="s">
        <v>4119</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105</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4092</v>
      </c>
      <c r="D66" s="372" t="s">
        <v>4093</v>
      </c>
      <c r="E66" s="372" t="s">
        <v>4094</v>
      </c>
      <c r="F66" s="372" t="s">
        <v>4095</v>
      </c>
      <c r="G66" s="372" t="s">
        <v>4096</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3875</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95</v>
      </c>
      <c r="E78" s="337">
        <f>D78-$K15</f>
        <v>90</v>
      </c>
      <c r="F78" s="337">
        <f>E78-$K15</f>
        <v>85</v>
      </c>
      <c r="G78" s="337">
        <f>F78-$K15</f>
        <v>80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95</v>
      </c>
      <c r="E80" s="337">
        <f>D80-$K17</f>
        <v>90</v>
      </c>
      <c r="F80" s="337">
        <f>E80-$K17</f>
        <v>85</v>
      </c>
      <c r="G80" s="337">
        <f>F80-$K17</f>
        <v>80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95</v>
      </c>
      <c r="E82" s="337">
        <f>D82-$K19</f>
        <v>90</v>
      </c>
      <c r="F82" s="337">
        <f>E82-$K19</f>
        <v>85</v>
      </c>
      <c r="G82" s="337">
        <f>F82-$K19</f>
        <v>80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95</v>
      </c>
      <c r="E86" s="337">
        <f>D86-$K23</f>
        <v>90</v>
      </c>
      <c r="F86" s="337">
        <f>E86-$K23</f>
        <v>85</v>
      </c>
      <c r="G86" s="337">
        <f>F86-$K23</f>
        <v>80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4259" t="s">
        <v>4098</v>
      </c>
      <c r="D89" s="4259" t="s">
        <v>4100</v>
      </c>
      <c r="E89" s="4259" t="s">
        <v>4102</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97</v>
      </c>
      <c r="E90" s="337">
        <f t="shared" ref="E90:M90" si="21">D90-$K27</f>
        <v>94</v>
      </c>
      <c r="F90" s="337">
        <f t="shared" si="21"/>
        <v>91</v>
      </c>
      <c r="G90" s="337">
        <f t="shared" si="21"/>
        <v>88</v>
      </c>
      <c r="H90" s="337">
        <f t="shared" si="21"/>
        <v>85</v>
      </c>
      <c r="I90" s="337">
        <f t="shared" si="21"/>
        <v>82</v>
      </c>
      <c r="J90" s="337">
        <f t="shared" si="21"/>
        <v>79</v>
      </c>
      <c r="K90" s="337">
        <f t="shared" si="21"/>
        <v>76</v>
      </c>
      <c r="L90" s="337">
        <f t="shared" si="21"/>
        <v>73</v>
      </c>
      <c r="M90" s="337">
        <f t="shared" si="21"/>
        <v>70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4260" t="s">
        <v>4104</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99</v>
      </c>
      <c r="E102" s="337">
        <f t="shared" si="23"/>
        <v>98</v>
      </c>
      <c r="F102" s="337">
        <f t="shared" si="23"/>
        <v>97</v>
      </c>
      <c r="G102" s="337">
        <f t="shared" si="23"/>
        <v>96</v>
      </c>
      <c r="H102" s="337">
        <f t="shared" si="23"/>
        <v>95</v>
      </c>
      <c r="I102" s="337">
        <f t="shared" si="23"/>
        <v>94</v>
      </c>
      <c r="J102" s="337">
        <f t="shared" si="23"/>
        <v>93</v>
      </c>
      <c r="K102" s="337">
        <f t="shared" si="23"/>
        <v>92</v>
      </c>
      <c r="L102" s="337">
        <f t="shared" si="23"/>
        <v>91</v>
      </c>
      <c r="M102" s="338">
        <f t="shared" si="23"/>
        <v>90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0(含)-300</v>
      </c>
      <c r="D103" s="368" t="str">
        <f t="shared" ref="D103:L103" si="24">D104&amp;"(含)"&amp;"-"&amp;E104</f>
        <v>300(含)-500</v>
      </c>
      <c r="E103" s="368" t="str">
        <f t="shared" si="24"/>
        <v>500(含)-800</v>
      </c>
      <c r="F103" s="368" t="str">
        <f t="shared" si="24"/>
        <v>800(含)-1000</v>
      </c>
      <c r="G103" s="368" t="str">
        <f t="shared" si="24"/>
        <v>1000(含)-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300</v>
      </c>
      <c r="E104" s="5">
        <v>500</v>
      </c>
      <c r="F104" s="5">
        <v>800</v>
      </c>
      <c r="G104" s="5">
        <v>1000</v>
      </c>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f>D105-1</f>
        <v>99</v>
      </c>
      <c r="D105" s="329">
        <v>100</v>
      </c>
      <c r="E105" s="329">
        <f>D105-1</f>
        <v>99</v>
      </c>
      <c r="F105" s="329">
        <f t="shared" ref="F105:G105" si="25">E105-1</f>
        <v>98</v>
      </c>
      <c r="G105" s="329">
        <f t="shared" si="25"/>
        <v>97</v>
      </c>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4259" t="s">
        <v>4105</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6">C107-$K35</f>
        <v>99</v>
      </c>
      <c r="E107" s="337">
        <f t="shared" si="26"/>
        <v>98</v>
      </c>
      <c r="F107" s="337">
        <f t="shared" si="26"/>
        <v>97</v>
      </c>
      <c r="G107" s="337">
        <f t="shared" si="26"/>
        <v>96</v>
      </c>
      <c r="H107" s="337">
        <f t="shared" si="26"/>
        <v>95</v>
      </c>
      <c r="I107" s="337">
        <f t="shared" si="26"/>
        <v>94</v>
      </c>
      <c r="J107" s="337">
        <f t="shared" si="26"/>
        <v>93</v>
      </c>
      <c r="K107" s="337">
        <f t="shared" si="26"/>
        <v>92</v>
      </c>
      <c r="L107" s="337">
        <f t="shared" si="26"/>
        <v>91</v>
      </c>
      <c r="M107" s="338">
        <f t="shared" si="26"/>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4259" t="s">
        <v>4107</v>
      </c>
      <c r="D108" s="4259" t="s">
        <v>4108</v>
      </c>
      <c r="E108" s="4259" t="s">
        <v>4109</v>
      </c>
      <c r="F108" s="4261" t="s">
        <v>4110</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7">C109-$K36</f>
        <v>99</v>
      </c>
      <c r="E109" s="337">
        <f t="shared" si="27"/>
        <v>98</v>
      </c>
      <c r="F109" s="337">
        <f t="shared" si="27"/>
        <v>97</v>
      </c>
      <c r="G109" s="337">
        <f t="shared" si="27"/>
        <v>96</v>
      </c>
      <c r="H109" s="337">
        <f t="shared" si="27"/>
        <v>95</v>
      </c>
      <c r="I109" s="337">
        <f t="shared" si="27"/>
        <v>94</v>
      </c>
      <c r="J109" s="337">
        <f t="shared" si="27"/>
        <v>93</v>
      </c>
      <c r="K109" s="337">
        <f t="shared" si="27"/>
        <v>92</v>
      </c>
      <c r="L109" s="337">
        <f t="shared" si="27"/>
        <v>91</v>
      </c>
      <c r="M109" s="338">
        <f t="shared" si="27"/>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4259" t="s">
        <v>4116</v>
      </c>
      <c r="D115" s="4259" t="s">
        <v>4117</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2">C116-$K39</f>
        <v>99</v>
      </c>
      <c r="E116" s="337">
        <f t="shared" si="32"/>
        <v>98</v>
      </c>
      <c r="F116" s="337">
        <f t="shared" si="32"/>
        <v>97</v>
      </c>
      <c r="G116" s="337">
        <f t="shared" si="32"/>
        <v>96</v>
      </c>
      <c r="H116" s="337">
        <f t="shared" si="32"/>
        <v>95</v>
      </c>
      <c r="I116" s="337">
        <f t="shared" si="32"/>
        <v>94</v>
      </c>
      <c r="J116" s="337">
        <f t="shared" si="32"/>
        <v>93</v>
      </c>
      <c r="K116" s="337">
        <f t="shared" si="32"/>
        <v>92</v>
      </c>
      <c r="L116" s="337">
        <f t="shared" si="32"/>
        <v>91</v>
      </c>
      <c r="M116" s="338">
        <f t="shared" si="32"/>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4261" t="s">
        <v>4112</v>
      </c>
      <c r="D119" s="4261" t="s">
        <v>4114</v>
      </c>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97</v>
      </c>
      <c r="E120" s="337">
        <f t="shared" ref="E120:M120" si="33">D120-$K41</f>
        <v>94</v>
      </c>
      <c r="F120" s="337">
        <f t="shared" si="33"/>
        <v>91</v>
      </c>
      <c r="G120" s="337">
        <f t="shared" si="33"/>
        <v>88</v>
      </c>
      <c r="H120" s="337">
        <f t="shared" si="33"/>
        <v>85</v>
      </c>
      <c r="I120" s="337">
        <f t="shared" si="33"/>
        <v>82</v>
      </c>
      <c r="J120" s="337">
        <f t="shared" si="33"/>
        <v>79</v>
      </c>
      <c r="K120" s="337">
        <f t="shared" si="33"/>
        <v>76</v>
      </c>
      <c r="L120" s="337">
        <f t="shared" si="33"/>
        <v>73</v>
      </c>
      <c r="M120" s="337">
        <f t="shared" si="33"/>
        <v>70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4259" t="s">
        <v>4107</v>
      </c>
      <c r="D123" s="4259" t="s">
        <v>4108</v>
      </c>
      <c r="E123" s="4259" t="s">
        <v>4109</v>
      </c>
      <c r="F123" s="4261" t="s">
        <v>4110</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4">C124-$K43</f>
        <v>99</v>
      </c>
      <c r="E124" s="337">
        <f t="shared" si="34"/>
        <v>98</v>
      </c>
      <c r="F124" s="337">
        <f t="shared" si="34"/>
        <v>97</v>
      </c>
      <c r="G124" s="337">
        <f t="shared" si="34"/>
        <v>96</v>
      </c>
      <c r="H124" s="337">
        <f t="shared" si="34"/>
        <v>95</v>
      </c>
      <c r="I124" s="337">
        <f t="shared" si="34"/>
        <v>94</v>
      </c>
      <c r="J124" s="337">
        <f t="shared" si="34"/>
        <v>93</v>
      </c>
      <c r="K124" s="337">
        <f t="shared" si="34"/>
        <v>92</v>
      </c>
      <c r="L124" s="337">
        <f t="shared" si="34"/>
        <v>91</v>
      </c>
      <c r="M124" s="338">
        <f t="shared" si="34"/>
        <v>90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3" zoomScale="90" zoomScaleNormal="90" zoomScaleSheetLayoutView="100" workbookViewId="0">
      <selection activeCell="J40" sqref="J40"/>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1" t="s">
        <v>19</v>
      </c>
      <c r="D1" s="914" t="s">
        <v>41</v>
      </c>
      <c r="E1" s="915" t="s">
        <v>665</v>
      </c>
      <c r="F1" s="704">
        <f ca="1">J62</f>
        <v>38</v>
      </c>
      <c r="G1" s="929">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f ca="1">ROUND(D3/10000,4)</f>
        <v>516.61890000000005</v>
      </c>
      <c r="C2" s="932" t="s">
        <v>790</v>
      </c>
      <c r="D2" s="3322" t="s">
        <v>4081</v>
      </c>
      <c r="E2" s="937"/>
      <c r="F2" s="938"/>
      <c r="G2" s="1965"/>
      <c r="H2" s="1955"/>
      <c r="I2" s="1955"/>
      <c r="J2" s="1955"/>
      <c r="K2" s="1956"/>
      <c r="L2" s="1955"/>
      <c r="M2" s="1955"/>
    </row>
    <row r="3" spans="1:37" ht="18" customHeight="1" thickBot="1">
      <c r="A3" s="939" t="s">
        <v>791</v>
      </c>
      <c r="B3" s="940">
        <f ca="1">IF(ISERROR(D3/F32),0,ROUND(D3/F32,0))</f>
        <v>10369</v>
      </c>
      <c r="C3" s="932" t="s">
        <v>792</v>
      </c>
      <c r="D3" s="932">
        <f ca="1">IF(D2="含税",ROUND((C28+J31+L55)*(1+F31),0),C28+J31+L55)</f>
        <v>5166189</v>
      </c>
      <c r="E3" s="937"/>
      <c r="F3" s="938"/>
      <c r="G3" s="1965"/>
      <c r="H3" s="467" t="s">
        <v>860</v>
      </c>
      <c r="I3" s="933"/>
      <c r="J3" s="933"/>
      <c r="K3" s="934"/>
      <c r="L3" s="933"/>
      <c r="M3" s="933"/>
    </row>
    <row r="4" spans="1:37" s="4061" customFormat="1" ht="18" customHeight="1">
      <c r="A4" s="2722" t="s">
        <v>3877</v>
      </c>
      <c r="B4" s="2723" t="s">
        <v>3878</v>
      </c>
      <c r="C4" s="3568" t="s">
        <v>3986</v>
      </c>
      <c r="D4" s="2723" t="s">
        <v>3879</v>
      </c>
      <c r="E4" s="3998" t="s">
        <v>3880</v>
      </c>
      <c r="F4" s="4060"/>
      <c r="G4" s="4049"/>
      <c r="H4" s="2722" t="s">
        <v>3877</v>
      </c>
      <c r="I4" s="2723" t="s">
        <v>3878</v>
      </c>
      <c r="J4" s="3568" t="s">
        <v>3986</v>
      </c>
      <c r="K4" s="2723" t="s">
        <v>3879</v>
      </c>
      <c r="L4" s="4062" t="s">
        <v>3880</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3403</v>
      </c>
      <c r="C5" s="4092">
        <f ca="1">C6+C10+C12</f>
        <v>294971</v>
      </c>
      <c r="D5" s="4001" t="s">
        <v>3883</v>
      </c>
      <c r="E5" s="4002"/>
      <c r="F5" s="4003"/>
      <c r="G5" s="4000"/>
      <c r="H5" s="183">
        <v>1</v>
      </c>
      <c r="I5" s="184" t="s">
        <v>3918</v>
      </c>
      <c r="J5" s="4092">
        <f ca="1">J6+J10+J12</f>
        <v>0</v>
      </c>
      <c r="K5" s="4001" t="s">
        <v>3883</v>
      </c>
      <c r="L5" s="4218"/>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3794</v>
      </c>
      <c r="C6" s="4216">
        <f ca="1">C7-C9</f>
        <v>294603</v>
      </c>
      <c r="D6" s="2714" t="s">
        <v>3798</v>
      </c>
      <c r="E6" s="2712" t="s">
        <v>3981</v>
      </c>
      <c r="F6" s="3419">
        <f ca="1">INDIRECT("'数据-取费表'!u"&amp;$G$1)</f>
        <v>1.8</v>
      </c>
      <c r="G6" s="935"/>
      <c r="H6" s="707" t="s">
        <v>392</v>
      </c>
      <c r="I6" s="2713" t="s">
        <v>3794</v>
      </c>
      <c r="J6" s="2701">
        <f ca="1">J7-J9</f>
        <v>0</v>
      </c>
      <c r="K6" s="2714" t="s">
        <v>3798</v>
      </c>
      <c r="L6" s="2712" t="s">
        <v>3981</v>
      </c>
      <c r="M6" s="3437">
        <f ca="1">INDIRECT("'数据-取费表'!z"&amp;$G$1)</f>
        <v>0</v>
      </c>
    </row>
    <row r="7" spans="1:37" ht="18" customHeight="1">
      <c r="A7" s="4491" t="s">
        <v>391</v>
      </c>
      <c r="B7" s="4484" t="s">
        <v>3792</v>
      </c>
      <c r="C7" s="4567">
        <f ca="1">ROUND(F6*F7*F8,0)</f>
        <v>327337</v>
      </c>
      <c r="D7" s="4487" t="s">
        <v>3472</v>
      </c>
      <c r="E7" s="714" t="s">
        <v>682</v>
      </c>
      <c r="F7" s="2760">
        <f ca="1">IF(INDIRECT("'数据-取费表'!ah"&amp;$G$1)="",INDIRECT("'数据-取费表'!k"&amp;$G$1),INDIRECT("'数据-取费表'!ah"&amp;$G$1))</f>
        <v>498.23</v>
      </c>
      <c r="G7" s="935"/>
      <c r="H7" s="4491" t="s">
        <v>391</v>
      </c>
      <c r="I7" s="4484" t="s">
        <v>3792</v>
      </c>
      <c r="J7" s="4568">
        <f ca="1">ROUND(M6*M8*M7,0)</f>
        <v>0</v>
      </c>
      <c r="K7" s="4487" t="s">
        <v>3472</v>
      </c>
      <c r="L7" s="186" t="s">
        <v>682</v>
      </c>
      <c r="M7" s="4215">
        <f ca="1">F7</f>
        <v>498.23</v>
      </c>
    </row>
    <row r="8" spans="1:37" ht="18" customHeight="1">
      <c r="A8" s="4492"/>
      <c r="B8" s="4485"/>
      <c r="C8" s="4567"/>
      <c r="D8" s="4487"/>
      <c r="E8" s="186" t="str">
        <f ca="1">IF(F8=1,"年",IF(F8=12,"月","天"))</f>
        <v>天</v>
      </c>
      <c r="F8" s="3412">
        <f ca="1">INDIRECT("'数据-取费表'!ai"&amp;$G$1)</f>
        <v>365</v>
      </c>
      <c r="G8" s="935"/>
      <c r="H8" s="4492"/>
      <c r="I8" s="4485"/>
      <c r="J8" s="4568"/>
      <c r="K8" s="4487"/>
      <c r="L8" s="186" t="str">
        <f ca="1">IF(M8=1,"年",IF(M8=12,"月","天"))</f>
        <v>天</v>
      </c>
      <c r="M8" s="3439">
        <f ca="1">INDIRECT("'数据-取费表'!ai"&amp;$G$1)</f>
        <v>365</v>
      </c>
    </row>
    <row r="9" spans="1:37" ht="18" customHeight="1">
      <c r="A9" s="2699" t="s">
        <v>3402</v>
      </c>
      <c r="B9" s="4085" t="s">
        <v>3793</v>
      </c>
      <c r="C9" s="4092">
        <f ca="1">ROUND(C7*F9,0)</f>
        <v>32734</v>
      </c>
      <c r="D9" s="2714" t="s">
        <v>3797</v>
      </c>
      <c r="E9" s="186" t="s">
        <v>684</v>
      </c>
      <c r="F9" s="2766">
        <f ca="1">INDIRECT("'数据-取费表'!w"&amp;$G$1)</f>
        <v>0.1</v>
      </c>
      <c r="G9" s="935"/>
      <c r="H9" s="2699" t="s">
        <v>3402</v>
      </c>
      <c r="I9" s="4085" t="s">
        <v>3793</v>
      </c>
      <c r="J9" s="2742">
        <f ca="1">ROUND(J7*M9,0)</f>
        <v>0</v>
      </c>
      <c r="K9" s="2714" t="s">
        <v>3797</v>
      </c>
      <c r="L9" s="197" t="s">
        <v>684</v>
      </c>
      <c r="M9" s="3433">
        <f ca="1">INDIRECT("'数据-取费表'!ab"&amp;$G$1)</f>
        <v>0</v>
      </c>
    </row>
    <row r="10" spans="1:37" ht="18" customHeight="1">
      <c r="A10" s="707" t="s">
        <v>396</v>
      </c>
      <c r="B10" s="917" t="s">
        <v>685</v>
      </c>
      <c r="C10" s="2742">
        <f ca="1">ROUND(IF(F10="押一",C6/12*F11,IF(F10="押二",C6/12*2*F11,IF(F10="押三",C6/12*3*F11,C11*F11))),0)</f>
        <v>368</v>
      </c>
      <c r="D10" s="59" t="s">
        <v>2020</v>
      </c>
      <c r="E10" s="197" t="s">
        <v>686</v>
      </c>
      <c r="F10" s="749" t="s">
        <v>4082</v>
      </c>
      <c r="G10" s="935"/>
      <c r="H10" s="707" t="s">
        <v>396</v>
      </c>
      <c r="I10" s="917" t="s">
        <v>685</v>
      </c>
      <c r="J10" s="3911">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3677</v>
      </c>
      <c r="B13" s="717" t="s">
        <v>3919</v>
      </c>
      <c r="C13" s="3852">
        <f ca="1">ROUND(C14+C22+C24+C26,0)</f>
        <v>52582</v>
      </c>
      <c r="D13" s="4220" t="s">
        <v>3920</v>
      </c>
      <c r="E13" s="4005"/>
      <c r="F13" s="4003"/>
      <c r="G13" s="4000"/>
      <c r="H13" s="716" t="s">
        <v>3677</v>
      </c>
      <c r="I13" s="717" t="s">
        <v>3919</v>
      </c>
      <c r="J13" s="3852">
        <f ca="1">ROUND(J14+J22+J24+J26,0)</f>
        <v>30337</v>
      </c>
      <c r="K13" s="4219" t="s">
        <v>3921</v>
      </c>
      <c r="L13" s="4217"/>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3967</v>
      </c>
      <c r="C14" s="2701">
        <f ca="1">ROUND(IF(AND(项目基本情况!B11="自然人",项目基本情况!B10="北京市",M56="住宅"),C6*F14,C15+C19+C20),2)</f>
        <v>38411</v>
      </c>
      <c r="D14" s="900" t="s">
        <v>3446</v>
      </c>
      <c r="E14" s="900" t="str">
        <f>IF(M56="非住宅","","综合税率")</f>
        <v/>
      </c>
      <c r="F14" s="3836" t="str">
        <f>IF(M56="非住宅","",IF(F6*F7*F8/12/(1+'数据-取费表'!F30)&gt;100000,4%,2.5%))</f>
        <v/>
      </c>
      <c r="G14" s="935"/>
      <c r="H14" s="658" t="s">
        <v>392</v>
      </c>
      <c r="I14" s="2712" t="s">
        <v>3972</v>
      </c>
      <c r="J14" s="2701">
        <f ca="1">ROUND(IF(AND(项目基本情况!B11="自然人",项目基本情况!B10="北京市",M56="住宅"),J6*M14/(1+'数据-取费表'!C43),J15+J19+J20),0)</f>
        <v>24491</v>
      </c>
      <c r="K14" s="2739" t="s">
        <v>3445</v>
      </c>
      <c r="L14" s="900" t="str">
        <f>E14</f>
        <v/>
      </c>
      <c r="M14" s="3836" t="str">
        <f>IF(M56="非住宅","",IF(M6*M7*M8/12/(1+'数据-取费表'!F30)&gt;100000,4%,2.5%))</f>
        <v/>
      </c>
    </row>
    <row r="15" spans="1:37" s="946" customFormat="1" ht="18" customHeight="1">
      <c r="A15" s="2699" t="s">
        <v>391</v>
      </c>
      <c r="B15" s="2712" t="s">
        <v>3964</v>
      </c>
      <c r="C15" s="2701">
        <f ca="1">C18</f>
        <v>3059</v>
      </c>
      <c r="D15" s="2429" t="s">
        <v>3963</v>
      </c>
      <c r="E15" s="4089"/>
      <c r="F15" s="4121"/>
      <c r="G15" s="945"/>
      <c r="H15" s="2699" t="s">
        <v>391</v>
      </c>
      <c r="I15" s="2712" t="s">
        <v>3964</v>
      </c>
      <c r="J15" s="2701">
        <f ca="1">J18</f>
        <v>-63</v>
      </c>
      <c r="K15" s="2714" t="s">
        <v>3963</v>
      </c>
      <c r="L15" s="4089"/>
      <c r="M15" s="4121"/>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649">
        <f ca="1">ROUND(C6*F16,0)</f>
        <v>26514</v>
      </c>
      <c r="D16" s="994" t="s">
        <v>3857</v>
      </c>
      <c r="E16" s="2720" t="s">
        <v>3407</v>
      </c>
      <c r="F16" s="2764">
        <v>0.09</v>
      </c>
      <c r="G16" s="935"/>
      <c r="H16" s="2504" t="s">
        <v>3289</v>
      </c>
      <c r="I16" s="2716" t="s">
        <v>3405</v>
      </c>
      <c r="J16" s="2649">
        <f ca="1">ROUND(J6*M16,0)</f>
        <v>0</v>
      </c>
      <c r="K16" s="3977" t="s">
        <v>3858</v>
      </c>
      <c r="L16" s="2720" t="s">
        <v>3407</v>
      </c>
      <c r="M16" s="3435">
        <v>0.09</v>
      </c>
    </row>
    <row r="17" spans="1:37" s="946" customFormat="1" ht="18" customHeight="1">
      <c r="A17" s="2504" t="s">
        <v>3290</v>
      </c>
      <c r="B17" s="2716" t="s">
        <v>3406</v>
      </c>
      <c r="C17" s="3023">
        <f ca="1">ROUND(C22*F16+((C24+C26)*F17),0)</f>
        <v>1026</v>
      </c>
      <c r="D17" s="3977" t="s">
        <v>3860</v>
      </c>
      <c r="E17" s="2721"/>
      <c r="F17" s="2764">
        <v>0.06</v>
      </c>
      <c r="G17" s="945"/>
      <c r="H17" s="2504" t="s">
        <v>3290</v>
      </c>
      <c r="I17" s="2716" t="s">
        <v>3406</v>
      </c>
      <c r="J17" s="3023">
        <f ca="1">ROUND(J22*M16+((J24+J26)*M17),0)</f>
        <v>526</v>
      </c>
      <c r="K17" s="3979" t="s">
        <v>3859</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3961</v>
      </c>
      <c r="B18" s="2716" t="s">
        <v>3960</v>
      </c>
      <c r="C18" s="3023">
        <f ca="1">ROUND((C16-C17)*F18,0)</f>
        <v>3059</v>
      </c>
      <c r="D18" s="2739" t="s">
        <v>3983</v>
      </c>
      <c r="E18" s="186" t="s">
        <v>3984</v>
      </c>
      <c r="F18" s="2764">
        <f>'数据-取费表'!B44</f>
        <v>0.12000000000000001</v>
      </c>
      <c r="G18" s="945"/>
      <c r="H18" s="2504" t="s">
        <v>3961</v>
      </c>
      <c r="I18" s="2716" t="s">
        <v>3960</v>
      </c>
      <c r="J18" s="3023">
        <f ca="1">ROUND((J16-J17)*M18,0)</f>
        <v>-63</v>
      </c>
      <c r="K18" s="2739" t="s">
        <v>3983</v>
      </c>
      <c r="L18" s="186" t="s">
        <v>3984</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3965</v>
      </c>
      <c r="C19" s="2701">
        <f ca="1">IF(AND(项目基本情况!B11="自然人",M56="住宅"),"——",IF(D19="按不含税租金收入（有效毛租金收入）计税",ROUND(C6*F19,0),IF(D19="按房产原值计税",ROUND(C51*F19*0.7,0),INDIRECT("'数据-取费表'!Aj"&amp;$G$1))))</f>
        <v>35352</v>
      </c>
      <c r="D19" s="2715" t="s">
        <v>4083</v>
      </c>
      <c r="E19" s="186" t="s">
        <v>697</v>
      </c>
      <c r="F19" s="2764">
        <f>IF(D19="按票据","——",IF(D19="按不含税租金收入（有效毛租金收入）计税",'数据-取费表'!B52,'数据-取费表'!B51))</f>
        <v>0.12</v>
      </c>
      <c r="G19" s="945"/>
      <c r="H19" s="2699" t="s">
        <v>393</v>
      </c>
      <c r="I19" s="2712" t="s">
        <v>3970</v>
      </c>
      <c r="J19" s="2701">
        <f ca="1">IF(K19="按不含税租金收入（有效毛租金收入）计税",ROUND(J6*M19,0),ROUND(C51*M19*0.7,0))</f>
        <v>24554</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3966</v>
      </c>
      <c r="C20" s="3024">
        <f ca="1">IF(AND(项目基本情况!B11="自然人",M56="住宅"),"——",ROUND(F20*F21,0))</f>
        <v>0</v>
      </c>
      <c r="D20" s="207" t="s">
        <v>716</v>
      </c>
      <c r="E20" s="186" t="s">
        <v>717</v>
      </c>
      <c r="F20" s="3419">
        <f>'数据-取费表'!B53</f>
        <v>0</v>
      </c>
      <c r="G20" s="935"/>
      <c r="H20" s="4090" t="s">
        <v>666</v>
      </c>
      <c r="I20" s="3924" t="s">
        <v>3966</v>
      </c>
      <c r="J20" s="3024">
        <f ca="1">ROUND(M20*M21,0)</f>
        <v>0</v>
      </c>
      <c r="K20" s="207" t="s">
        <v>716</v>
      </c>
      <c r="L20" s="186" t="s">
        <v>717</v>
      </c>
      <c r="M20" s="3437">
        <f>'数据-取费表'!B53</f>
        <v>0</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5846</v>
      </c>
      <c r="D22" s="1775" t="s">
        <v>724</v>
      </c>
      <c r="E22" s="186" t="s">
        <v>697</v>
      </c>
      <c r="F22" s="2766">
        <f ca="1">INDIRECT("'数据-取费表'!Ak"&amp;$G$1)</f>
        <v>2E-3</v>
      </c>
      <c r="G22" s="945"/>
      <c r="H22" s="3858" t="s">
        <v>396</v>
      </c>
      <c r="I22" s="56" t="s">
        <v>723</v>
      </c>
      <c r="J22" s="3878">
        <f ca="1">ROUND(J35*M22,0)</f>
        <v>5846</v>
      </c>
      <c r="K22" s="1775" t="s">
        <v>724</v>
      </c>
      <c r="L22" s="186" t="s">
        <v>697</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2" t="s">
        <v>3818</v>
      </c>
      <c r="F23" s="3412">
        <f ca="1">C51</f>
        <v>2923047</v>
      </c>
      <c r="G23" s="945"/>
      <c r="H23" s="209"/>
      <c r="I23" s="195"/>
      <c r="J23" s="3879"/>
      <c r="K23" s="3925"/>
      <c r="L23" s="2712" t="s">
        <v>3818</v>
      </c>
      <c r="M23" s="3439">
        <f ca="1">J35</f>
        <v>2923047</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2426</v>
      </c>
      <c r="D24" s="1775" t="s">
        <v>3443</v>
      </c>
      <c r="E24" s="186" t="s">
        <v>697</v>
      </c>
      <c r="F24" s="2766">
        <f ca="1">INDIRECT("'数据-取费表'!Al"&amp;$G$1)</f>
        <v>1E-3</v>
      </c>
      <c r="G24" s="935"/>
      <c r="H24" s="3858" t="s">
        <v>431</v>
      </c>
      <c r="I24" s="56" t="s">
        <v>727</v>
      </c>
      <c r="J24" s="3878">
        <f ca="1">ROUND(J37*M24,0)</f>
        <v>0</v>
      </c>
      <c r="K24" s="1775" t="s">
        <v>728</v>
      </c>
      <c r="L24" s="186" t="s">
        <v>697</v>
      </c>
      <c r="M24" s="3900">
        <f ca="1">INDIRECT("'数据-取费表'!Al"&amp;$G$1)</f>
        <v>1E-3</v>
      </c>
    </row>
    <row r="25" spans="1:37" ht="18" customHeight="1">
      <c r="A25" s="209"/>
      <c r="B25" s="195"/>
      <c r="C25" s="3879"/>
      <c r="D25" s="3925"/>
      <c r="E25" s="3924" t="s">
        <v>3819</v>
      </c>
      <c r="F25" s="3412">
        <f ca="1">C53</f>
        <v>2426129</v>
      </c>
      <c r="G25" s="935"/>
      <c r="H25" s="209"/>
      <c r="I25" s="195"/>
      <c r="J25" s="3879"/>
      <c r="K25" s="3925"/>
      <c r="L25" s="3924" t="s">
        <v>3819</v>
      </c>
      <c r="M25" s="3439">
        <f ca="1">J37</f>
        <v>0</v>
      </c>
    </row>
    <row r="26" spans="1:37" s="946" customFormat="1" ht="18" customHeight="1" thickBot="1">
      <c r="A26" s="726" t="s">
        <v>669</v>
      </c>
      <c r="B26" s="727" t="s">
        <v>713</v>
      </c>
      <c r="C26" s="3026">
        <f ca="1">ROUND(C5*F26,0)</f>
        <v>5899</v>
      </c>
      <c r="D26" s="729" t="s">
        <v>3864</v>
      </c>
      <c r="E26" s="727" t="s">
        <v>697</v>
      </c>
      <c r="F26" s="2829">
        <f ca="1">INDIRECT("'数据-取费表'!Am"&amp;$G$1)</f>
        <v>0.02</v>
      </c>
      <c r="G26" s="945"/>
      <c r="H26" s="726" t="s">
        <v>669</v>
      </c>
      <c r="I26" s="727" t="s">
        <v>713</v>
      </c>
      <c r="J26" s="3026">
        <f ca="1">ROUND(J5*M26,0)</f>
        <v>0</v>
      </c>
      <c r="K26" s="729" t="s">
        <v>3864</v>
      </c>
      <c r="L26" s="727" t="s">
        <v>697</v>
      </c>
      <c r="M26" s="3436">
        <f ca="1">INDIRECT("'数据-取费表'!Am"&amp;$G$1)</f>
        <v>0.02</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52">
        <f ca="1">C5-C13</f>
        <v>242389</v>
      </c>
      <c r="D27" s="4219" t="s">
        <v>3905</v>
      </c>
      <c r="E27" s="4009"/>
      <c r="F27" s="4010"/>
      <c r="G27" s="498"/>
      <c r="H27" s="716" t="s">
        <v>3301</v>
      </c>
      <c r="I27" s="731" t="s">
        <v>3922</v>
      </c>
      <c r="J27" s="3852">
        <f ca="1">J5-J13</f>
        <v>-30337</v>
      </c>
      <c r="K27" s="4219" t="s">
        <v>3905</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11">
        <f ca="1">ROUND(C27*(1-((1+F30)/(1+F28))^F29)/(F28-F30),0)</f>
        <v>4664742</v>
      </c>
      <c r="D28" s="4012" t="s">
        <v>3923</v>
      </c>
      <c r="E28" s="2724" t="s">
        <v>3891</v>
      </c>
      <c r="F28" s="2766">
        <f ca="1">INDIRECT("'数据-取费表'!I"&amp;$G$1)</f>
        <v>5.5E-2</v>
      </c>
      <c r="G28" s="4000"/>
      <c r="H28" s="183" t="s">
        <v>3679</v>
      </c>
      <c r="I28" s="3912" t="s">
        <v>3810</v>
      </c>
      <c r="J28" s="3927">
        <f ca="1">IF(J5&lt;&gt;0,ROUND(J27*(1-((1+M30)/(1+M28))^M29)/(M28-M30),0),0)</f>
        <v>0</v>
      </c>
      <c r="K28" s="4012" t="s">
        <v>3923</v>
      </c>
      <c r="L28" s="4013" t="s">
        <v>3891</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4" t="s">
        <v>3894</v>
      </c>
      <c r="F29" s="2767">
        <f ca="1">IF(INDIRECT("'数据-取费表'!af"&amp;$G$1)=0,INDIRECT("'数据-取费表'!ae"&amp;$G$1),INDIRECT("'数据-取费表'!af"&amp;$G$1))</f>
        <v>38</v>
      </c>
      <c r="G29" s="4000"/>
      <c r="H29" s="188"/>
      <c r="I29" s="189"/>
      <c r="J29" s="3928"/>
      <c r="K29" s="4014"/>
      <c r="L29" s="2724" t="s">
        <v>3894</v>
      </c>
      <c r="M29" s="4123">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3896</v>
      </c>
      <c r="F30" s="2766">
        <f ca="1">INDIRECT("'数据-取费表'!v"&amp;$G$1)</f>
        <v>1.4999999999999999E-2</v>
      </c>
      <c r="G30" s="4000"/>
      <c r="H30" s="192"/>
      <c r="I30" s="193"/>
      <c r="J30" s="3929"/>
      <c r="K30" s="731"/>
      <c r="L30" s="2724" t="s">
        <v>3896</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3680</v>
      </c>
      <c r="B31" s="3834" t="s">
        <v>3897</v>
      </c>
      <c r="C31" s="3837">
        <f ca="1">ROUND(C28*(1+F31),0)</f>
        <v>5084569</v>
      </c>
      <c r="D31" s="4015" t="s">
        <v>3683</v>
      </c>
      <c r="E31" s="4016" t="str">
        <f>IF(D31="其他类型公式—收益价值×（1+9%）","销项税率","征收率")</f>
        <v>销项税率</v>
      </c>
      <c r="F31" s="4046">
        <f>IF(D31="其他类型公式—收益价值×（1+9%）",9%,3%)</f>
        <v>0.09</v>
      </c>
      <c r="G31" s="498"/>
      <c r="H31" s="199" t="s">
        <v>3680</v>
      </c>
      <c r="I31" s="2724" t="s">
        <v>3898</v>
      </c>
      <c r="J31" s="2742">
        <f ca="1">ROUND(J28/(1+F28)^F29,0)</f>
        <v>0</v>
      </c>
      <c r="K31" s="2683" t="s">
        <v>3924</v>
      </c>
      <c r="L31" s="2724"/>
      <c r="M31" s="4123">
        <f ca="1">INDIRECT("'数据-取费表'!k"&amp;$G$1)</f>
        <v>498.23</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ROUND(C31/F32,0)</f>
        <v>10205</v>
      </c>
      <c r="D32" s="4017" t="s">
        <v>3899</v>
      </c>
      <c r="E32" s="217" t="s">
        <v>3900</v>
      </c>
      <c r="F32" s="2768">
        <f ca="1">INDIRECT("'数据-取费表'!k"&amp;$G$1)</f>
        <v>498.23</v>
      </c>
      <c r="G32" s="498"/>
      <c r="H32" s="3830" t="s">
        <v>3682</v>
      </c>
      <c r="I32" s="3831" t="s">
        <v>3901</v>
      </c>
      <c r="J32" s="3839">
        <f ca="1">ROUND(J31*(1+F31),0)</f>
        <v>0</v>
      </c>
      <c r="K32" s="4018" t="str">
        <f>D31</f>
        <v>其他类型公式—收益价值×（1+9%）</v>
      </c>
      <c r="L32" s="4019"/>
      <c r="M32" s="4124"/>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0.17826159181750068</v>
      </c>
      <c r="G33" s="935"/>
    </row>
    <row r="34" spans="1:37" s="118" customFormat="1" ht="18" customHeight="1" thickBot="1">
      <c r="A34" s="3993" t="s">
        <v>3925</v>
      </c>
      <c r="B34" s="3994" t="s">
        <v>3926</v>
      </c>
      <c r="C34" s="3995" t="s">
        <v>3986</v>
      </c>
      <c r="D34" s="3994" t="s">
        <v>3927</v>
      </c>
      <c r="E34" s="3996" t="s">
        <v>3928</v>
      </c>
      <c r="F34" s="3997"/>
      <c r="G34" s="4000"/>
      <c r="H34" s="3993" t="s">
        <v>3925</v>
      </c>
      <c r="I34" s="3994" t="s">
        <v>3926</v>
      </c>
      <c r="J34" s="3995" t="s">
        <v>3986</v>
      </c>
      <c r="K34" s="3994" t="s">
        <v>3927</v>
      </c>
      <c r="L34" s="3996" t="s">
        <v>3928</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2" t="s">
        <v>3408</v>
      </c>
      <c r="B35" s="2723" t="s">
        <v>3409</v>
      </c>
      <c r="C35" s="3414">
        <f ca="1">SUM(C36:C41)</f>
        <v>2345666</v>
      </c>
      <c r="D35" s="2735" t="s">
        <v>3416</v>
      </c>
      <c r="E35" s="2731"/>
      <c r="F35" s="2732"/>
      <c r="G35" s="935"/>
      <c r="H35" s="2745" t="s">
        <v>3408</v>
      </c>
      <c r="I35" s="2748" t="s">
        <v>3448</v>
      </c>
      <c r="J35" s="2749">
        <f ca="1">C51</f>
        <v>2923047</v>
      </c>
      <c r="K35" s="3199" t="s">
        <v>3444</v>
      </c>
      <c r="L35" s="2750"/>
      <c r="M35" s="3033"/>
    </row>
    <row r="36" spans="1:37" ht="18" customHeight="1">
      <c r="A36" s="2699" t="s">
        <v>391</v>
      </c>
      <c r="B36" s="2664" t="s">
        <v>692</v>
      </c>
      <c r="C36" s="2609">
        <f ca="1">ROUND(INDIRECT("'数据-取费表'!l"&amp;$G$1)*F32+'数据-取费表'!L14*INDIRECT("'数据-取费表'!S"&amp;$G$1),0)</f>
        <v>2042743</v>
      </c>
      <c r="D36" s="899" t="s">
        <v>693</v>
      </c>
      <c r="E36" s="899"/>
      <c r="F36" s="215"/>
      <c r="G36" s="935"/>
      <c r="H36" s="2746" t="s">
        <v>396</v>
      </c>
      <c r="I36" s="2751" t="s">
        <v>3436</v>
      </c>
      <c r="J36" s="2649">
        <f ca="1">ROUND(J35*(1-M36),0)</f>
        <v>2923047</v>
      </c>
      <c r="K36" s="186" t="s">
        <v>3439</v>
      </c>
      <c r="L36" s="2714" t="s">
        <v>3451</v>
      </c>
      <c r="M36" s="2766">
        <f ca="1">INDIRECT("'数据-取费表'!ad"&amp;$G$1)</f>
        <v>0</v>
      </c>
    </row>
    <row r="37" spans="1:37" ht="18" customHeight="1" thickBot="1">
      <c r="A37" s="2699" t="s">
        <v>3402</v>
      </c>
      <c r="B37" s="2664" t="s">
        <v>695</v>
      </c>
      <c r="C37" s="2701">
        <f ca="1">ROUND(C36*F37,0)</f>
        <v>142992</v>
      </c>
      <c r="D37" s="186" t="s">
        <v>696</v>
      </c>
      <c r="E37" s="186" t="s">
        <v>697</v>
      </c>
      <c r="F37" s="2764">
        <f>'数据-取费表'!B33</f>
        <v>7.0000000000000007E-2</v>
      </c>
      <c r="G37" s="935"/>
      <c r="H37" s="2747" t="s">
        <v>3427</v>
      </c>
      <c r="I37" s="2752" t="s">
        <v>3438</v>
      </c>
      <c r="J37" s="2753">
        <f ca="1">J35-J36</f>
        <v>0</v>
      </c>
      <c r="K37" s="2733" t="s">
        <v>3473</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ROUND(F39*(F32+INDIRECT("'数据-取费表'!S"&amp;$G$1)),0)</f>
        <v>139504</v>
      </c>
      <c r="D39" s="186" t="s">
        <v>702</v>
      </c>
      <c r="E39" s="186" t="s">
        <v>3871</v>
      </c>
      <c r="F39" s="3422">
        <f>'数据-取费表'!B35</f>
        <v>280</v>
      </c>
      <c r="G39" s="935"/>
      <c r="I39" s="4257"/>
    </row>
    <row r="40" spans="1:37" ht="18" customHeight="1">
      <c r="A40" s="2699" t="s">
        <v>668</v>
      </c>
      <c r="B40" s="2716" t="s">
        <v>3293</v>
      </c>
      <c r="C40" s="2701">
        <f ca="1">ROUND(C36*F40,0)</f>
        <v>20427</v>
      </c>
      <c r="D40" s="186" t="s">
        <v>696</v>
      </c>
      <c r="E40" s="186" t="s">
        <v>697</v>
      </c>
      <c r="F40" s="2764">
        <f>'数据-取费表'!B36</f>
        <v>0.01</v>
      </c>
      <c r="G40" s="935"/>
      <c r="H40" s="47"/>
      <c r="I40" s="47"/>
      <c r="J40" s="47"/>
      <c r="K40" s="1860"/>
      <c r="L40" s="47"/>
      <c r="M40" s="47"/>
    </row>
    <row r="41" spans="1:37" ht="18" customHeight="1">
      <c r="A41" s="2699" t="s">
        <v>668</v>
      </c>
      <c r="B41" s="2716" t="s">
        <v>3294</v>
      </c>
      <c r="C41" s="2701">
        <f ca="1">ROUND(C36*F41,0)</f>
        <v>0</v>
      </c>
      <c r="D41" s="186" t="s">
        <v>696</v>
      </c>
      <c r="E41" s="186" t="s">
        <v>697</v>
      </c>
      <c r="F41" s="2764">
        <f>'数据-取费表'!B37</f>
        <v>0</v>
      </c>
      <c r="G41" s="935"/>
      <c r="H41" s="47"/>
      <c r="I41" s="47"/>
      <c r="J41" s="47"/>
      <c r="K41" s="1860"/>
      <c r="L41" s="47"/>
      <c r="M41" s="47"/>
    </row>
    <row r="42" spans="1:37" ht="18" customHeight="1">
      <c r="A42" s="199" t="s">
        <v>3423</v>
      </c>
      <c r="B42" s="2724" t="s">
        <v>3424</v>
      </c>
      <c r="C42" s="2742">
        <f ca="1">ROUND(C35*F42,0)</f>
        <v>70370</v>
      </c>
      <c r="D42" s="2725" t="s">
        <v>3425</v>
      </c>
      <c r="E42" s="2724" t="s">
        <v>3426</v>
      </c>
      <c r="F42" s="2766">
        <f>'数据-取费表'!B38</f>
        <v>0.03</v>
      </c>
      <c r="G42" s="935"/>
      <c r="H42" s="47"/>
      <c r="I42" s="47"/>
      <c r="J42" s="47"/>
      <c r="K42" s="1860"/>
      <c r="L42" s="47"/>
      <c r="M42" s="47"/>
    </row>
    <row r="43" spans="1:37" ht="18" customHeight="1">
      <c r="A43" s="199" t="s">
        <v>3427</v>
      </c>
      <c r="B43" s="2724" t="s">
        <v>3428</v>
      </c>
      <c r="C43" s="2789" t="str">
        <f>F43&amp;"V建"</f>
        <v>0.02V建</v>
      </c>
      <c r="D43" s="2725" t="s">
        <v>3429</v>
      </c>
      <c r="E43" s="2724" t="s">
        <v>3430</v>
      </c>
      <c r="F43" s="2766">
        <f>'数据-取费表'!B39</f>
        <v>0.02</v>
      </c>
      <c r="G43" s="935"/>
      <c r="H43" s="47"/>
      <c r="I43" s="47"/>
      <c r="J43" s="47"/>
      <c r="K43" s="1860"/>
      <c r="L43" s="47"/>
      <c r="M43" s="47"/>
    </row>
    <row r="44" spans="1:37" ht="18" customHeight="1">
      <c r="A44" s="199" t="s">
        <v>3431</v>
      </c>
      <c r="B44" s="2727" t="s">
        <v>3368</v>
      </c>
      <c r="C44" s="3415" t="str">
        <f ca="1">C45&amp;"+"&amp;C46&amp;"V建"</f>
        <v>75622+0.0006V建</v>
      </c>
      <c r="D44" s="2683" t="str">
        <f>IF(F45&lt;=1,"单利计息。","复利计息。")&amp;"建造成本、管理费用、销售费用产生的利息。"</f>
        <v>复利计息。建造成本、管理费用、销售费用产生的利息。</v>
      </c>
      <c r="E44" s="200"/>
      <c r="F44" s="2760"/>
      <c r="G44" s="935"/>
      <c r="H44" s="47"/>
      <c r="I44" s="47"/>
      <c r="J44" s="47"/>
      <c r="K44" s="1860"/>
      <c r="L44" s="47"/>
      <c r="M44" s="47"/>
    </row>
    <row r="45" spans="1:37" ht="18" customHeight="1">
      <c r="A45" s="2699" t="s">
        <v>391</v>
      </c>
      <c r="B45" s="186" t="s">
        <v>725</v>
      </c>
      <c r="C45" s="2701">
        <f ca="1">IF('数据-取费表'!B22&lt;=1,ROUND(C35*F46*F45/2,0)+ROUND(C42*F46*F45/2,0),ROUND(C35*(POWER((1+F46),F45/2)-1),0)+ROUND(C42*(POWER((1+F46),F45/2)-1),0))</f>
        <v>75622</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0"/>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0"/>
      <c r="L46" s="47"/>
      <c r="M46" s="47"/>
    </row>
    <row r="47" spans="1:37" ht="18" customHeight="1">
      <c r="A47" s="199" t="s">
        <v>3432</v>
      </c>
      <c r="B47" s="2727" t="s">
        <v>3312</v>
      </c>
      <c r="C47" s="3415" t="str">
        <f ca="1">C48&amp;"+"&amp;C49&amp;"V建"</f>
        <v>362405+0.003V建</v>
      </c>
      <c r="D47" s="2683" t="s">
        <v>3433</v>
      </c>
      <c r="E47" s="200"/>
      <c r="F47" s="2765"/>
      <c r="G47" s="935"/>
      <c r="H47" s="47"/>
      <c r="I47" s="47"/>
      <c r="J47" s="47"/>
      <c r="K47" s="1860"/>
      <c r="L47" s="47"/>
      <c r="M47" s="47"/>
    </row>
    <row r="48" spans="1:37" ht="18" customHeight="1">
      <c r="A48" s="2699" t="s">
        <v>391</v>
      </c>
      <c r="B48" s="186" t="s">
        <v>739</v>
      </c>
      <c r="C48" s="2701">
        <f ca="1">ROUND((C35+C42)*F48,0)</f>
        <v>362405</v>
      </c>
      <c r="D48" s="206" t="s">
        <v>740</v>
      </c>
      <c r="E48" s="186" t="s">
        <v>741</v>
      </c>
      <c r="F48" s="2766">
        <f ca="1">INDIRECT("'数据-取费表'!q"&amp;$G$1)</f>
        <v>0.15</v>
      </c>
      <c r="G48" s="935"/>
      <c r="H48" s="47"/>
      <c r="I48" s="47"/>
      <c r="J48" s="47"/>
      <c r="K48" s="1860"/>
      <c r="L48" s="47"/>
      <c r="M48" s="47"/>
    </row>
    <row r="49" spans="1:37" ht="18" customHeight="1">
      <c r="A49" s="2699" t="s">
        <v>393</v>
      </c>
      <c r="B49" s="186" t="s">
        <v>745</v>
      </c>
      <c r="C49" s="3413">
        <f ca="1">ROUND(F43*F48,4)</f>
        <v>3.0000000000000001E-3</v>
      </c>
      <c r="D49" s="206" t="s">
        <v>746</v>
      </c>
      <c r="E49" s="186"/>
      <c r="F49" s="2764"/>
      <c r="G49" s="935"/>
      <c r="H49" s="47"/>
      <c r="I49" s="47"/>
      <c r="J49" s="47"/>
      <c r="K49" s="1860"/>
      <c r="L49" s="47"/>
      <c r="M49" s="47"/>
    </row>
    <row r="50" spans="1:37" s="118" customFormat="1" ht="18" customHeight="1">
      <c r="A50" s="199" t="s">
        <v>3930</v>
      </c>
      <c r="B50" s="2724" t="s">
        <v>3420</v>
      </c>
      <c r="C50" s="2742">
        <f>ROUND(F50/(1+'数据-取费表'!C43),4)</f>
        <v>0</v>
      </c>
      <c r="D50" s="3980" t="s">
        <v>3870</v>
      </c>
      <c r="E50" s="2724"/>
      <c r="F50" s="2766"/>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3931</v>
      </c>
      <c r="B51" s="2724" t="s">
        <v>3932</v>
      </c>
      <c r="C51" s="2742">
        <f ca="1">ROUND((C35+C42+C45+C48)/(1-F43-C46-C49-C50),0)</f>
        <v>2923047</v>
      </c>
      <c r="D51" s="2738" t="s">
        <v>3444</v>
      </c>
      <c r="E51" s="2724"/>
      <c r="F51" s="2766"/>
      <c r="K51" s="4049"/>
      <c r="Q51" s="4044"/>
    </row>
    <row r="52" spans="1:37" s="4000" customFormat="1" ht="18" customHeight="1">
      <c r="A52" s="2728" t="s">
        <v>3434</v>
      </c>
      <c r="B52" s="2727" t="s">
        <v>3436</v>
      </c>
      <c r="C52" s="2742">
        <f ca="1">ROUND(C51*(1-F52),0)</f>
        <v>496918</v>
      </c>
      <c r="D52" s="2724" t="s">
        <v>3933</v>
      </c>
      <c r="E52" s="2724" t="s">
        <v>3934</v>
      </c>
      <c r="F52" s="2766">
        <f ca="1">INDIRECT("'数据-取费表'!y"&amp;$G$1)</f>
        <v>0.83</v>
      </c>
      <c r="K52" s="4049"/>
      <c r="Q52" s="4044"/>
    </row>
    <row r="53" spans="1:37" s="4000" customFormat="1" ht="18" customHeight="1" thickBot="1">
      <c r="A53" s="2729" t="s">
        <v>3929</v>
      </c>
      <c r="B53" s="2737" t="s">
        <v>3442</v>
      </c>
      <c r="C53" s="2753">
        <f ca="1">C51-C52</f>
        <v>2426129</v>
      </c>
      <c r="D53" s="2733" t="s">
        <v>3935</v>
      </c>
      <c r="E53" s="217"/>
      <c r="F53" s="2734"/>
      <c r="K53" s="4049"/>
      <c r="Q53" s="4044"/>
    </row>
    <row r="54" spans="1:37" s="935" customFormat="1" ht="18" customHeight="1" thickBot="1">
      <c r="A54" s="949"/>
      <c r="B54" s="949"/>
      <c r="C54" s="950"/>
      <c r="D54" s="949"/>
      <c r="E54" s="949"/>
      <c r="F54" s="949"/>
      <c r="I54" s="2755" t="s">
        <v>3452</v>
      </c>
      <c r="J54" s="494"/>
      <c r="O54" s="1964" t="s">
        <v>793</v>
      </c>
      <c r="P54" s="1008"/>
      <c r="Q54" s="3427"/>
      <c r="R54" s="1008"/>
    </row>
    <row r="55" spans="1:37" s="935" customFormat="1" ht="13.5" thickBot="1">
      <c r="A55" s="2472" t="s">
        <v>3962</v>
      </c>
      <c r="C55" s="4222">
        <f ca="1">ROUND(IF(D2="含税",C83-C31,C80-C28)/10000,4)</f>
        <v>-522.56769999999995</v>
      </c>
      <c r="D55" s="955" t="str">
        <f>C2</f>
        <v>万元</v>
      </c>
      <c r="E55" s="949"/>
      <c r="F55" s="949"/>
      <c r="I55" s="956" t="s">
        <v>795</v>
      </c>
      <c r="J55" s="957"/>
      <c r="K55" s="958"/>
      <c r="L55" s="3896">
        <f ca="1">IF(M56="住宅",0,IF(L57&gt;J60,L69,J69))</f>
        <v>74881</v>
      </c>
      <c r="O55" s="4034" t="s">
        <v>1325</v>
      </c>
      <c r="P55" s="4035" t="s">
        <v>3906</v>
      </c>
      <c r="Q55" s="4055" t="s">
        <v>3907</v>
      </c>
      <c r="R55" s="4036" t="s">
        <v>3908</v>
      </c>
    </row>
    <row r="56" spans="1:37" s="935" customFormat="1" ht="13.5" thickBot="1">
      <c r="A56" s="4021" t="s">
        <v>3877</v>
      </c>
      <c r="B56" s="4022" t="s">
        <v>3878</v>
      </c>
      <c r="C56" s="3995" t="s">
        <v>3986</v>
      </c>
      <c r="D56" s="4022" t="s">
        <v>3879</v>
      </c>
      <c r="E56" s="4023" t="s">
        <v>3880</v>
      </c>
      <c r="F56" s="4050"/>
      <c r="G56" s="490"/>
      <c r="I56" s="963" t="s">
        <v>800</v>
      </c>
      <c r="J56" s="964" t="s">
        <v>4084</v>
      </c>
      <c r="K56" s="965" t="s">
        <v>801</v>
      </c>
      <c r="L56" s="3897">
        <f ca="1">INDIRECT("'数据-取费表'!d"&amp;$G$1)</f>
        <v>50</v>
      </c>
      <c r="M56" s="931" t="str">
        <f>IF(ISNUMBER(FIND("住宅",C1)),"住宅","非住宅")</f>
        <v>非住宅</v>
      </c>
      <c r="O56" s="4037" t="s">
        <v>397</v>
      </c>
      <c r="P56" s="4041" t="s">
        <v>3946</v>
      </c>
      <c r="Q56" s="4042">
        <f ca="1">C28+J31</f>
        <v>4664742</v>
      </c>
      <c r="R56" s="4039" t="s">
        <v>3910</v>
      </c>
    </row>
    <row r="57" spans="1:37" s="935" customFormat="1" ht="42.75" thickBot="1">
      <c r="A57" s="652" t="s">
        <v>432</v>
      </c>
      <c r="B57" s="184" t="s">
        <v>3902</v>
      </c>
      <c r="C57" s="4024">
        <f ca="1">C58+C62+C64</f>
        <v>0</v>
      </c>
      <c r="D57" s="4001" t="s">
        <v>3936</v>
      </c>
      <c r="E57" s="4025"/>
      <c r="F57" s="4051"/>
      <c r="G57" s="490"/>
      <c r="H57" s="491"/>
      <c r="I57" s="970" t="s">
        <v>804</v>
      </c>
      <c r="J57" s="971" t="s">
        <v>4085</v>
      </c>
      <c r="K57" s="972" t="s">
        <v>805</v>
      </c>
      <c r="L57" s="3886">
        <f ca="1">INDIRECT("'数据-取费表'!f"&amp;$G$1)</f>
        <v>38</v>
      </c>
      <c r="O57" s="4037" t="s">
        <v>398</v>
      </c>
      <c r="P57" s="4038" t="s">
        <v>3911</v>
      </c>
      <c r="Q57" s="4042">
        <f ca="1">J69</f>
        <v>74881</v>
      </c>
      <c r="R57" s="4039" t="s">
        <v>3912</v>
      </c>
    </row>
    <row r="58" spans="1:37" s="935" customFormat="1" ht="15" customHeight="1" thickBot="1">
      <c r="A58" s="3863" t="s">
        <v>3807</v>
      </c>
      <c r="B58" s="2713" t="s">
        <v>3794</v>
      </c>
      <c r="C58" s="2756">
        <f ca="1">C59-C61</f>
        <v>0</v>
      </c>
      <c r="D58" s="2714" t="s">
        <v>3798</v>
      </c>
      <c r="E58" s="2736" t="s">
        <v>3441</v>
      </c>
      <c r="F58" s="2758"/>
      <c r="H58" s="491"/>
      <c r="I58" s="970" t="s">
        <v>808</v>
      </c>
      <c r="J58" s="3884">
        <f>'数据-取费表'!N18</f>
        <v>2016</v>
      </c>
      <c r="K58" s="972" t="s">
        <v>809</v>
      </c>
      <c r="L58" s="3898"/>
      <c r="O58" s="976" t="s">
        <v>399</v>
      </c>
      <c r="P58" s="4057" t="s">
        <v>3947</v>
      </c>
      <c r="Q58" s="3428">
        <f ca="1">C51</f>
        <v>2923047</v>
      </c>
      <c r="R58" s="969" t="s">
        <v>803</v>
      </c>
    </row>
    <row r="59" spans="1:37" s="935" customFormat="1" ht="15" customHeight="1" thickBot="1">
      <c r="A59" s="3870" t="s">
        <v>3795</v>
      </c>
      <c r="B59" s="4484" t="s">
        <v>3792</v>
      </c>
      <c r="C59" s="3911">
        <f ca="1">ROUND(F58*F60*F59,0)</f>
        <v>0</v>
      </c>
      <c r="D59" s="4487" t="s">
        <v>3472</v>
      </c>
      <c r="E59" s="698" t="s">
        <v>682</v>
      </c>
      <c r="F59" s="2759">
        <f ca="1">F7</f>
        <v>498.23</v>
      </c>
      <c r="H59" s="491"/>
      <c r="I59" s="970" t="s">
        <v>811</v>
      </c>
      <c r="J59" s="3902">
        <f>SUMPRODUCT((I72:I74=J56)*(J71:L71=J57)*(J72:L74))</f>
        <v>60</v>
      </c>
      <c r="K59" s="972" t="s">
        <v>812</v>
      </c>
      <c r="L59" s="3898"/>
      <c r="M59" s="978"/>
      <c r="O59" s="976" t="s">
        <v>400</v>
      </c>
      <c r="P59" s="968" t="s">
        <v>813</v>
      </c>
      <c r="Q59" s="3429">
        <f ca="1">J67</f>
        <v>0.4</v>
      </c>
      <c r="R59" s="969"/>
    </row>
    <row r="60" spans="1:37" s="935" customFormat="1" ht="15" customHeight="1" thickBot="1">
      <c r="A60" s="4122"/>
      <c r="B60" s="4485"/>
      <c r="C60" s="3851"/>
      <c r="D60" s="4487"/>
      <c r="E60" s="657" t="str">
        <f ca="1">IF(F60=1,"年",IF(F60=12,"月","天"))</f>
        <v>天</v>
      </c>
      <c r="F60" s="2760">
        <f ca="1">F8</f>
        <v>365</v>
      </c>
      <c r="I60" s="980" t="s">
        <v>814</v>
      </c>
      <c r="J60" s="3886">
        <f>IF(J58="",J59,J58+J59-YEAR('数据-取费表'!B2))</f>
        <v>50</v>
      </c>
      <c r="K60" s="981" t="s">
        <v>815</v>
      </c>
      <c r="L60" s="3875">
        <f ca="1">ROUND(-PV(INDIRECT("'数据-取费表'!h"&amp;$G$1),J60,(C27-C52*C88),0),0)</f>
        <v>3790017</v>
      </c>
      <c r="M60" s="983"/>
      <c r="O60" s="976" t="s">
        <v>401</v>
      </c>
      <c r="P60" s="968" t="s">
        <v>816</v>
      </c>
      <c r="Q60" s="3429">
        <f>J61</f>
        <v>7.4999999999999997E-2</v>
      </c>
      <c r="R60" s="969"/>
    </row>
    <row r="61" spans="1:37" s="935" customFormat="1" ht="15" customHeight="1" thickBot="1">
      <c r="A61" s="3850" t="s">
        <v>3796</v>
      </c>
      <c r="B61" s="4085" t="s">
        <v>3793</v>
      </c>
      <c r="C61" s="2757">
        <f ca="1">ROUND(C59*F61,0)</f>
        <v>0</v>
      </c>
      <c r="D61" s="2714" t="s">
        <v>3797</v>
      </c>
      <c r="E61" s="657" t="s">
        <v>684</v>
      </c>
      <c r="F61" s="2761"/>
      <c r="I61" s="984" t="s">
        <v>817</v>
      </c>
      <c r="J61" s="3887">
        <v>7.4999999999999997E-2</v>
      </c>
      <c r="K61" s="984" t="s">
        <v>818</v>
      </c>
      <c r="L61" s="3901"/>
      <c r="O61" s="976" t="s">
        <v>402</v>
      </c>
      <c r="P61" s="968" t="s">
        <v>819</v>
      </c>
      <c r="Q61" s="3428">
        <f ca="1">J62</f>
        <v>38</v>
      </c>
      <c r="R61" s="969" t="s">
        <v>820</v>
      </c>
    </row>
    <row r="62" spans="1:37" s="935" customFormat="1" ht="24.75" thickBot="1">
      <c r="A62" s="3873" t="s">
        <v>3449</v>
      </c>
      <c r="B62" s="924" t="s">
        <v>685</v>
      </c>
      <c r="C62" s="2742">
        <f ca="1">ROUND(IF(F62="押一",C58/12*F11,IF(F62="押二",C58/12*2*F11,IF(F62="押三",C58/12*3*F11,C63*F11))),0)</f>
        <v>0</v>
      </c>
      <c r="D62" s="59" t="s">
        <v>2020</v>
      </c>
      <c r="E62" s="197" t="s">
        <v>686</v>
      </c>
      <c r="F62" s="2762"/>
      <c r="I62" s="986" t="s">
        <v>821</v>
      </c>
      <c r="J62" s="3888">
        <f ca="1">IF(M56="住宅",IF(D1="——",MAX(J60,L57),MAX(J60,L57-'数据-取费表'!B24)),IF(D1="——",MIN(J60,L57),MIN(J60,L57-'数据-取费表'!B24)))</f>
        <v>38</v>
      </c>
      <c r="K62" s="4482" t="s">
        <v>822</v>
      </c>
      <c r="L62" s="4483"/>
      <c r="O62" s="4037" t="s">
        <v>403</v>
      </c>
      <c r="P62" s="4041" t="s">
        <v>3948</v>
      </c>
      <c r="Q62" s="4042">
        <f ca="1">ROUND((Q56+Q57)*(1+F31),0)</f>
        <v>5166189</v>
      </c>
      <c r="R62" s="4039" t="s">
        <v>3950</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f ca="1">ROUND(IF(J56="钢混",J66/J59,1-(1-2%)*(J59-J66)/J59),3)</f>
        <v>0.2</v>
      </c>
      <c r="K64" s="992" t="s">
        <v>826</v>
      </c>
      <c r="L64" s="993"/>
      <c r="O64" s="4034" t="s">
        <v>1325</v>
      </c>
      <c r="P64" s="4035" t="s">
        <v>3906</v>
      </c>
      <c r="Q64" s="4055" t="s">
        <v>3907</v>
      </c>
      <c r="R64" s="4036" t="s">
        <v>3908</v>
      </c>
    </row>
    <row r="65" spans="1:18" s="935" customFormat="1" ht="25.5" thickTop="1" thickBot="1">
      <c r="A65" s="199" t="s">
        <v>3937</v>
      </c>
      <c r="B65" s="634" t="s">
        <v>3919</v>
      </c>
      <c r="C65" s="2742">
        <f ca="1">ROUND(C66+C74+C76+C78,0)</f>
        <v>8191</v>
      </c>
      <c r="D65" s="634" t="s">
        <v>3938</v>
      </c>
      <c r="E65" s="4052"/>
      <c r="F65" s="638"/>
      <c r="I65" s="996" t="s">
        <v>827</v>
      </c>
      <c r="J65" s="997" t="s">
        <v>4086</v>
      </c>
      <c r="K65" s="970" t="s">
        <v>828</v>
      </c>
      <c r="L65" s="3886" t="str">
        <f ca="1">IF(L57&lt;J60,"——",L57-J62)</f>
        <v>——</v>
      </c>
      <c r="O65" s="4037" t="s">
        <v>397</v>
      </c>
      <c r="P65" s="4041" t="s">
        <v>3946</v>
      </c>
      <c r="Q65" s="4042">
        <f ca="1">C28+J31</f>
        <v>4664742</v>
      </c>
      <c r="R65" s="4039" t="s">
        <v>3910</v>
      </c>
    </row>
    <row r="66" spans="1:18" s="935" customFormat="1" ht="24.75" thickBot="1">
      <c r="A66" s="519" t="s">
        <v>392</v>
      </c>
      <c r="B66" s="2694" t="s">
        <v>3972</v>
      </c>
      <c r="C66" s="2701">
        <f ca="1">ROUND(IF(AND(项目基本情况!B11="自然人",项目基本情况!B10="北京市",M56="住宅"),C58*F66,C67+C71+C72),0)</f>
        <v>-81</v>
      </c>
      <c r="D66" s="639" t="s">
        <v>3446</v>
      </c>
      <c r="E66" s="639" t="str">
        <f>E14</f>
        <v/>
      </c>
      <c r="F66" s="3836" t="str">
        <f>IF(M56="非住宅","",IF(F58*F59*F60/12/(1+'数据-取费表'!F30)&gt;100000,4%,2.5%))</f>
        <v/>
      </c>
      <c r="I66" s="1002" t="s">
        <v>829</v>
      </c>
      <c r="J66" s="3892">
        <f ca="1">IF(OR(M56="住宅",J60&lt;L57,J65="是"),"——",J60-L57)</f>
        <v>12</v>
      </c>
      <c r="K66" s="970" t="s">
        <v>830</v>
      </c>
      <c r="L66" s="3899" t="str">
        <f ca="1">IF(L57&lt;J60,"——",IF(L64="比较法",L58,IF(L64="基准地价",L59,L60)))</f>
        <v>——</v>
      </c>
      <c r="O66" s="4037" t="s">
        <v>398</v>
      </c>
      <c r="P66" s="4038" t="s">
        <v>3913</v>
      </c>
      <c r="Q66" s="4042">
        <f ca="1">L69</f>
        <v>0</v>
      </c>
      <c r="R66" s="4039" t="s">
        <v>3914</v>
      </c>
    </row>
    <row r="67" spans="1:18" s="935" customFormat="1" ht="24.75" thickBot="1">
      <c r="A67" s="2699" t="s">
        <v>391</v>
      </c>
      <c r="B67" s="2712" t="s">
        <v>3964</v>
      </c>
      <c r="C67" s="2701">
        <f ca="1">C70</f>
        <v>-81</v>
      </c>
      <c r="D67" s="2714" t="s">
        <v>3963</v>
      </c>
      <c r="E67" s="4089"/>
      <c r="F67" s="4121"/>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4.75" thickBot="1">
      <c r="A68" s="2504" t="s">
        <v>3289</v>
      </c>
      <c r="B68" s="2716" t="s">
        <v>3405</v>
      </c>
      <c r="C68" s="2701">
        <f ca="1">ROUND(C58*F68,0)</f>
        <v>0</v>
      </c>
      <c r="D68" s="994" t="s">
        <v>3866</v>
      </c>
      <c r="E68" s="2720" t="s">
        <v>3407</v>
      </c>
      <c r="F68" s="2764">
        <f>F16</f>
        <v>0.09</v>
      </c>
      <c r="I68" s="1002" t="s">
        <v>835</v>
      </c>
      <c r="J68" s="3894">
        <f ca="1">IF(OR(M56="住宅",J60&lt;L57,J65="是"),"——",ROUND(C51*J67,0))</f>
        <v>1169219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4" t="s">
        <v>3290</v>
      </c>
      <c r="B69" s="2716" t="s">
        <v>3406</v>
      </c>
      <c r="C69" s="2701">
        <f ca="1">ROUND(C74*F68+((C76+C78)*F69),0)</f>
        <v>672</v>
      </c>
      <c r="D69" s="3977" t="s">
        <v>3860</v>
      </c>
      <c r="E69" s="2721"/>
      <c r="F69" s="2764">
        <f>F17</f>
        <v>0.06</v>
      </c>
      <c r="I69" s="1005" t="s">
        <v>837</v>
      </c>
      <c r="J69" s="3895">
        <f ca="1">IF(OR(M56="住宅",J60&lt;L57,J65="是"),"0",ROUND(J68/(1+J61)^J62,0))</f>
        <v>74881</v>
      </c>
      <c r="K69" s="1007" t="s">
        <v>838</v>
      </c>
      <c r="L69" s="3895">
        <f ca="1">IF(OR(M56="住宅",L57&lt;J60),0,ROUND(L66*(L67/L68-1),0))</f>
        <v>0</v>
      </c>
      <c r="O69" s="976" t="s">
        <v>401</v>
      </c>
      <c r="P69" s="968" t="s">
        <v>839</v>
      </c>
      <c r="Q69" s="3431" t="e">
        <f ca="1">L67</f>
        <v>#DIV/0!</v>
      </c>
      <c r="R69" s="969" t="s">
        <v>840</v>
      </c>
    </row>
    <row r="70" spans="1:18" s="935" customFormat="1" ht="13.5" thickBot="1">
      <c r="A70" s="2504" t="s">
        <v>3961</v>
      </c>
      <c r="B70" s="2716" t="s">
        <v>3960</v>
      </c>
      <c r="C70" s="2701">
        <f ca="1">ROUND((C68-C69)*F70,0)</f>
        <v>-81</v>
      </c>
      <c r="D70" s="2739" t="s">
        <v>3983</v>
      </c>
      <c r="E70" s="186" t="s">
        <v>3985</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3.5" thickBot="1">
      <c r="A71" s="2699" t="s">
        <v>766</v>
      </c>
      <c r="B71" s="2694" t="s">
        <v>3970</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0.12</v>
      </c>
      <c r="I71" s="1009" t="s">
        <v>842</v>
      </c>
      <c r="J71" s="1010" t="s">
        <v>843</v>
      </c>
      <c r="K71" s="1010" t="s">
        <v>844</v>
      </c>
      <c r="L71" s="1010" t="s">
        <v>845</v>
      </c>
      <c r="M71" s="1011" t="s">
        <v>846</v>
      </c>
      <c r="O71" s="4037" t="s">
        <v>403</v>
      </c>
      <c r="P71" s="4041" t="s">
        <v>3949</v>
      </c>
      <c r="Q71" s="4042">
        <f ca="1">ROUND((Q65+Q66)*(1+F31),0)</f>
        <v>5084569</v>
      </c>
      <c r="R71" s="4039" t="s">
        <v>3950</v>
      </c>
    </row>
    <row r="72" spans="1:18" s="935" customFormat="1" ht="13.5" thickBot="1">
      <c r="A72" s="4090" t="s">
        <v>769</v>
      </c>
      <c r="B72" s="4083" t="s">
        <v>3966</v>
      </c>
      <c r="C72" s="3024">
        <f ca="1">IF(项目基本情况!B11="自然人","——",ROUND(F72*F73,0))</f>
        <v>0</v>
      </c>
      <c r="D72" s="641" t="s">
        <v>771</v>
      </c>
      <c r="E72" s="626" t="s">
        <v>717</v>
      </c>
      <c r="F72" s="3419">
        <f t="shared" si="0"/>
        <v>0</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3906</v>
      </c>
      <c r="Q73" s="4055" t="s">
        <v>3907</v>
      </c>
      <c r="R73" s="4036" t="s">
        <v>3908</v>
      </c>
    </row>
    <row r="74" spans="1:18" s="935" customFormat="1" ht="13.5" thickBot="1">
      <c r="A74" s="3867" t="s">
        <v>774</v>
      </c>
      <c r="B74" s="625" t="s">
        <v>775</v>
      </c>
      <c r="C74" s="3878">
        <f ca="1">ROUND(F74*F75,0)</f>
        <v>5846</v>
      </c>
      <c r="D74" s="3861" t="s">
        <v>724</v>
      </c>
      <c r="E74" s="2694" t="s">
        <v>3806</v>
      </c>
      <c r="F74" s="3875">
        <f ca="1">C51</f>
        <v>2923047</v>
      </c>
      <c r="I74" s="3423" t="s">
        <v>851</v>
      </c>
      <c r="J74" s="223">
        <v>40</v>
      </c>
      <c r="K74" s="223">
        <v>30</v>
      </c>
      <c r="L74" s="223">
        <v>50</v>
      </c>
      <c r="M74" s="1012">
        <v>0.02</v>
      </c>
      <c r="O74" s="4037" t="s">
        <v>397</v>
      </c>
      <c r="P74" s="4038" t="s">
        <v>3909</v>
      </c>
      <c r="Q74" s="4040">
        <f ca="1">C28+J31</f>
        <v>4664742</v>
      </c>
      <c r="R74" s="4039" t="s">
        <v>3910</v>
      </c>
    </row>
    <row r="75" spans="1:18" s="935" customFormat="1" ht="15" thickBot="1">
      <c r="A75" s="3869"/>
      <c r="B75" s="632"/>
      <c r="C75" s="3879"/>
      <c r="D75" s="3862"/>
      <c r="E75" s="626" t="s">
        <v>697</v>
      </c>
      <c r="F75" s="2766">
        <f ca="1">F22</f>
        <v>2E-3</v>
      </c>
      <c r="O75" s="4037" t="s">
        <v>398</v>
      </c>
      <c r="P75" s="4038" t="s">
        <v>3913</v>
      </c>
      <c r="Q75" s="4056">
        <f ca="1">L69</f>
        <v>0</v>
      </c>
      <c r="R75" s="4039" t="s">
        <v>3915</v>
      </c>
    </row>
    <row r="76" spans="1:18" s="935" customFormat="1" ht="13.5" thickBot="1">
      <c r="A76" s="3867" t="s">
        <v>777</v>
      </c>
      <c r="B76" s="625" t="s">
        <v>727</v>
      </c>
      <c r="C76" s="3878">
        <f ca="1">ROUND(F76*F77,0)</f>
        <v>2426</v>
      </c>
      <c r="D76" s="3861" t="s">
        <v>3443</v>
      </c>
      <c r="E76" s="2694" t="s">
        <v>3442</v>
      </c>
      <c r="F76" s="3876">
        <f ca="1">C53</f>
        <v>2426129</v>
      </c>
      <c r="O76" s="967"/>
      <c r="P76" s="968"/>
      <c r="Q76" s="3431"/>
      <c r="R76" s="969"/>
    </row>
    <row r="77" spans="1:18" s="935" customFormat="1" ht="16.5" thickBot="1">
      <c r="A77" s="3869"/>
      <c r="B77" s="632"/>
      <c r="C77" s="3879"/>
      <c r="D77" s="3862"/>
      <c r="E77" s="626" t="s">
        <v>697</v>
      </c>
      <c r="F77" s="2766">
        <f ca="1">F24</f>
        <v>1E-3</v>
      </c>
      <c r="O77" s="976" t="s">
        <v>399</v>
      </c>
      <c r="P77" s="968" t="s">
        <v>834</v>
      </c>
      <c r="Q77" s="3432">
        <f ca="1">L60</f>
        <v>3790017</v>
      </c>
      <c r="R77" s="969" t="s">
        <v>854</v>
      </c>
    </row>
    <row r="78" spans="1:18" s="4000" customFormat="1" ht="13.5" thickBot="1">
      <c r="A78" s="519" t="s">
        <v>778</v>
      </c>
      <c r="B78" s="626" t="s">
        <v>713</v>
      </c>
      <c r="C78" s="2701">
        <f ca="1">ROUND(C57*F78,0)</f>
        <v>0</v>
      </c>
      <c r="D78" s="640" t="s">
        <v>3864</v>
      </c>
      <c r="E78" s="626" t="s">
        <v>697</v>
      </c>
      <c r="F78" s="2766">
        <f ca="1">F26</f>
        <v>0.02</v>
      </c>
      <c r="G78" s="935"/>
      <c r="H78" s="935"/>
      <c r="O78" s="976"/>
      <c r="P78" s="968"/>
      <c r="Q78" s="3432"/>
      <c r="R78" s="969"/>
    </row>
    <row r="79" spans="1:18" s="4000" customFormat="1" ht="16.5" thickBot="1">
      <c r="A79" s="633" t="s">
        <v>3939</v>
      </c>
      <c r="B79" s="643" t="s">
        <v>3887</v>
      </c>
      <c r="C79" s="2742">
        <f ca="1">C57-C65</f>
        <v>-8191</v>
      </c>
      <c r="D79" s="643" t="s">
        <v>3888</v>
      </c>
      <c r="E79" s="4026"/>
      <c r="F79" s="4027"/>
      <c r="O79" s="976" t="s">
        <v>400</v>
      </c>
      <c r="P79" s="1014" t="s">
        <v>3940</v>
      </c>
      <c r="Q79" s="3432">
        <f ca="1">ROUND(Q80-Q81*Q82,0)</f>
        <v>207605</v>
      </c>
      <c r="R79" s="969" t="s">
        <v>408</v>
      </c>
    </row>
    <row r="80" spans="1:18" s="4000" customFormat="1" ht="13.5" thickBot="1">
      <c r="A80" s="3200" t="s">
        <v>388</v>
      </c>
      <c r="B80" s="624" t="s">
        <v>3889</v>
      </c>
      <c r="C80" s="3911">
        <f ca="1">ROUND(C79*(1-((1+F82)/(1+F80))^F81)/(F80-F82),0)</f>
        <v>-129457</v>
      </c>
      <c r="D80" s="4028" t="s">
        <v>3890</v>
      </c>
      <c r="E80" s="634" t="s">
        <v>3891</v>
      </c>
      <c r="F80" s="2766">
        <f ca="1">F28</f>
        <v>5.5E-2</v>
      </c>
      <c r="O80" s="976" t="s">
        <v>405</v>
      </c>
      <c r="P80" s="1014" t="s">
        <v>3941</v>
      </c>
      <c r="Q80" s="3432">
        <f ca="1">C27</f>
        <v>242389</v>
      </c>
      <c r="R80" s="969" t="s">
        <v>803</v>
      </c>
    </row>
    <row r="81" spans="1:18" s="4000" customFormat="1" ht="13.5" thickBot="1">
      <c r="A81" s="3201"/>
      <c r="B81" s="628"/>
      <c r="C81" s="4092"/>
      <c r="D81" s="4029" t="s">
        <v>3895</v>
      </c>
      <c r="E81" s="634" t="s">
        <v>3894</v>
      </c>
      <c r="F81" s="2767">
        <f ca="1">F29</f>
        <v>38</v>
      </c>
      <c r="O81" s="976" t="s">
        <v>406</v>
      </c>
      <c r="P81" s="1014" t="s">
        <v>3942</v>
      </c>
      <c r="Q81" s="3432">
        <f ca="1">C52</f>
        <v>496918</v>
      </c>
      <c r="R81" s="969" t="s">
        <v>803</v>
      </c>
    </row>
    <row r="82" spans="1:18" s="4000" customFormat="1" ht="13.5" thickBot="1">
      <c r="A82" s="4053"/>
      <c r="B82" s="4054"/>
      <c r="C82" s="4054"/>
      <c r="D82" s="4030"/>
      <c r="E82" s="634" t="s">
        <v>3896</v>
      </c>
      <c r="F82" s="2761"/>
      <c r="O82" s="976" t="s">
        <v>407</v>
      </c>
      <c r="P82" s="1014" t="s">
        <v>3943</v>
      </c>
      <c r="Q82" s="3429">
        <f ca="1">C88</f>
        <v>7.0000000000000007E-2</v>
      </c>
      <c r="R82" s="969"/>
    </row>
    <row r="83" spans="1:18" s="4000" customFormat="1" ht="13.5" thickBot="1">
      <c r="A83" s="630"/>
      <c r="B83" s="2741" t="s">
        <v>3945</v>
      </c>
      <c r="C83" s="3852">
        <f ca="1">ROUND(C80*(1+F31),0)</f>
        <v>-141108</v>
      </c>
      <c r="D83" s="4221" t="str">
        <f>D31</f>
        <v>其他类型公式—收益价值×（1+9%）</v>
      </c>
      <c r="E83" s="1018"/>
      <c r="F83" s="4032"/>
      <c r="O83" s="976" t="s">
        <v>401</v>
      </c>
      <c r="P83" s="968" t="s">
        <v>3944</v>
      </c>
      <c r="Q83" s="3429">
        <f>L61</f>
        <v>0</v>
      </c>
      <c r="R83" s="969"/>
    </row>
    <row r="84" spans="1:18" ht="16.5" thickBot="1">
      <c r="A84" s="647" t="s">
        <v>389</v>
      </c>
      <c r="B84" s="648" t="s">
        <v>761</v>
      </c>
      <c r="C84" s="2753">
        <f ca="1">ROUND(C83/F84,0)</f>
        <v>-283</v>
      </c>
      <c r="D84" s="4033" t="s">
        <v>3899</v>
      </c>
      <c r="E84" s="648" t="s">
        <v>3900</v>
      </c>
      <c r="F84" s="2768">
        <f ca="1">F32</f>
        <v>498.23</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3.5" thickBot="1">
      <c r="A86" s="935"/>
      <c r="B86" s="168" t="s">
        <v>859</v>
      </c>
      <c r="C86" s="1016"/>
      <c r="D86" s="935"/>
      <c r="E86" s="935"/>
      <c r="F86" s="935"/>
      <c r="K86" s="951"/>
      <c r="L86" s="935"/>
      <c r="O86" s="4037" t="s">
        <v>403</v>
      </c>
      <c r="P86" s="4041" t="s">
        <v>3949</v>
      </c>
      <c r="Q86" s="4040">
        <f ca="1">ROUND((Q74+Q75)*(1+F31),0)</f>
        <v>5084569</v>
      </c>
      <c r="R86" s="4039" t="s">
        <v>3950</v>
      </c>
    </row>
    <row r="87" spans="1:18">
      <c r="A87" s="935"/>
      <c r="B87" s="222" t="s">
        <v>780</v>
      </c>
      <c r="C87" s="2830">
        <f ca="1">ROUND(C53*C88,0)</f>
        <v>169829</v>
      </c>
      <c r="D87" s="935"/>
      <c r="E87" s="935"/>
      <c r="F87" s="935"/>
      <c r="I87" s="935"/>
      <c r="J87" s="935"/>
      <c r="K87" s="951"/>
      <c r="L87" s="935"/>
    </row>
    <row r="88" spans="1:18">
      <c r="B88" s="224" t="s">
        <v>781</v>
      </c>
      <c r="C88" s="2726">
        <f ca="1">INDIRECT("'数据-取费表'!j"&amp;$G$1)</f>
        <v>7.0000000000000007E-2</v>
      </c>
      <c r="I88" s="935"/>
      <c r="J88" s="935"/>
      <c r="K88" s="951"/>
      <c r="L88" s="935"/>
    </row>
    <row r="89" spans="1:18">
      <c r="B89" s="226" t="s">
        <v>782</v>
      </c>
      <c r="C89" s="227"/>
    </row>
    <row r="90" spans="1:18">
      <c r="B90" s="165" t="s">
        <v>783</v>
      </c>
      <c r="C90" s="228"/>
    </row>
    <row r="91" spans="1:18">
      <c r="B91" s="222" t="s">
        <v>784</v>
      </c>
      <c r="C91" s="2831">
        <f ca="1">1-C92</f>
        <v>0.29900000000000004</v>
      </c>
    </row>
    <row r="92" spans="1:18">
      <c r="B92" s="222" t="s">
        <v>785</v>
      </c>
      <c r="C92" s="2831">
        <f ca="1">ROUND(C87/C27,3)</f>
        <v>0.70099999999999996</v>
      </c>
    </row>
    <row r="93" spans="1:18">
      <c r="B93" s="165" t="s">
        <v>786</v>
      </c>
      <c r="C93" s="133"/>
    </row>
    <row r="94" spans="1:18">
      <c r="B94" s="168" t="s">
        <v>787</v>
      </c>
      <c r="C94" s="2832">
        <f ca="1">1-C95</f>
        <v>0.48799999999999999</v>
      </c>
    </row>
    <row r="95" spans="1:18">
      <c r="B95" s="168" t="s">
        <v>788</v>
      </c>
      <c r="C95" s="2831">
        <f ca="1">ROUND(C53/(C28+J31+L55),3)</f>
        <v>0.51200000000000001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9" t="s">
        <v>679</v>
      </c>
      <c r="C6" s="712">
        <f ca="1">ROUND(F6*F8*F7*(1-F9),0)</f>
        <v>0</v>
      </c>
      <c r="D6" s="56" t="s">
        <v>2013</v>
      </c>
      <c r="E6" s="186" t="s">
        <v>681</v>
      </c>
      <c r="F6" s="187">
        <f ca="1">INDIRECT("'数据-取费表'!u"&amp;$G$1)</f>
        <v>0</v>
      </c>
      <c r="G6" s="935"/>
      <c r="H6" s="707" t="s">
        <v>392</v>
      </c>
      <c r="I6" s="4569" t="s">
        <v>679</v>
      </c>
      <c r="J6" s="185">
        <f ca="1">ROUND(M6*M8*M7*(1-M9),0)</f>
        <v>0</v>
      </c>
      <c r="K6" s="927" t="s">
        <v>2014</v>
      </c>
      <c r="L6" s="186" t="s">
        <v>681</v>
      </c>
      <c r="M6" s="187">
        <f ca="1">INDIRECT("'数据-取费表'!z"&amp;$G$1)</f>
        <v>0</v>
      </c>
    </row>
    <row r="7" spans="1:37" ht="18" customHeight="1">
      <c r="A7" s="711"/>
      <c r="B7" s="4570"/>
      <c r="C7" s="713"/>
      <c r="D7" s="191"/>
      <c r="E7" s="714" t="s">
        <v>682</v>
      </c>
      <c r="F7" s="187">
        <f ca="1">IF(INDIRECT("'数据-取费表'!ah"&amp;$G$1)="",INDIRECT("'数据-取费表'!k"&amp;$G$1),INDIRECT("'数据-取费表'!ah"&amp;$G$1))</f>
        <v>0</v>
      </c>
      <c r="G7" s="935"/>
      <c r="H7" s="188"/>
      <c r="I7" s="4570"/>
      <c r="J7" s="190"/>
      <c r="K7" s="191"/>
      <c r="L7" s="186" t="s">
        <v>682</v>
      </c>
      <c r="M7" s="187">
        <f ca="1">F7</f>
        <v>0</v>
      </c>
    </row>
    <row r="8" spans="1:37" ht="18" customHeight="1">
      <c r="A8" s="188"/>
      <c r="B8" s="4570"/>
      <c r="C8" s="190"/>
      <c r="D8" s="191"/>
      <c r="E8" s="186" t="s">
        <v>683</v>
      </c>
      <c r="F8" s="187">
        <f ca="1">INDIRECT("'数据-取费表'!ai"&amp;$G$1)</f>
        <v>0</v>
      </c>
      <c r="G8" s="935"/>
      <c r="H8" s="188"/>
      <c r="I8" s="4570"/>
      <c r="J8" s="190"/>
      <c r="K8" s="191"/>
      <c r="L8" s="186" t="s">
        <v>683</v>
      </c>
      <c r="M8" s="187">
        <f ca="1">INDIRECT("'数据-取费表'!ai"&amp;$G$1)</f>
        <v>0</v>
      </c>
    </row>
    <row r="9" spans="1:37" ht="18" customHeight="1">
      <c r="A9" s="188"/>
      <c r="B9" s="4571"/>
      <c r="C9" s="190"/>
      <c r="D9" s="191"/>
      <c r="E9" s="186" t="s">
        <v>684</v>
      </c>
      <c r="F9" s="196">
        <f ca="1">INDIRECT("'数据-取费表'!w"&amp;$G$1)</f>
        <v>0</v>
      </c>
      <c r="G9" s="935"/>
      <c r="H9" s="188"/>
      <c r="I9" s="457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2">
        <f ca="1">ROUND(IF(AND(项目基本情况!B11="自然人",项目基本情况!B10="北京市"),J6*M17/(1+'数据-取费表'!C43),J18+J19+J20),0)</f>
        <v>0</v>
      </c>
      <c r="K17" s="900" t="s">
        <v>705</v>
      </c>
      <c r="L17" s="899" t="s">
        <v>706</v>
      </c>
      <c r="M17" s="1691">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2">
        <f ca="1">ROUND(IF(AND(项目基本情况!B11="自然人",项目基本情况!B10="北京市"),C6*F31/(1+'数据-取费表'!C43),C32+C33+C34),0)</f>
        <v>0</v>
      </c>
      <c r="D31" s="900" t="s">
        <v>705</v>
      </c>
      <c r="E31" s="899" t="s">
        <v>755</v>
      </c>
      <c r="F31" s="1691">
        <f ca="1">IF(项目基本情况!B11="企业","——",IF(M47="住宅",IF(F6*F7*F8/12/(1+'数据-取费表'!F30)&gt;100000,4%,2.5%),IF(F6*F7*F8/12/(1+'数据-取费表'!F30)&gt;100000,12%,7%)))</f>
        <v>7.0000000000000007E-2</v>
      </c>
      <c r="G31" s="935"/>
      <c r="H31" s="2046" t="s">
        <v>2201</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2" t="s">
        <v>3238</v>
      </c>
      <c r="B45" s="949"/>
      <c r="C45" s="1019" t="e">
        <f ca="1">ROUND((C68-C40)/10000,4)</f>
        <v>#DIV/0!</v>
      </c>
      <c r="D45" s="2473" t="s">
        <v>3239</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89">
        <f ca="1">IF(M47="住宅",IF(D1="——",MAX(J51,L48),MAX(J51,L48-'数据-取费表'!B24)),IF(D1="——",MIN(J51,L48),MIN(J51,L48-'数据-取费表'!B24)))</f>
        <v>0</v>
      </c>
      <c r="K53" s="4482" t="s">
        <v>822</v>
      </c>
      <c r="L53" s="4483"/>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2324</v>
      </c>
      <c r="B1" s="2055"/>
      <c r="C1" s="2066"/>
      <c r="D1" s="2066"/>
      <c r="E1" s="2056"/>
      <c r="F1" s="2057"/>
      <c r="G1" s="2058"/>
      <c r="J1" s="2061" t="s">
        <v>2209</v>
      </c>
      <c r="K1" s="2062"/>
      <c r="L1" s="2062"/>
      <c r="M1" s="2062"/>
      <c r="N1" s="2062"/>
      <c r="O1" s="2062"/>
      <c r="P1" s="2062"/>
      <c r="Q1" s="2062"/>
      <c r="R1" s="2063"/>
      <c r="S1" s="2064"/>
      <c r="T1" s="2064"/>
      <c r="U1" s="2064"/>
    </row>
    <row r="2" spans="1:22" s="2075" customFormat="1" ht="13.15" customHeight="1">
      <c r="A2" s="936" t="s">
        <v>2210</v>
      </c>
      <c r="B2" s="3440" t="e">
        <f>IF(D2="——",C40,C40+E2)</f>
        <v>#DIV/0!</v>
      </c>
      <c r="C2" s="2066" t="s">
        <v>2211</v>
      </c>
      <c r="D2" s="2479" t="s">
        <v>3245</v>
      </c>
      <c r="E2" s="2480"/>
      <c r="F2" s="2068"/>
      <c r="G2" s="2069"/>
      <c r="H2" s="2070"/>
      <c r="I2" s="2071"/>
      <c r="J2" s="4572" t="s">
        <v>2212</v>
      </c>
      <c r="K2" s="4573"/>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41" t="e">
        <f>ROUND(B2*10000/B4,0)</f>
        <v>#DIV/0!</v>
      </c>
      <c r="C3" s="2066" t="s">
        <v>2221</v>
      </c>
      <c r="D3" s="2066"/>
      <c r="E3" s="2067"/>
      <c r="F3" s="2068"/>
      <c r="G3" s="2069"/>
      <c r="H3" s="2070"/>
      <c r="I3" s="2071"/>
      <c r="J3" s="4574" t="s">
        <v>2222</v>
      </c>
      <c r="K3" s="4575"/>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574" t="s">
        <v>2224</v>
      </c>
      <c r="K4" s="4575"/>
      <c r="L4" s="2082"/>
      <c r="M4" s="2082"/>
      <c r="N4" s="2082"/>
      <c r="O4" s="2082"/>
      <c r="P4" s="2082"/>
      <c r="Q4" s="2083"/>
      <c r="R4" s="2084">
        <f>SUM(L4:Q4)</f>
        <v>0</v>
      </c>
      <c r="S4" s="2064"/>
      <c r="T4" s="2064"/>
      <c r="U4" s="2064"/>
      <c r="V4" s="2071"/>
    </row>
    <row r="5" spans="1:22" s="2075" customFormat="1" ht="13.15" customHeight="1" thickBot="1">
      <c r="A5" s="2085" t="s">
        <v>2225</v>
      </c>
      <c r="B5" s="3442"/>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576" t="s">
        <v>3790</v>
      </c>
      <c r="B6" s="4577"/>
      <c r="C6" s="4578"/>
      <c r="D6" s="3443"/>
      <c r="E6" s="3579"/>
      <c r="F6" s="2091"/>
      <c r="G6" s="2092"/>
      <c r="H6" s="2070"/>
      <c r="I6" s="2071"/>
      <c r="J6" s="4579">
        <v>1</v>
      </c>
      <c r="K6" s="4580"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44">
        <f>SUM(D9,D10,D11,D17,0)</f>
        <v>0</v>
      </c>
      <c r="E7" s="2098" t="e">
        <f>E9+E10+E11+E17</f>
        <v>#DIV/0!</v>
      </c>
      <c r="F7" s="2099"/>
      <c r="G7" s="2100"/>
      <c r="H7" s="2070"/>
      <c r="I7" s="2071"/>
      <c r="J7" s="4579"/>
      <c r="K7" s="4581"/>
      <c r="L7" s="2101" t="s">
        <v>2238</v>
      </c>
      <c r="M7" s="3677"/>
      <c r="N7" s="3676"/>
      <c r="O7" s="4225"/>
      <c r="P7" s="4225"/>
      <c r="Q7" s="3676">
        <v>365</v>
      </c>
      <c r="R7" s="3675">
        <f>ROUND(M7*N7*O7*P7*Q7/10000,0)</f>
        <v>0</v>
      </c>
      <c r="S7" s="2064"/>
      <c r="T7" s="2064" t="s">
        <v>2239</v>
      </c>
      <c r="U7" s="2064"/>
      <c r="V7" s="2071"/>
    </row>
    <row r="8" spans="1:22" s="2075" customFormat="1" ht="13.15" customHeight="1">
      <c r="A8" s="2105" t="s">
        <v>2240</v>
      </c>
      <c r="B8" s="4583" t="s">
        <v>2241</v>
      </c>
      <c r="C8" s="4584"/>
      <c r="D8" s="4065" t="s">
        <v>3952</v>
      </c>
      <c r="E8" s="2106" t="s">
        <v>2242</v>
      </c>
      <c r="F8" s="2107" t="s">
        <v>2243</v>
      </c>
      <c r="G8" s="2108"/>
      <c r="H8" s="2070"/>
      <c r="I8" s="2071"/>
      <c r="J8" s="4579"/>
      <c r="K8" s="4581"/>
      <c r="L8" s="2101" t="s">
        <v>2244</v>
      </c>
      <c r="M8" s="3677"/>
      <c r="N8" s="3676"/>
      <c r="O8" s="4225"/>
      <c r="P8" s="4225"/>
      <c r="Q8" s="3676">
        <v>365</v>
      </c>
      <c r="R8" s="3675">
        <f t="shared" ref="R8:R13" si="0">ROUND(M8*N8*O8*P8*Q8/10000,0)</f>
        <v>0</v>
      </c>
      <c r="S8" s="2064"/>
      <c r="T8" s="2064" t="s">
        <v>2245</v>
      </c>
      <c r="U8" s="2064"/>
      <c r="V8" s="2071"/>
    </row>
    <row r="9" spans="1:22" s="2075" customFormat="1" ht="13.15" customHeight="1">
      <c r="A9" s="2105">
        <v>1</v>
      </c>
      <c r="B9" s="4583" t="s">
        <v>2246</v>
      </c>
      <c r="C9" s="4584"/>
      <c r="D9" s="3445">
        <f>ROUND(D6*E9,0)</f>
        <v>0</v>
      </c>
      <c r="E9" s="3446"/>
      <c r="F9" s="2109" t="s">
        <v>2247</v>
      </c>
      <c r="G9" s="2092"/>
      <c r="H9" s="2070"/>
      <c r="I9" s="2071"/>
      <c r="J9" s="4579"/>
      <c r="K9" s="4581"/>
      <c r="L9" s="2101" t="s">
        <v>2248</v>
      </c>
      <c r="M9" s="3677"/>
      <c r="N9" s="3676"/>
      <c r="O9" s="4225"/>
      <c r="P9" s="4225"/>
      <c r="Q9" s="3676">
        <v>365</v>
      </c>
      <c r="R9" s="3675">
        <f t="shared" si="0"/>
        <v>0</v>
      </c>
      <c r="S9" s="2064"/>
      <c r="T9" s="2064"/>
      <c r="U9" s="2064"/>
      <c r="V9" s="2071"/>
    </row>
    <row r="10" spans="1:22" s="2075" customFormat="1" ht="13.15" customHeight="1">
      <c r="A10" s="2105">
        <v>2</v>
      </c>
      <c r="B10" s="4583" t="s">
        <v>2249</v>
      </c>
      <c r="C10" s="4584"/>
      <c r="D10" s="3445">
        <f>ROUND(D6*E10,0)</f>
        <v>0</v>
      </c>
      <c r="E10" s="3446"/>
      <c r="F10" s="3574" t="s">
        <v>3715</v>
      </c>
      <c r="G10" s="2092"/>
      <c r="H10" s="2070"/>
      <c r="I10" s="2071"/>
      <c r="J10" s="4579"/>
      <c r="K10" s="4581"/>
      <c r="L10" s="2101" t="s">
        <v>2250</v>
      </c>
      <c r="M10" s="3677"/>
      <c r="N10" s="3676"/>
      <c r="O10" s="4225"/>
      <c r="P10" s="4225"/>
      <c r="Q10" s="3676">
        <v>365</v>
      </c>
      <c r="R10" s="3675">
        <f t="shared" si="0"/>
        <v>0</v>
      </c>
      <c r="S10" s="2064"/>
      <c r="T10" s="2064"/>
      <c r="U10" s="2064"/>
      <c r="V10" s="2071"/>
    </row>
    <row r="11" spans="1:22" s="2075" customFormat="1" ht="13.15" customHeight="1">
      <c r="A11" s="2105">
        <v>3</v>
      </c>
      <c r="B11" s="4583" t="s">
        <v>2251</v>
      </c>
      <c r="C11" s="4584"/>
      <c r="D11" s="3445">
        <f>D12+D14+D15+D16</f>
        <v>0</v>
      </c>
      <c r="E11" s="3447" t="e">
        <f>D11/D6</f>
        <v>#DIV/0!</v>
      </c>
      <c r="F11" s="2107"/>
      <c r="G11" s="2108"/>
      <c r="H11" s="2070"/>
      <c r="I11" s="2071"/>
      <c r="J11" s="4579"/>
      <c r="K11" s="4581"/>
      <c r="L11" s="2101" t="s">
        <v>2252</v>
      </c>
      <c r="M11" s="3677"/>
      <c r="N11" s="3676"/>
      <c r="O11" s="4225"/>
      <c r="P11" s="4225"/>
      <c r="Q11" s="3676">
        <v>365</v>
      </c>
      <c r="R11" s="3675">
        <f t="shared" si="0"/>
        <v>0</v>
      </c>
      <c r="S11" s="2064"/>
      <c r="T11" s="2064"/>
      <c r="U11" s="2064"/>
      <c r="V11" s="2071"/>
    </row>
    <row r="12" spans="1:22" s="2075" customFormat="1" ht="13.15" customHeight="1">
      <c r="A12" s="2110" t="s">
        <v>2253</v>
      </c>
      <c r="B12" s="4585" t="s">
        <v>2254</v>
      </c>
      <c r="C12" s="4586"/>
      <c r="D12" s="3448">
        <f>ROUND(D13*1.2%*(1-30%),0)</f>
        <v>0</v>
      </c>
      <c r="E12" s="3449">
        <v>1.2E-2</v>
      </c>
      <c r="F12" s="2107" t="s">
        <v>2255</v>
      </c>
      <c r="G12" s="2108"/>
      <c r="H12" s="2070"/>
      <c r="I12" s="2071"/>
      <c r="J12" s="4579"/>
      <c r="K12" s="4581"/>
      <c r="L12" s="2101" t="s">
        <v>2256</v>
      </c>
      <c r="M12" s="3677"/>
      <c r="N12" s="3676"/>
      <c r="O12" s="4225"/>
      <c r="P12" s="4225"/>
      <c r="Q12" s="3676">
        <v>365</v>
      </c>
      <c r="R12" s="3675">
        <f t="shared" si="0"/>
        <v>0</v>
      </c>
      <c r="S12" s="2064"/>
      <c r="T12" s="2064"/>
      <c r="U12" s="2064"/>
      <c r="V12" s="2071"/>
    </row>
    <row r="13" spans="1:22" s="2075" customFormat="1" ht="13.15" customHeight="1">
      <c r="A13" s="2110"/>
      <c r="B13" s="2111"/>
      <c r="C13" s="2112" t="s">
        <v>2257</v>
      </c>
      <c r="D13" s="3450"/>
      <c r="E13" s="2114"/>
      <c r="F13" s="2107"/>
      <c r="G13" s="2108"/>
      <c r="H13" s="2070"/>
      <c r="I13" s="2071"/>
      <c r="J13" s="4579"/>
      <c r="K13" s="4581"/>
      <c r="L13" s="2101" t="s">
        <v>2258</v>
      </c>
      <c r="M13" s="3677"/>
      <c r="N13" s="3676"/>
      <c r="O13" s="4225"/>
      <c r="P13" s="4225"/>
      <c r="Q13" s="3676">
        <v>365</v>
      </c>
      <c r="R13" s="3675">
        <f t="shared" si="0"/>
        <v>0</v>
      </c>
      <c r="S13" s="2064"/>
      <c r="T13" s="2064"/>
      <c r="U13" s="2064"/>
      <c r="V13" s="2071"/>
    </row>
    <row r="14" spans="1:22" s="2075" customFormat="1" ht="13.15" customHeight="1">
      <c r="A14" s="2110" t="s">
        <v>2259</v>
      </c>
      <c r="B14" s="4585" t="s">
        <v>2260</v>
      </c>
      <c r="C14" s="4586"/>
      <c r="D14" s="3448">
        <f>ROUND(E14*B5/10000,0)</f>
        <v>0</v>
      </c>
      <c r="E14" s="3451"/>
      <c r="F14" s="2107" t="s">
        <v>2261</v>
      </c>
      <c r="G14" s="2108"/>
      <c r="H14" s="2070"/>
      <c r="I14" s="2071"/>
      <c r="J14" s="4579"/>
      <c r="K14" s="4582"/>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587" t="s">
        <v>3787</v>
      </c>
      <c r="C15" s="4586"/>
      <c r="D15" s="3448">
        <f>IF(F15="酒店",E48*(1+E15),IF(F15="购物中心",E67*(1+E15),IF(F15="按比例计算-酒店",E46,E65)))</f>
        <v>0</v>
      </c>
      <c r="E15" s="3449">
        <f>'数据-取费表'!B44</f>
        <v>0.12000000000000001</v>
      </c>
      <c r="F15" s="3577" t="s">
        <v>3846</v>
      </c>
      <c r="G15" s="3578"/>
      <c r="H15" s="2070"/>
      <c r="I15" s="2071"/>
      <c r="J15" s="4579">
        <v>2</v>
      </c>
      <c r="K15" s="4580"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585" t="s">
        <v>2271</v>
      </c>
      <c r="C16" s="4586"/>
      <c r="D16" s="3452">
        <f>D6*E16</f>
        <v>0</v>
      </c>
      <c r="E16" s="3453"/>
      <c r="F16" s="2109" t="s">
        <v>2272</v>
      </c>
      <c r="G16" s="2092"/>
      <c r="H16" s="2070"/>
      <c r="I16" s="2071"/>
      <c r="J16" s="4579"/>
      <c r="K16" s="4581"/>
      <c r="L16" s="2101" t="s">
        <v>2273</v>
      </c>
      <c r="M16" s="3677"/>
      <c r="N16" s="3677"/>
      <c r="O16" s="4227"/>
      <c r="P16" s="3676">
        <v>365</v>
      </c>
      <c r="Q16" s="3676"/>
      <c r="R16" s="3675">
        <f>ROUND(M16*N16*O16*P16/10000,0)</f>
        <v>0</v>
      </c>
      <c r="S16" s="2064"/>
      <c r="T16" s="2064"/>
      <c r="U16" s="2064"/>
      <c r="V16" s="2071"/>
    </row>
    <row r="17" spans="1:22" s="2075" customFormat="1" ht="13.15" customHeight="1" thickBot="1">
      <c r="A17" s="2120">
        <v>4</v>
      </c>
      <c r="B17" s="4588" t="s">
        <v>2274</v>
      </c>
      <c r="C17" s="4589"/>
      <c r="D17" s="3454">
        <f>ROUND(D6*E17,0)</f>
        <v>0</v>
      </c>
      <c r="E17" s="3455"/>
      <c r="F17" s="3575" t="s">
        <v>3716</v>
      </c>
      <c r="G17" s="2092"/>
      <c r="H17" s="2070"/>
      <c r="I17" s="2071"/>
      <c r="J17" s="4579"/>
      <c r="K17" s="4581"/>
      <c r="L17" s="2101" t="s">
        <v>2275</v>
      </c>
      <c r="M17" s="3677"/>
      <c r="N17" s="3677"/>
      <c r="O17" s="4227"/>
      <c r="P17" s="3676">
        <v>365</v>
      </c>
      <c r="Q17" s="3676"/>
      <c r="R17" s="3675">
        <f>ROUND(M17*N17*O17*P17/10000,0)</f>
        <v>0</v>
      </c>
      <c r="S17" s="2064"/>
      <c r="T17" s="2064"/>
      <c r="U17" s="2064"/>
      <c r="V17" s="2071"/>
    </row>
    <row r="18" spans="1:22" s="2075" customFormat="1" ht="13.15" customHeight="1" thickBot="1">
      <c r="A18" s="2095" t="s">
        <v>2276</v>
      </c>
      <c r="B18" s="2096"/>
      <c r="C18" s="2096"/>
      <c r="D18" s="3456">
        <f>ROUND(D6*E18,0)</f>
        <v>0</v>
      </c>
      <c r="E18" s="3457"/>
      <c r="F18" s="2121" t="s">
        <v>2277</v>
      </c>
      <c r="G18" s="2092"/>
      <c r="H18" s="2070"/>
      <c r="I18" s="2071"/>
      <c r="J18" s="4579"/>
      <c r="K18" s="4581"/>
      <c r="L18" s="2101" t="s">
        <v>2278</v>
      </c>
      <c r="M18" s="3677"/>
      <c r="N18" s="3677"/>
      <c r="O18" s="4227"/>
      <c r="P18" s="3676">
        <v>365</v>
      </c>
      <c r="Q18" s="3676"/>
      <c r="R18" s="3675">
        <f>ROUND(M18*N18*O18*P18/10000,0)</f>
        <v>0</v>
      </c>
      <c r="S18" s="2064"/>
      <c r="T18" s="2064"/>
      <c r="U18" s="2064"/>
      <c r="V18" s="2071"/>
    </row>
    <row r="19" spans="1:22" s="2075" customFormat="1" ht="13.15" customHeight="1" thickBot="1">
      <c r="A19" s="2122" t="s">
        <v>2279</v>
      </c>
      <c r="B19" s="2090"/>
      <c r="C19" s="2090"/>
      <c r="D19" s="2090"/>
      <c r="E19" s="2090"/>
      <c r="F19" s="2091"/>
      <c r="G19" s="2108"/>
      <c r="H19" s="2070"/>
      <c r="I19" s="2071"/>
      <c r="J19" s="4579"/>
      <c r="K19" s="4582"/>
      <c r="L19" s="2115" t="s">
        <v>2262</v>
      </c>
      <c r="M19" s="2116"/>
      <c r="N19" s="2116">
        <f>SUM(N16:N18)</f>
        <v>0</v>
      </c>
      <c r="O19" s="2117"/>
      <c r="P19" s="2123" t="s">
        <v>2323</v>
      </c>
      <c r="Q19" s="2103">
        <v>0</v>
      </c>
      <c r="R19" s="3476">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79">
        <v>3</v>
      </c>
      <c r="K20" s="4580" t="s">
        <v>2280</v>
      </c>
      <c r="L20" s="2101" t="s">
        <v>2281</v>
      </c>
      <c r="M20" s="2102" t="s">
        <v>2282</v>
      </c>
      <c r="N20" s="2125" t="s">
        <v>2283</v>
      </c>
      <c r="O20" s="2103" t="s">
        <v>2284</v>
      </c>
      <c r="P20" s="2104" t="s">
        <v>2285</v>
      </c>
      <c r="Q20" s="2081" t="s">
        <v>2286</v>
      </c>
      <c r="R20" s="2119" t="s">
        <v>2287</v>
      </c>
      <c r="S20" s="2064"/>
      <c r="T20" s="2064"/>
      <c r="U20" s="2064"/>
      <c r="V20" s="2071"/>
    </row>
    <row r="21" spans="1:22" s="2075" customFormat="1" ht="13.15" customHeight="1">
      <c r="A21" s="2095"/>
      <c r="B21" s="2096"/>
      <c r="C21" s="2126" t="s">
        <v>2288</v>
      </c>
      <c r="D21" s="2127" t="s">
        <v>2289</v>
      </c>
      <c r="E21" s="2128" t="s">
        <v>2290</v>
      </c>
      <c r="F21" s="2124"/>
      <c r="G21" s="2108"/>
      <c r="H21" s="2070"/>
      <c r="I21" s="2071"/>
      <c r="J21" s="4579"/>
      <c r="K21" s="4581"/>
      <c r="L21" s="2101" t="s">
        <v>2291</v>
      </c>
      <c r="M21" s="3677"/>
      <c r="N21" s="3677"/>
      <c r="O21" s="4226"/>
      <c r="P21" s="3676">
        <v>365</v>
      </c>
      <c r="Q21" s="3676"/>
      <c r="R21" s="3678">
        <f>ROUND(M21*N21*O21*P21/10000,0)</f>
        <v>0</v>
      </c>
      <c r="S21" s="2064"/>
      <c r="T21" s="2064"/>
      <c r="U21" s="2064"/>
      <c r="V21" s="2071"/>
    </row>
    <row r="22" spans="1:22" s="2075" customFormat="1" ht="13.15" customHeight="1">
      <c r="A22" s="2095"/>
      <c r="B22" s="2096"/>
      <c r="C22" s="2129" t="s">
        <v>2292</v>
      </c>
      <c r="D22" s="2130" t="s">
        <v>2293</v>
      </c>
      <c r="E22" s="2131" t="s">
        <v>2294</v>
      </c>
      <c r="F22" s="2124"/>
      <c r="G22" s="2064"/>
      <c r="H22" s="2070"/>
      <c r="I22" s="2071"/>
      <c r="J22" s="4579"/>
      <c r="K22" s="4581"/>
      <c r="L22" s="2101" t="s">
        <v>2295</v>
      </c>
      <c r="M22" s="3677"/>
      <c r="N22" s="3677"/>
      <c r="O22" s="4226"/>
      <c r="P22" s="3676">
        <v>365</v>
      </c>
      <c r="Q22" s="3676"/>
      <c r="R22" s="3678">
        <f>ROUND(M22*N22*O22*P22/10000,0)</f>
        <v>0</v>
      </c>
      <c r="S22" s="2064"/>
      <c r="T22" s="2064"/>
      <c r="U22" s="2064"/>
      <c r="V22" s="2071"/>
    </row>
    <row r="23" spans="1:22" s="2075" customFormat="1" ht="13.15" customHeight="1">
      <c r="A23" s="2132">
        <v>1</v>
      </c>
      <c r="B23" s="2133" t="s">
        <v>2296</v>
      </c>
      <c r="C23" s="2138">
        <f>D6</f>
        <v>0</v>
      </c>
      <c r="D23" s="3472">
        <f>C23*(1+D24)</f>
        <v>0</v>
      </c>
      <c r="E23" s="3473">
        <f>D23*(1+E24)</f>
        <v>0</v>
      </c>
      <c r="F23" s="2134"/>
      <c r="G23" s="2135"/>
      <c r="H23" s="2070"/>
      <c r="I23" s="2071"/>
      <c r="J23" s="4579"/>
      <c r="K23" s="4581"/>
      <c r="L23" s="2101" t="s">
        <v>2297</v>
      </c>
      <c r="M23" s="3677"/>
      <c r="N23" s="3677"/>
      <c r="O23" s="4226"/>
      <c r="P23" s="3676">
        <v>365</v>
      </c>
      <c r="Q23" s="3676"/>
      <c r="R23" s="3678">
        <f>ROUND(M23*N23*O23*P23/10000,0)</f>
        <v>0</v>
      </c>
      <c r="S23" s="2064"/>
      <c r="T23" s="2064"/>
      <c r="U23" s="2064"/>
      <c r="V23" s="2071"/>
    </row>
    <row r="24" spans="1:22" s="2075" customFormat="1" ht="13.15" customHeight="1">
      <c r="A24" s="2136"/>
      <c r="B24" s="2137" t="s">
        <v>2298</v>
      </c>
      <c r="C24" s="2138"/>
      <c r="D24" s="2139"/>
      <c r="E24" s="2140"/>
      <c r="F24" s="2141"/>
      <c r="G24" s="2135"/>
      <c r="H24" s="2070"/>
      <c r="I24" s="2071"/>
      <c r="J24" s="4579"/>
      <c r="K24" s="4582"/>
      <c r="L24" s="2115" t="s">
        <v>2262</v>
      </c>
      <c r="M24" s="2116">
        <f>SUM(M21:M23)</f>
        <v>0</v>
      </c>
      <c r="N24" s="2116"/>
      <c r="O24" s="2117"/>
      <c r="P24" s="2123" t="s">
        <v>2323</v>
      </c>
      <c r="Q24" s="2103">
        <v>0</v>
      </c>
      <c r="R24" s="3679">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2299</v>
      </c>
      <c r="L25" s="2144"/>
      <c r="M25" s="2144"/>
      <c r="N25" s="2144"/>
      <c r="O25" s="2144"/>
      <c r="P25" s="2145"/>
      <c r="Q25" s="2146">
        <v>0</v>
      </c>
      <c r="R25" s="3679">
        <f>ROUND(R14*Q25,0)</f>
        <v>0</v>
      </c>
      <c r="S25" s="2064"/>
      <c r="T25" s="2064"/>
      <c r="U25" s="2064"/>
      <c r="V25" s="2147"/>
    </row>
    <row r="26" spans="1:22" s="2148" customFormat="1" ht="13.15" customHeight="1">
      <c r="A26" s="2132">
        <v>2</v>
      </c>
      <c r="B26" s="2133" t="s">
        <v>2300</v>
      </c>
      <c r="C26" s="2138">
        <f>D7</f>
        <v>0</v>
      </c>
      <c r="D26" s="3458">
        <f>D23*D27</f>
        <v>0</v>
      </c>
      <c r="E26" s="3459">
        <f>E23*E27</f>
        <v>0</v>
      </c>
      <c r="F26" s="2134"/>
      <c r="G26" s="2135"/>
      <c r="H26" s="2070"/>
      <c r="I26" s="2071"/>
      <c r="J26" s="4590">
        <v>5</v>
      </c>
      <c r="K26" s="2149" t="s">
        <v>2301</v>
      </c>
      <c r="L26" s="2150"/>
      <c r="M26" s="2151"/>
      <c r="N26" s="2152" t="s">
        <v>2302</v>
      </c>
      <c r="O26" s="2152" t="s">
        <v>2303</v>
      </c>
      <c r="P26" s="2153" t="s">
        <v>2304</v>
      </c>
      <c r="Q26" s="2153" t="s">
        <v>2305</v>
      </c>
      <c r="R26" s="2079" t="s">
        <v>2235</v>
      </c>
      <c r="S26" s="2108"/>
      <c r="T26" s="2108"/>
      <c r="U26" s="2108"/>
      <c r="V26" s="2147"/>
    </row>
    <row r="27" spans="1:22" s="2075" customFormat="1" ht="13.15" customHeight="1">
      <c r="A27" s="2136"/>
      <c r="B27" s="2137" t="s">
        <v>2306</v>
      </c>
      <c r="C27" s="2154" t="e">
        <f>E7</f>
        <v>#DIV/0!</v>
      </c>
      <c r="D27" s="2139"/>
      <c r="E27" s="2140"/>
      <c r="F27" s="2141"/>
      <c r="G27" s="2135"/>
      <c r="H27" s="2155"/>
      <c r="I27" s="2147"/>
      <c r="J27" s="4591"/>
      <c r="K27" s="2156"/>
      <c r="L27" s="2157"/>
      <c r="M27" s="2158"/>
      <c r="N27" s="3477"/>
      <c r="O27" s="3477"/>
      <c r="P27" s="3477"/>
      <c r="Q27" s="4228"/>
      <c r="R27" s="3679">
        <f>ROUND(O27*N27*P27*(1-Q27)/10000,0)</f>
        <v>0</v>
      </c>
      <c r="S27" s="2064"/>
      <c r="T27" s="2064"/>
      <c r="U27" s="2064"/>
      <c r="V27" s="2071"/>
    </row>
    <row r="28" spans="1:22" s="2148" customFormat="1" ht="13.15" customHeight="1" thickBot="1">
      <c r="A28" s="2136"/>
      <c r="B28" s="2137"/>
      <c r="C28" s="2154"/>
      <c r="D28" s="2139"/>
      <c r="E28" s="2140" t="s">
        <v>2307</v>
      </c>
      <c r="F28" s="2141"/>
      <c r="G28" s="2064"/>
      <c r="H28" s="2155"/>
      <c r="I28" s="2147"/>
      <c r="J28" s="2159">
        <v>6</v>
      </c>
      <c r="K28" s="2160" t="s">
        <v>2308</v>
      </c>
      <c r="L28" s="2161" t="s">
        <v>2309</v>
      </c>
      <c r="M28" s="3479"/>
      <c r="N28" s="2161" t="s">
        <v>2310</v>
      </c>
      <c r="O28" s="2163"/>
      <c r="P28" s="2161" t="s">
        <v>2311</v>
      </c>
      <c r="Q28" s="2164">
        <v>1.4999999999999999E-2</v>
      </c>
      <c r="R28" s="3478"/>
      <c r="S28" s="2064"/>
      <c r="T28" s="2064"/>
      <c r="U28" s="2064"/>
      <c r="V28" s="2147"/>
    </row>
    <row r="29" spans="1:22" s="2148" customFormat="1" ht="13.15" customHeight="1">
      <c r="A29" s="2132">
        <v>3</v>
      </c>
      <c r="B29" s="2133" t="s">
        <v>2312</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2306</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2313</v>
      </c>
      <c r="K31" s="2062"/>
      <c r="L31" s="2062"/>
      <c r="M31" s="2062"/>
      <c r="N31" s="2062"/>
      <c r="O31" s="2062"/>
      <c r="P31" s="2062"/>
      <c r="Q31" s="2062"/>
      <c r="R31" s="2063"/>
      <c r="S31" s="2064"/>
      <c r="T31" s="2064"/>
      <c r="U31" s="2064"/>
      <c r="V31" s="2147"/>
    </row>
    <row r="32" spans="1:22" s="2148" customFormat="1" ht="13.15" customHeight="1">
      <c r="A32" s="2132">
        <v>4</v>
      </c>
      <c r="B32" s="2133" t="s">
        <v>2314</v>
      </c>
      <c r="C32" s="2138">
        <f>C23-C26-C29</f>
        <v>0</v>
      </c>
      <c r="D32" s="3458">
        <f>D23-D26-D29</f>
        <v>0</v>
      </c>
      <c r="E32" s="3459">
        <f>E23-E26-E29</f>
        <v>0</v>
      </c>
      <c r="F32" s="2134"/>
      <c r="G32" s="2064"/>
      <c r="H32" s="2070"/>
      <c r="I32" s="2071"/>
      <c r="J32" s="4572" t="s">
        <v>2212</v>
      </c>
      <c r="K32" s="4573"/>
      <c r="L32" s="2072" t="s">
        <v>2213</v>
      </c>
      <c r="M32" s="2072" t="s">
        <v>2214</v>
      </c>
      <c r="N32" s="2072" t="s">
        <v>2215</v>
      </c>
      <c r="O32" s="2072" t="s">
        <v>2216</v>
      </c>
      <c r="P32" s="2072" t="s">
        <v>2217</v>
      </c>
      <c r="Q32" s="2073" t="s">
        <v>2218</v>
      </c>
      <c r="R32" s="2167" t="s">
        <v>2219</v>
      </c>
      <c r="S32" s="2064"/>
      <c r="T32" s="2064"/>
      <c r="U32" s="2064"/>
      <c r="V32" s="2147"/>
    </row>
    <row r="33" spans="1:23" s="2075" customFormat="1" ht="13.15" customHeight="1">
      <c r="A33" s="2132"/>
      <c r="B33" s="2133"/>
      <c r="C33" s="2138"/>
      <c r="D33" s="3460"/>
      <c r="E33" s="3461"/>
      <c r="F33" s="2134"/>
      <c r="G33" s="2064"/>
      <c r="H33" s="2155"/>
      <c r="I33" s="2147"/>
      <c r="J33" s="4574" t="s">
        <v>2222</v>
      </c>
      <c r="K33" s="4575"/>
      <c r="L33" s="3480"/>
      <c r="M33" s="3480"/>
      <c r="N33" s="3480"/>
      <c r="O33" s="3480"/>
      <c r="P33" s="3480"/>
      <c r="Q33" s="3481"/>
      <c r="R33" s="3482">
        <f>SUM(L33:Q33)</f>
        <v>0</v>
      </c>
      <c r="S33" s="2064"/>
      <c r="T33" s="2064"/>
      <c r="U33" s="2064"/>
      <c r="V33" s="2071"/>
    </row>
    <row r="34" spans="1:23" s="2075" customFormat="1" ht="13.15" customHeight="1">
      <c r="A34" s="2132">
        <v>5</v>
      </c>
      <c r="B34" s="2133" t="s">
        <v>2315</v>
      </c>
      <c r="C34" s="3462"/>
      <c r="D34" s="3463"/>
      <c r="E34" s="3464"/>
      <c r="F34" s="2134"/>
      <c r="G34" s="2064"/>
      <c r="H34" s="2155"/>
      <c r="I34" s="2147"/>
      <c r="J34" s="4574" t="s">
        <v>2224</v>
      </c>
      <c r="K34" s="4575"/>
      <c r="L34" s="3483"/>
      <c r="M34" s="3483"/>
      <c r="N34" s="3483"/>
      <c r="O34" s="3483"/>
      <c r="P34" s="3483"/>
      <c r="Q34" s="3484"/>
      <c r="R34" s="3485">
        <f>SUM(L34:Q34)</f>
        <v>0</v>
      </c>
      <c r="S34" s="2064"/>
      <c r="T34" s="2064"/>
      <c r="U34" s="2064" t="e">
        <f>ROUND(R35*10000/365/R33,1)</f>
        <v>#DIV/0!</v>
      </c>
      <c r="V34" s="2071"/>
    </row>
    <row r="35" spans="1:23" s="2075" customFormat="1" ht="13.15" customHeight="1">
      <c r="A35" s="2132">
        <v>6</v>
      </c>
      <c r="B35" s="2133" t="s">
        <v>2316</v>
      </c>
      <c r="C35" s="2166"/>
      <c r="D35" s="2139"/>
      <c r="E35" s="2140"/>
      <c r="F35" s="2134"/>
      <c r="G35" s="2168"/>
      <c r="H35" s="2070"/>
      <c r="I35" s="2147"/>
      <c r="J35" s="2087" t="s">
        <v>2226</v>
      </c>
      <c r="K35" s="2088"/>
      <c r="L35" s="2088"/>
      <c r="M35" s="2089"/>
      <c r="N35" s="2089"/>
      <c r="O35" s="2089"/>
      <c r="P35" s="2089"/>
      <c r="Q35" s="2089"/>
      <c r="R35" s="2169">
        <f>R40+R41+R43</f>
        <v>0</v>
      </c>
      <c r="S35" s="2064"/>
      <c r="T35" s="2064" t="s">
        <v>2227</v>
      </c>
      <c r="U35" s="2064"/>
      <c r="V35" s="2071"/>
    </row>
    <row r="36" spans="1:23" s="2075" customFormat="1" ht="13.15" customHeight="1" thickBot="1">
      <c r="A36" s="2132">
        <v>7</v>
      </c>
      <c r="B36" s="2170" t="s">
        <v>2317</v>
      </c>
      <c r="C36" s="3465"/>
      <c r="D36" s="3466"/>
      <c r="E36" s="3467"/>
      <c r="F36" s="2171">
        <f>C36+D36+E36</f>
        <v>0</v>
      </c>
      <c r="G36" s="2064"/>
      <c r="H36" s="2070"/>
      <c r="I36" s="2071"/>
      <c r="J36" s="4579">
        <v>1</v>
      </c>
      <c r="K36" s="4580" t="s">
        <v>2318</v>
      </c>
      <c r="L36" s="2093"/>
      <c r="M36" s="2094"/>
      <c r="N36" s="2094"/>
      <c r="O36" s="2094"/>
      <c r="P36" s="2094"/>
      <c r="Q36" s="2094"/>
      <c r="R36" s="2079" t="s">
        <v>2235</v>
      </c>
      <c r="S36" s="2064"/>
      <c r="T36" s="2064" t="s">
        <v>2236</v>
      </c>
      <c r="U36" s="2064"/>
      <c r="V36" s="2071"/>
    </row>
    <row r="37" spans="1:23" s="2075" customFormat="1" ht="13.15" customHeight="1">
      <c r="A37" s="2132"/>
      <c r="B37" s="2133"/>
      <c r="C37" s="2137"/>
      <c r="D37" s="2137"/>
      <c r="E37" s="2137"/>
      <c r="F37" s="2134"/>
      <c r="G37" s="2064"/>
      <c r="H37" s="2070"/>
      <c r="I37" s="2071"/>
      <c r="J37" s="4579"/>
      <c r="K37" s="4581"/>
      <c r="L37" s="3486"/>
      <c r="M37" s="3474"/>
      <c r="N37" s="2113"/>
      <c r="O37" s="2113"/>
      <c r="P37" s="2113"/>
      <c r="Q37" s="2113"/>
      <c r="R37" s="3475"/>
      <c r="S37" s="2064"/>
      <c r="T37" s="2064" t="s">
        <v>2239</v>
      </c>
      <c r="U37" s="2064"/>
      <c r="V37" s="2071"/>
    </row>
    <row r="38" spans="1:23" s="2075" customFormat="1" ht="13.15" customHeight="1">
      <c r="A38" s="2132">
        <v>8</v>
      </c>
      <c r="B38" s="2133"/>
      <c r="C38" s="3445" t="e">
        <f>ROUND(C32*(1-((1+C35)/(1+C34))^C36)/(C34-C35),0)</f>
        <v>#DIV/0!</v>
      </c>
      <c r="D38" s="3445">
        <f>IF(D23=0,0,ROUND(D32*(1-((1+D35)/(1+D34))^D36)/(D34-D35),0))</f>
        <v>0</v>
      </c>
      <c r="E38" s="3445">
        <f>IF(E23=0,0,ROUND(E32*(1-((1+E35)/(1+E34))^E36)/(E34-E35),0))</f>
        <v>0</v>
      </c>
      <c r="F38" s="2134"/>
      <c r="G38" s="2064"/>
      <c r="H38" s="2070"/>
      <c r="I38" s="2071"/>
      <c r="J38" s="4579"/>
      <c r="K38" s="4581"/>
      <c r="L38" s="3486"/>
      <c r="M38" s="3474"/>
      <c r="N38" s="2113"/>
      <c r="O38" s="2113"/>
      <c r="P38" s="2113"/>
      <c r="Q38" s="2113"/>
      <c r="R38" s="3475"/>
      <c r="S38" s="2064"/>
      <c r="T38" s="2064" t="s">
        <v>2245</v>
      </c>
      <c r="U38" s="2064"/>
      <c r="V38" s="2071"/>
    </row>
    <row r="39" spans="1:23" s="2075" customFormat="1" ht="13.15" customHeight="1">
      <c r="A39" s="2132">
        <v>9</v>
      </c>
      <c r="B39" s="2133" t="s">
        <v>2319</v>
      </c>
      <c r="C39" s="3448" t="e">
        <f>C38</f>
        <v>#DIV/0!</v>
      </c>
      <c r="D39" s="3448">
        <f>IF(D23=0,0,D38/(1+D34)^C36)</f>
        <v>0</v>
      </c>
      <c r="E39" s="3448">
        <f>IF(E23=0,0,E38/(1+E34)^(C36+D36))</f>
        <v>0</v>
      </c>
      <c r="F39" s="2134"/>
      <c r="G39" s="2071"/>
      <c r="H39" s="2070"/>
      <c r="I39" s="2071"/>
      <c r="J39" s="4579"/>
      <c r="K39" s="4581"/>
      <c r="L39" s="3486"/>
      <c r="M39" s="3474"/>
      <c r="N39" s="2113"/>
      <c r="O39" s="2113"/>
      <c r="P39" s="2113"/>
      <c r="Q39" s="2113"/>
      <c r="R39" s="3475"/>
      <c r="S39" s="2064"/>
      <c r="T39" s="2064"/>
      <c r="U39" s="2064"/>
      <c r="V39" s="2071"/>
    </row>
    <row r="40" spans="1:23" s="2075" customFormat="1" ht="13.15" customHeight="1">
      <c r="A40" s="2172">
        <v>10</v>
      </c>
      <c r="B40" s="2133" t="s">
        <v>2320</v>
      </c>
      <c r="C40" s="3468" t="e">
        <f>C39+D39+E39</f>
        <v>#DIV/0!</v>
      </c>
      <c r="D40" s="3469"/>
      <c r="E40" s="3469"/>
      <c r="F40" s="2173"/>
      <c r="G40" s="2064"/>
      <c r="H40" s="2070"/>
      <c r="I40" s="2071"/>
      <c r="J40" s="4579"/>
      <c r="K40" s="4582"/>
      <c r="L40" s="2115" t="s">
        <v>2262</v>
      </c>
      <c r="M40" s="2116"/>
      <c r="N40" s="2116"/>
      <c r="O40" s="2117"/>
      <c r="P40" s="2117"/>
      <c r="Q40" s="3487"/>
      <c r="R40" s="3680">
        <f>SUM(R37:R39)</f>
        <v>0</v>
      </c>
      <c r="S40" s="2064"/>
      <c r="T40" s="2064"/>
      <c r="U40" s="2064"/>
      <c r="V40" s="2071"/>
    </row>
    <row r="41" spans="1:23" s="2075" customFormat="1" ht="13.15" customHeight="1" thickBot="1">
      <c r="A41" s="2174">
        <v>11</v>
      </c>
      <c r="B41" s="2175" t="s">
        <v>2321</v>
      </c>
      <c r="C41" s="3470" t="e">
        <f>ROUND(C40*10000/B4,0)</f>
        <v>#DIV/0!</v>
      </c>
      <c r="D41" s="3471"/>
      <c r="E41" s="3471"/>
      <c r="F41" s="2176"/>
      <c r="G41" s="2070"/>
      <c r="H41" s="2070"/>
      <c r="I41" s="2071"/>
      <c r="J41" s="2142">
        <v>2</v>
      </c>
      <c r="K41" s="2143" t="s">
        <v>2299</v>
      </c>
      <c r="L41" s="2144"/>
      <c r="M41" s="2144"/>
      <c r="N41" s="2144"/>
      <c r="O41" s="2144"/>
      <c r="P41" s="2145"/>
      <c r="Q41" s="3474"/>
      <c r="R41" s="3679">
        <f>ROUND(R40*Q41,0)</f>
        <v>0</v>
      </c>
      <c r="S41" s="2064"/>
      <c r="T41" s="2064"/>
      <c r="U41" s="2108"/>
      <c r="V41" s="2071"/>
    </row>
    <row r="42" spans="1:23" s="2075" customFormat="1" ht="13.15" customHeight="1">
      <c r="G42" s="2070"/>
      <c r="H42" s="2070"/>
      <c r="I42" s="2071"/>
      <c r="J42" s="4590">
        <v>3</v>
      </c>
      <c r="K42" s="2149" t="s">
        <v>2301</v>
      </c>
      <c r="L42" s="2150"/>
      <c r="M42" s="2151"/>
      <c r="N42" s="2152" t="s">
        <v>2302</v>
      </c>
      <c r="O42" s="2152" t="s">
        <v>2303</v>
      </c>
      <c r="P42" s="2153" t="s">
        <v>2304</v>
      </c>
      <c r="Q42" s="2153" t="s">
        <v>2305</v>
      </c>
      <c r="R42" s="2079" t="s">
        <v>2235</v>
      </c>
      <c r="S42" s="2108"/>
      <c r="T42" s="2108"/>
      <c r="U42" s="2064"/>
      <c r="V42" s="2071"/>
    </row>
    <row r="43" spans="1:23" ht="13.15" customHeight="1">
      <c r="A43" s="2075"/>
      <c r="B43" s="2075"/>
      <c r="C43" s="2075"/>
      <c r="D43" s="2075"/>
      <c r="E43" s="2075"/>
      <c r="F43" s="2075"/>
      <c r="G43" s="2070"/>
      <c r="H43" s="2070"/>
      <c r="I43" s="2059"/>
      <c r="J43" s="4591"/>
      <c r="K43" s="2156"/>
      <c r="L43" s="2157"/>
      <c r="M43" s="2158"/>
      <c r="N43" s="3474"/>
      <c r="O43" s="3474"/>
      <c r="P43" s="3474"/>
      <c r="Q43" s="3474"/>
      <c r="R43" s="3679">
        <f>ROUND(O43*N43*P43*(1-Q43)/10000,0)</f>
        <v>0</v>
      </c>
      <c r="S43" s="2064"/>
      <c r="T43" s="2064"/>
      <c r="V43" s="2177"/>
      <c r="W43" s="2178"/>
    </row>
    <row r="44" spans="1:23" ht="13.15" customHeight="1" thickBot="1">
      <c r="A44" s="2075"/>
      <c r="B44" s="2075"/>
      <c r="C44" s="2075"/>
      <c r="D44" s="2075"/>
      <c r="E44" s="2075"/>
      <c r="F44" s="2075"/>
      <c r="G44" s="2070"/>
      <c r="H44" s="2070"/>
      <c r="J44" s="2159">
        <v>6</v>
      </c>
      <c r="K44" s="2160" t="s">
        <v>2308</v>
      </c>
      <c r="L44" s="2179" t="s">
        <v>2309</v>
      </c>
      <c r="M44" s="3479"/>
      <c r="N44" s="2179" t="s">
        <v>2310</v>
      </c>
      <c r="O44" s="2162"/>
      <c r="P44" s="2179" t="s">
        <v>2311</v>
      </c>
      <c r="Q44" s="2164">
        <v>1.4999999999999999E-2</v>
      </c>
      <c r="R44" s="3478"/>
    </row>
    <row r="45" spans="1:23" ht="13.15" customHeight="1" thickBot="1">
      <c r="A45" s="2075"/>
      <c r="B45" s="2075"/>
      <c r="C45" s="2075"/>
      <c r="D45" s="2075"/>
      <c r="E45" s="2075"/>
      <c r="F45" s="2075"/>
      <c r="G45" s="2070"/>
      <c r="H45" s="2070"/>
    </row>
    <row r="46" spans="1:23" ht="15">
      <c r="A46" s="2075"/>
      <c r="B46" s="2075"/>
      <c r="C46" s="3584" t="s">
        <v>3717</v>
      </c>
      <c r="D46" s="3585" t="s">
        <v>3788</v>
      </c>
      <c r="E46" s="3958">
        <f>ROUND(D6*G46,0)</f>
        <v>0</v>
      </c>
      <c r="F46" s="3596" t="s">
        <v>3777</v>
      </c>
      <c r="G46" s="3959">
        <v>0.05</v>
      </c>
      <c r="H46" s="2075"/>
      <c r="I46" s="2178"/>
    </row>
    <row r="47" spans="1:23" ht="13.15" customHeight="1">
      <c r="A47" s="2075"/>
      <c r="B47" s="2075"/>
      <c r="C47" s="3586" t="s">
        <v>3718</v>
      </c>
      <c r="D47" s="3587" t="s">
        <v>3719</v>
      </c>
      <c r="E47" s="4066" t="s">
        <v>3953</v>
      </c>
      <c r="F47" s="3597" t="s">
        <v>3720</v>
      </c>
      <c r="G47" s="3598" t="s">
        <v>3721</v>
      </c>
      <c r="H47" s="2065"/>
      <c r="I47" s="2178"/>
    </row>
    <row r="48" spans="1:23" ht="13.15" customHeight="1">
      <c r="C48" s="3588">
        <v>1</v>
      </c>
      <c r="D48" s="3587" t="s">
        <v>3722</v>
      </c>
      <c r="E48" s="3608">
        <f>E49-E54</f>
        <v>0</v>
      </c>
      <c r="F48" s="3587"/>
      <c r="G48" s="3598"/>
      <c r="H48" s="2065"/>
      <c r="I48" s="2178"/>
    </row>
    <row r="49" spans="1:9" ht="13.15" customHeight="1">
      <c r="C49" s="3588">
        <v>2</v>
      </c>
      <c r="D49" s="3587" t="s">
        <v>3723</v>
      </c>
      <c r="E49" s="3608">
        <f>SUM(E50:E53)</f>
        <v>0</v>
      </c>
      <c r="F49" s="3587"/>
      <c r="G49" s="3953"/>
      <c r="H49" s="2065"/>
      <c r="I49" s="2178"/>
    </row>
    <row r="50" spans="1:9" ht="13.15" customHeight="1">
      <c r="C50" s="3589" t="s">
        <v>3739</v>
      </c>
      <c r="D50" s="3590" t="s">
        <v>3724</v>
      </c>
      <c r="E50" s="3609">
        <f>R14*G50/(1+G50)</f>
        <v>0</v>
      </c>
      <c r="F50" s="3599" t="s">
        <v>3740</v>
      </c>
      <c r="G50" s="3954">
        <v>0.06</v>
      </c>
      <c r="H50" s="2065"/>
      <c r="I50" s="2178"/>
    </row>
    <row r="51" spans="1:9" ht="13.15" customHeight="1">
      <c r="C51" s="3589" t="s">
        <v>3741</v>
      </c>
      <c r="D51" s="3590" t="s">
        <v>3725</v>
      </c>
      <c r="E51" s="3609">
        <f>R19*G51/(1+G51)</f>
        <v>0</v>
      </c>
      <c r="F51" s="3599" t="s">
        <v>3742</v>
      </c>
      <c r="G51" s="3954">
        <v>0.06</v>
      </c>
      <c r="H51" s="2065"/>
      <c r="I51" s="2178"/>
    </row>
    <row r="52" spans="1:9" ht="13.15" customHeight="1">
      <c r="C52" s="3589" t="s">
        <v>3743</v>
      </c>
      <c r="D52" s="3590" t="s">
        <v>3726</v>
      </c>
      <c r="E52" s="3609">
        <f>R24*G52/(1+R24)</f>
        <v>0</v>
      </c>
      <c r="F52" s="3599" t="s">
        <v>3727</v>
      </c>
      <c r="G52" s="3954">
        <v>0.09</v>
      </c>
      <c r="H52" s="2065"/>
      <c r="I52" s="2178"/>
    </row>
    <row r="53" spans="1:9" ht="13.15" customHeight="1">
      <c r="C53" s="3589" t="s">
        <v>3744</v>
      </c>
      <c r="D53" s="3590" t="s">
        <v>3728</v>
      </c>
      <c r="E53" s="3609">
        <f>R27*G53/(1+G53)</f>
        <v>0</v>
      </c>
      <c r="F53" s="3599" t="s">
        <v>3727</v>
      </c>
      <c r="G53" s="3954">
        <v>0.09</v>
      </c>
      <c r="H53" s="2065"/>
      <c r="I53" s="2178"/>
    </row>
    <row r="54" spans="1:9" ht="13.15" customHeight="1">
      <c r="A54" s="2065" t="s">
        <v>3772</v>
      </c>
      <c r="B54" s="2178"/>
      <c r="C54" s="3588">
        <v>3</v>
      </c>
      <c r="D54" s="3587" t="s">
        <v>3729</v>
      </c>
      <c r="E54" s="3608">
        <f>E55+E56+E60</f>
        <v>0</v>
      </c>
      <c r="F54" s="3587"/>
      <c r="G54" s="3953"/>
      <c r="H54" s="2065"/>
      <c r="I54" s="2178"/>
    </row>
    <row r="55" spans="1:9" ht="13.15" customHeight="1">
      <c r="A55" s="3580">
        <v>0.05</v>
      </c>
      <c r="B55" s="3581" t="s">
        <v>3776</v>
      </c>
      <c r="C55" s="3589" t="s">
        <v>3739</v>
      </c>
      <c r="D55" s="3590" t="s">
        <v>3730</v>
      </c>
      <c r="E55" s="3609">
        <f>D9*G55/(1+G55)</f>
        <v>0</v>
      </c>
      <c r="F55" s="3601" t="s">
        <v>3778</v>
      </c>
      <c r="G55" s="3954">
        <v>0.13</v>
      </c>
      <c r="H55" s="2065"/>
      <c r="I55" s="2178"/>
    </row>
    <row r="56" spans="1:9" ht="13.15" customHeight="1">
      <c r="A56" s="3580">
        <f>SUM(A57:A59)</f>
        <v>0.39</v>
      </c>
      <c r="B56" s="3581"/>
      <c r="C56" s="3589" t="s">
        <v>3741</v>
      </c>
      <c r="D56" s="3590" t="s">
        <v>3731</v>
      </c>
      <c r="E56" s="3609">
        <f>SUM(E57:E59)</f>
        <v>0</v>
      </c>
      <c r="F56" s="3599"/>
      <c r="G56" s="3602"/>
      <c r="H56" s="2065" t="s">
        <v>3785</v>
      </c>
      <c r="I56" s="2065" t="s">
        <v>3786</v>
      </c>
    </row>
    <row r="57" spans="1:9" ht="13.15" customHeight="1">
      <c r="A57" s="3580">
        <v>0.25</v>
      </c>
      <c r="B57" s="3581" t="s">
        <v>3773</v>
      </c>
      <c r="C57" s="3591" t="s">
        <v>3732</v>
      </c>
      <c r="D57" s="3592" t="s">
        <v>3733</v>
      </c>
      <c r="E57" s="3610">
        <v>0</v>
      </c>
      <c r="F57" s="3603"/>
      <c r="G57" s="3604" t="s">
        <v>3734</v>
      </c>
      <c r="H57" s="3576">
        <v>0.65</v>
      </c>
      <c r="I57" s="3582">
        <f>A57/SUM(A57:A59)</f>
        <v>0.64102564102564097</v>
      </c>
    </row>
    <row r="58" spans="1:9" ht="13.15" customHeight="1">
      <c r="A58" s="3580">
        <v>0.06</v>
      </c>
      <c r="B58" s="3581" t="s">
        <v>3774</v>
      </c>
      <c r="C58" s="3591" t="s">
        <v>3735</v>
      </c>
      <c r="D58" s="3593" t="s">
        <v>3780</v>
      </c>
      <c r="E58" s="3610">
        <f>D10*H58*G58/(1+G58)</f>
        <v>0</v>
      </c>
      <c r="F58" s="3603" t="s">
        <v>3745</v>
      </c>
      <c r="G58" s="3955">
        <v>0.09</v>
      </c>
      <c r="H58" s="3576">
        <v>0.15</v>
      </c>
      <c r="I58" s="3582">
        <f>A58/SUM(A57:A59)</f>
        <v>0.15384615384615383</v>
      </c>
    </row>
    <row r="59" spans="1:9" ht="13.15" customHeight="1">
      <c r="A59" s="3580">
        <v>0.08</v>
      </c>
      <c r="B59" s="3581" t="s">
        <v>3775</v>
      </c>
      <c r="C59" s="3591" t="s">
        <v>3736</v>
      </c>
      <c r="D59" s="3592" t="s">
        <v>3746</v>
      </c>
      <c r="E59" s="3610">
        <f>D10*H59*G59/(1+G59)</f>
        <v>0</v>
      </c>
      <c r="F59" s="3603" t="s">
        <v>3747</v>
      </c>
      <c r="G59" s="3955">
        <v>0.06</v>
      </c>
      <c r="H59" s="3576">
        <v>0.2</v>
      </c>
      <c r="I59" s="3582">
        <f>1-I57-I58</f>
        <v>0.2051282051282052</v>
      </c>
    </row>
    <row r="60" spans="1:9" ht="13.15" customHeight="1">
      <c r="A60" s="3580">
        <f>SUM(A61:A62)</f>
        <v>0.1</v>
      </c>
      <c r="B60" s="3581"/>
      <c r="C60" s="3589" t="s">
        <v>3743</v>
      </c>
      <c r="D60" s="3590" t="s">
        <v>3748</v>
      </c>
      <c r="E60" s="3609">
        <f>SUM(E61:E62)</f>
        <v>0</v>
      </c>
      <c r="F60" s="3599"/>
      <c r="G60" s="3956"/>
      <c r="I60" s="2178"/>
    </row>
    <row r="61" spans="1:9" ht="13.15" customHeight="1">
      <c r="A61" s="3580">
        <v>0.05</v>
      </c>
      <c r="B61" s="3581" t="s">
        <v>3776</v>
      </c>
      <c r="C61" s="3591" t="s">
        <v>3749</v>
      </c>
      <c r="D61" s="3592" t="s">
        <v>3750</v>
      </c>
      <c r="E61" s="3610">
        <f>D17*H61*G61/(1+G61)</f>
        <v>0</v>
      </c>
      <c r="F61" s="3603" t="s">
        <v>3747</v>
      </c>
      <c r="G61" s="3955">
        <v>0.06</v>
      </c>
      <c r="H61" s="3576">
        <v>0.5</v>
      </c>
      <c r="I61" s="2178"/>
    </row>
    <row r="62" spans="1:9" ht="13.15" customHeight="1" thickBot="1">
      <c r="A62" s="3580">
        <v>0.05</v>
      </c>
      <c r="B62" s="3581" t="s">
        <v>3777</v>
      </c>
      <c r="C62" s="3594" t="s">
        <v>3735</v>
      </c>
      <c r="D62" s="3595" t="s">
        <v>3751</v>
      </c>
      <c r="E62" s="3611">
        <f>D17*H62*G62/(1+G62)</f>
        <v>0</v>
      </c>
      <c r="F62" s="3606" t="s">
        <v>3752</v>
      </c>
      <c r="G62" s="3957">
        <v>0.09</v>
      </c>
      <c r="H62" s="3576">
        <v>0.5</v>
      </c>
      <c r="I62" s="2178"/>
    </row>
    <row r="63" spans="1:9" ht="13.15" customHeight="1">
      <c r="A63" s="3580">
        <f>A55+A56+A60</f>
        <v>0.54</v>
      </c>
      <c r="B63" s="3581"/>
      <c r="C63" s="2178"/>
      <c r="D63" s="3581"/>
      <c r="E63" s="3581"/>
      <c r="F63" s="2178"/>
      <c r="G63" s="2178"/>
      <c r="H63" s="2065"/>
      <c r="I63" s="2065"/>
    </row>
    <row r="64" spans="1:9" ht="13.15" customHeight="1" thickBot="1">
      <c r="C64" s="2178"/>
      <c r="D64" s="2178"/>
      <c r="E64" s="2178"/>
      <c r="F64" s="2178"/>
      <c r="G64" s="2178"/>
      <c r="H64" s="2065"/>
      <c r="I64" s="2178"/>
    </row>
    <row r="65" spans="1:9" ht="15">
      <c r="C65" s="3584" t="s">
        <v>3753</v>
      </c>
      <c r="D65" s="3585" t="s">
        <v>3788</v>
      </c>
      <c r="E65" s="3958">
        <f>ROUND(D6*G65,0)</f>
        <v>0</v>
      </c>
      <c r="F65" s="3596" t="s">
        <v>3789</v>
      </c>
      <c r="G65" s="3959">
        <v>0.03</v>
      </c>
      <c r="H65" s="2065"/>
      <c r="I65" s="2178"/>
    </row>
    <row r="66" spans="1:9" ht="12.75">
      <c r="C66" s="3586" t="s">
        <v>3754</v>
      </c>
      <c r="D66" s="3587" t="s">
        <v>3755</v>
      </c>
      <c r="E66" s="4066" t="s">
        <v>3953</v>
      </c>
      <c r="F66" s="3597" t="s">
        <v>3756</v>
      </c>
      <c r="G66" s="3598" t="s">
        <v>3757</v>
      </c>
      <c r="H66" s="2065"/>
      <c r="I66" s="2178"/>
    </row>
    <row r="67" spans="1:9" ht="12">
      <c r="C67" s="3588">
        <v>1</v>
      </c>
      <c r="D67" s="3587" t="s">
        <v>3758</v>
      </c>
      <c r="E67" s="3612">
        <f>E68-E73</f>
        <v>0</v>
      </c>
      <c r="F67" s="3587"/>
      <c r="G67" s="3598"/>
      <c r="H67" s="2065"/>
      <c r="I67" s="2178"/>
    </row>
    <row r="68" spans="1:9" ht="13.15" customHeight="1">
      <c r="C68" s="3613">
        <v>2</v>
      </c>
      <c r="D68" s="3587" t="s">
        <v>3759</v>
      </c>
      <c r="E68" s="3612">
        <f>SUM(E69:E70)</f>
        <v>0</v>
      </c>
      <c r="F68" s="3587"/>
      <c r="G68" s="3598"/>
      <c r="H68" s="2065"/>
      <c r="I68" s="2178"/>
    </row>
    <row r="69" spans="1:9" ht="13.15" customHeight="1">
      <c r="C69" s="3589" t="s">
        <v>3760</v>
      </c>
      <c r="D69" s="3590" t="s">
        <v>3761</v>
      </c>
      <c r="E69" s="3590"/>
      <c r="F69" s="3599" t="s">
        <v>3762</v>
      </c>
      <c r="G69" s="3600">
        <v>0.09</v>
      </c>
      <c r="H69" s="2065"/>
      <c r="I69" s="2178"/>
    </row>
    <row r="70" spans="1:9" ht="13.15" customHeight="1">
      <c r="C70" s="3589" t="s">
        <v>3741</v>
      </c>
      <c r="D70" s="3590" t="s">
        <v>3763</v>
      </c>
      <c r="E70" s="3590"/>
      <c r="F70" s="3599" t="s">
        <v>3764</v>
      </c>
      <c r="G70" s="3600">
        <v>0.06</v>
      </c>
      <c r="H70" s="2065"/>
      <c r="I70" s="2178"/>
    </row>
    <row r="71" spans="1:9" ht="13.15" customHeight="1">
      <c r="A71" s="2065" t="s">
        <v>3779</v>
      </c>
      <c r="C71" s="3613">
        <v>3</v>
      </c>
      <c r="D71" s="3587" t="s">
        <v>3765</v>
      </c>
      <c r="E71" s="3612">
        <f>E72+E77</f>
        <v>0</v>
      </c>
      <c r="F71" s="3587"/>
      <c r="G71" s="3598"/>
      <c r="H71" s="2065"/>
      <c r="I71" s="2178"/>
    </row>
    <row r="72" spans="1:9" ht="13.15" customHeight="1">
      <c r="A72" s="3580">
        <v>0.05</v>
      </c>
      <c r="B72" s="3583"/>
      <c r="C72" s="3589" t="s">
        <v>3760</v>
      </c>
      <c r="D72" s="3590" t="s">
        <v>3766</v>
      </c>
      <c r="E72" s="3590">
        <f>D9*G72/(1+G72)</f>
        <v>0</v>
      </c>
      <c r="F72" s="3601" t="s">
        <v>3778</v>
      </c>
      <c r="G72" s="3600">
        <v>0.13</v>
      </c>
      <c r="H72" s="2065"/>
      <c r="I72" s="2178"/>
    </row>
    <row r="73" spans="1:9" ht="13.15" customHeight="1">
      <c r="A73" s="3580">
        <f>SUM(A74:A76)</f>
        <v>0.2</v>
      </c>
      <c r="B73" s="3583"/>
      <c r="C73" s="3589" t="s">
        <v>3741</v>
      </c>
      <c r="D73" s="3590" t="s">
        <v>3767</v>
      </c>
      <c r="E73" s="3590">
        <f>SUM(E74:E76)</f>
        <v>0</v>
      </c>
      <c r="F73" s="3599"/>
      <c r="G73" s="3602"/>
      <c r="H73" s="2065" t="s">
        <v>3785</v>
      </c>
      <c r="I73" s="2065" t="s">
        <v>3786</v>
      </c>
    </row>
    <row r="74" spans="1:9" ht="13.15" customHeight="1">
      <c r="A74" s="3580">
        <v>0.05</v>
      </c>
      <c r="B74" s="3583" t="s">
        <v>3783</v>
      </c>
      <c r="C74" s="3614" t="s">
        <v>3768</v>
      </c>
      <c r="D74" s="3592" t="s">
        <v>3769</v>
      </c>
      <c r="E74" s="3592">
        <v>0</v>
      </c>
      <c r="F74" s="3603"/>
      <c r="G74" s="3604" t="s">
        <v>3770</v>
      </c>
      <c r="H74" s="3576">
        <v>0.25</v>
      </c>
      <c r="I74" s="3582">
        <f>A74/SUM(A74:A76)</f>
        <v>0.25</v>
      </c>
    </row>
    <row r="75" spans="1:9" ht="13.15" customHeight="1">
      <c r="A75" s="3580">
        <v>0.1</v>
      </c>
      <c r="B75" s="3583" t="s">
        <v>3781</v>
      </c>
      <c r="C75" s="3614" t="s">
        <v>3737</v>
      </c>
      <c r="D75" s="3593" t="s">
        <v>3780</v>
      </c>
      <c r="E75" s="3592">
        <f>D10*H75*G75/(1+G75)</f>
        <v>0</v>
      </c>
      <c r="F75" s="3603" t="s">
        <v>3771</v>
      </c>
      <c r="G75" s="3605">
        <v>0.09</v>
      </c>
      <c r="H75" s="3576">
        <v>0.5</v>
      </c>
      <c r="I75" s="3582">
        <f>A75/SUM(A74:A76)</f>
        <v>0.5</v>
      </c>
    </row>
    <row r="76" spans="1:9" ht="13.15" customHeight="1">
      <c r="A76" s="3580">
        <v>0.05</v>
      </c>
      <c r="B76" s="3583" t="s">
        <v>3784</v>
      </c>
      <c r="C76" s="3614" t="s">
        <v>3738</v>
      </c>
      <c r="D76" s="3592" t="s">
        <v>3746</v>
      </c>
      <c r="E76" s="3592">
        <f>D10*H76*G76/(1+G76)</f>
        <v>0</v>
      </c>
      <c r="F76" s="3603" t="s">
        <v>3747</v>
      </c>
      <c r="G76" s="3605">
        <v>0.06</v>
      </c>
      <c r="H76" s="3576">
        <v>0.25</v>
      </c>
      <c r="I76" s="3582">
        <f>1-I74-I75</f>
        <v>0.25</v>
      </c>
    </row>
    <row r="77" spans="1:9" ht="13.15" customHeight="1">
      <c r="A77" s="3580">
        <f>SUM(A78:A79)</f>
        <v>0.1</v>
      </c>
      <c r="B77" s="3583"/>
      <c r="C77" s="3589" t="s">
        <v>3743</v>
      </c>
      <c r="D77" s="3590" t="s">
        <v>3748</v>
      </c>
      <c r="E77" s="3590">
        <f>SUM(E78:E79)</f>
        <v>0</v>
      </c>
      <c r="F77" s="3599"/>
      <c r="G77" s="3602"/>
      <c r="I77" s="2178"/>
    </row>
    <row r="78" spans="1:9" ht="13.15" customHeight="1">
      <c r="A78" s="3580">
        <v>0.05</v>
      </c>
      <c r="B78" s="3583" t="s">
        <v>3774</v>
      </c>
      <c r="C78" s="3614" t="s">
        <v>3768</v>
      </c>
      <c r="D78" s="3592" t="s">
        <v>3750</v>
      </c>
      <c r="E78" s="3592">
        <f>D17*H78*G78/(1+G78)</f>
        <v>0</v>
      </c>
      <c r="F78" s="3603" t="s">
        <v>3747</v>
      </c>
      <c r="G78" s="3605">
        <v>0.06</v>
      </c>
      <c r="H78" s="3576">
        <v>0.5</v>
      </c>
      <c r="I78" s="2178"/>
    </row>
    <row r="79" spans="1:9" ht="13.15" customHeight="1" thickBot="1">
      <c r="A79" s="3580">
        <v>0.05</v>
      </c>
      <c r="B79" s="3583" t="s">
        <v>3782</v>
      </c>
      <c r="C79" s="3615" t="s">
        <v>3737</v>
      </c>
      <c r="D79" s="3595" t="s">
        <v>3751</v>
      </c>
      <c r="E79" s="3595">
        <f>D17*H79*G79/(1+G79)</f>
        <v>0</v>
      </c>
      <c r="F79" s="3606" t="s">
        <v>3752</v>
      </c>
      <c r="G79" s="3607">
        <v>0.09</v>
      </c>
      <c r="H79" s="3576">
        <v>0.5</v>
      </c>
      <c r="I79" s="2178"/>
    </row>
    <row r="80" spans="1:9" ht="13.15" customHeight="1">
      <c r="A80" s="3580">
        <f>A72+A73+A77</f>
        <v>0.35</v>
      </c>
      <c r="B80" s="3583"/>
      <c r="G80" s="2065"/>
      <c r="H80" s="2065"/>
      <c r="I80" s="2178"/>
    </row>
    <row r="81" spans="7:9" ht="13.15"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516.61890000000005</v>
      </c>
      <c r="C2" s="1347" t="s">
        <v>1558</v>
      </c>
      <c r="D2" s="1348" t="s">
        <v>1559</v>
      </c>
      <c r="E2" s="2877">
        <f>SUM(E6:E13)</f>
        <v>498.23</v>
      </c>
      <c r="F2" s="1966"/>
      <c r="G2" s="1032"/>
      <c r="H2" s="1032"/>
      <c r="I2" s="1032"/>
      <c r="J2" s="1032"/>
      <c r="K2" s="1032"/>
      <c r="L2" s="1032"/>
      <c r="M2" s="1032"/>
      <c r="N2" s="1032"/>
      <c r="O2" s="1032"/>
      <c r="P2" s="1032"/>
      <c r="Q2" s="1032"/>
      <c r="R2" s="1032"/>
      <c r="S2" s="1032"/>
    </row>
    <row r="3" spans="1:22" ht="15.75">
      <c r="A3" s="1346" t="s">
        <v>672</v>
      </c>
      <c r="B3" s="2876">
        <f ca="1">ROUND(B2*10000/E2,0)</f>
        <v>10369</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92" t="s">
        <v>1561</v>
      </c>
      <c r="C5" s="4593"/>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27">
        <f ca="1">IF(F6="是",'数据-取费表'!AO6,0)</f>
        <v>516.61890000000005</v>
      </c>
      <c r="C6" s="1347" t="s">
        <v>1558</v>
      </c>
      <c r="D6" s="1966"/>
      <c r="E6" s="2878">
        <f>IF(OR(A6=0,F6="否"),0,'数据-取费表'!K6+'数据-取费表'!S6)</f>
        <v>498.23</v>
      </c>
      <c r="F6" s="1350" t="s">
        <v>1564</v>
      </c>
      <c r="G6" s="1032"/>
      <c r="H6" s="1032"/>
      <c r="I6" s="1032"/>
      <c r="J6" s="1032"/>
      <c r="K6" s="1032"/>
      <c r="L6" s="1032"/>
      <c r="M6" s="1032"/>
      <c r="N6" s="1032"/>
      <c r="O6" s="1032"/>
      <c r="P6" s="1032"/>
      <c r="Q6" s="1032"/>
      <c r="R6" s="1032"/>
      <c r="S6" s="1032"/>
    </row>
    <row r="7" spans="1:22">
      <c r="A7" s="1882">
        <f>'数据-取费表'!AN7</f>
        <v>0</v>
      </c>
      <c r="B7" s="3627"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7"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7"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7"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7"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7"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27"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7" t="s">
        <v>1991</v>
      </c>
      <c r="D1" s="4598"/>
      <c r="E1" s="4598"/>
      <c r="F1" s="4598"/>
      <c r="G1" s="4598"/>
      <c r="H1" s="4598"/>
      <c r="I1" s="4598"/>
      <c r="J1" s="4598"/>
      <c r="K1" s="4598"/>
      <c r="L1" s="4598"/>
      <c r="M1" s="4598"/>
      <c r="N1" s="4598"/>
      <c r="O1" s="4598"/>
      <c r="P1" s="4598"/>
      <c r="Q1" s="4598"/>
      <c r="R1" s="4598"/>
      <c r="S1" s="459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2000</v>
      </c>
      <c r="B17" s="1576" t="s">
        <v>2001</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7" t="s">
        <v>2002</v>
      </c>
      <c r="E19" s="896"/>
      <c r="F19" s="896"/>
      <c r="G19" s="896"/>
      <c r="H19" s="701"/>
      <c r="I19" s="60"/>
      <c r="J19" s="60"/>
      <c r="K19" s="60"/>
      <c r="L19" s="60"/>
      <c r="M19" s="60"/>
      <c r="N19" s="60"/>
      <c r="O19" s="60"/>
      <c r="P19" s="60"/>
      <c r="Q19" s="60"/>
      <c r="R19" s="60"/>
      <c r="S19" s="47"/>
    </row>
    <row r="20" spans="1:45" ht="16.5" thickBot="1">
      <c r="A20" s="461" t="s">
        <v>2003</v>
      </c>
      <c r="B20" s="3183" t="e">
        <f ca="1">IF(D20="——",S22,S22-F20)</f>
        <v>#REF!</v>
      </c>
      <c r="C20" s="60"/>
      <c r="D20" s="1578"/>
      <c r="E20" s="897"/>
      <c r="F20" s="3182" t="e">
        <f ca="1">SUMIF(INDIRECT("'"&amp;H20&amp;"'"&amp;"!A:A"),"承租人权益价值",INDIRECT("'"&amp;H20&amp;"'"&amp;"!c:c"))</f>
        <v>#REF!</v>
      </c>
      <c r="G20" s="659" t="s">
        <v>2004</v>
      </c>
      <c r="H20" s="1579"/>
      <c r="I20" s="60"/>
      <c r="J20" s="60"/>
      <c r="K20" s="60"/>
      <c r="L20" s="60"/>
      <c r="M20" s="60"/>
      <c r="N20" s="60"/>
      <c r="O20" s="60"/>
      <c r="P20" s="60"/>
      <c r="Q20" s="60"/>
      <c r="R20" s="60"/>
      <c r="S20" s="47"/>
    </row>
    <row r="21" spans="1:45" ht="15.75">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4" t="s">
        <v>25</v>
      </c>
      <c r="D22" s="4595"/>
      <c r="E22" s="4595"/>
      <c r="F22" s="4595"/>
      <c r="G22" s="4595"/>
      <c r="H22" s="4595"/>
      <c r="I22" s="4595"/>
      <c r="J22" s="4595"/>
      <c r="K22" s="4595"/>
      <c r="L22" s="4595"/>
      <c r="M22" s="4595"/>
      <c r="N22" s="4595"/>
      <c r="O22" s="4595"/>
      <c r="P22" s="4595"/>
      <c r="Q22" s="4596"/>
      <c r="R22" s="2664" t="e">
        <f>ROUND(S22*10000/B22,0)</f>
        <v>#DIV/0!</v>
      </c>
      <c r="S22" s="2664">
        <f>SUM(S24:S10000)</f>
        <v>0</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估价对象为北京市房地产，为所有。根据《国有土地使用证》[]，估价对象（分摊）出让国有建设用地使用权面积为0平方米，建筑面积为498.23平方米。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估价对象为北京市房地产,属开发建设的办公项目，该项目尚在开发建设中。根据《国有土地使用证》[]，估价对象（分摊）出让国有建设用地使用权面积为0平方米，规划建筑面积为498.23平方米。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3"/>
      <c r="D2" s="3714" t="b">
        <f>IF(E1="项目模式",IF(E2="——",ROUND(C49*D3/10000,0),ROUND(C49*D3/10000,0)-F2),IF(E1="单套模式",IF(E2="——",ROUND(C49*D3/10000,4),ROUND(C49*D3/10000,4)-F2)))</f>
        <v>0</v>
      </c>
      <c r="E2" s="2790"/>
      <c r="F2" s="3715"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498.23</v>
      </c>
      <c r="E3" s="3203"/>
      <c r="F3" s="3844">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1" t="s">
        <v>1574</v>
      </c>
      <c r="D4" s="4612"/>
      <c r="E4" s="4613" t="s">
        <v>1575</v>
      </c>
      <c r="F4" s="4614"/>
      <c r="G4" s="4611" t="s">
        <v>1576</v>
      </c>
      <c r="H4" s="4612"/>
      <c r="I4" s="4611" t="s">
        <v>1577</v>
      </c>
      <c r="J4" s="4612"/>
      <c r="K4" s="2808" t="s">
        <v>1578</v>
      </c>
      <c r="L4" s="1973"/>
      <c r="M4" s="1974"/>
      <c r="N4" s="1974"/>
      <c r="O4" s="1974"/>
      <c r="P4" s="4615" t="s">
        <v>1579</v>
      </c>
      <c r="Q4" s="4616"/>
      <c r="R4" s="4601" t="s">
        <v>1575</v>
      </c>
      <c r="S4" s="4602"/>
      <c r="T4" s="4601" t="s">
        <v>1576</v>
      </c>
      <c r="U4" s="4602"/>
      <c r="V4" s="4543" t="s">
        <v>1577</v>
      </c>
      <c r="W4" s="4543"/>
      <c r="X4" s="909"/>
      <c r="Y4" s="4620" t="s">
        <v>1579</v>
      </c>
      <c r="Z4" s="4621"/>
      <c r="AA4" s="4600" t="s">
        <v>1575</v>
      </c>
      <c r="AB4" s="4600" t="s">
        <v>1576</v>
      </c>
      <c r="AC4" s="4600" t="s">
        <v>1577</v>
      </c>
    </row>
    <row r="5" spans="1:29" ht="15">
      <c r="A5" s="238"/>
      <c r="B5" s="239"/>
      <c r="C5" s="4605" t="s">
        <v>1580</v>
      </c>
      <c r="D5" s="4606"/>
      <c r="E5" s="4603" t="s">
        <v>1581</v>
      </c>
      <c r="F5" s="4604"/>
      <c r="G5" s="4605" t="s">
        <v>1582</v>
      </c>
      <c r="H5" s="4606"/>
      <c r="I5" s="4605" t="s">
        <v>1583</v>
      </c>
      <c r="J5" s="4606"/>
      <c r="K5" s="2809"/>
      <c r="L5" s="1973"/>
      <c r="M5" s="1974"/>
      <c r="N5" s="1974"/>
      <c r="O5" s="1974"/>
      <c r="P5" s="4617"/>
      <c r="Q5" s="4537"/>
      <c r="R5" s="4516"/>
      <c r="S5" s="4517"/>
      <c r="T5" s="4516"/>
      <c r="U5" s="4517"/>
      <c r="V5" s="4543"/>
      <c r="W5" s="4543"/>
      <c r="X5" s="909"/>
      <c r="Y5" s="4548"/>
      <c r="Z5" s="4549"/>
      <c r="AA5" s="4510"/>
      <c r="AB5" s="4510"/>
      <c r="AC5" s="4510"/>
    </row>
    <row r="6" spans="1:29" ht="15.75" thickBot="1">
      <c r="A6" s="240"/>
      <c r="B6" s="241"/>
      <c r="C6" s="4607" t="s">
        <v>1584</v>
      </c>
      <c r="D6" s="4608"/>
      <c r="E6" s="4609" t="s">
        <v>1584</v>
      </c>
      <c r="F6" s="4610"/>
      <c r="G6" s="4607" t="s">
        <v>1584</v>
      </c>
      <c r="H6" s="4608"/>
      <c r="I6" s="4607" t="s">
        <v>1584</v>
      </c>
      <c r="J6" s="4608"/>
      <c r="K6" s="2809" t="s">
        <v>1585</v>
      </c>
      <c r="L6" s="1973"/>
      <c r="M6" s="1974"/>
      <c r="N6" s="1974"/>
      <c r="O6" s="1974"/>
      <c r="P6" s="4618"/>
      <c r="Q6" s="4539"/>
      <c r="R6" s="4516"/>
      <c r="S6" s="4517"/>
      <c r="T6" s="4540"/>
      <c r="U6" s="4541"/>
      <c r="V6" s="4543"/>
      <c r="W6" s="4543"/>
      <c r="X6" s="909"/>
      <c r="Y6" s="4550"/>
      <c r="Z6" s="4551"/>
      <c r="AA6" s="4511"/>
      <c r="AB6" s="4511"/>
      <c r="AC6" s="4511"/>
    </row>
    <row r="7" spans="1:29" s="46" customFormat="1" ht="15.75" thickBot="1">
      <c r="A7" s="242" t="s">
        <v>1586</v>
      </c>
      <c r="B7" s="243"/>
      <c r="C7" s="2810">
        <f>'数据-取费表'!B2</f>
        <v>46097</v>
      </c>
      <c r="D7" s="2885">
        <v>100</v>
      </c>
      <c r="E7" s="2839"/>
      <c r="F7" s="3716">
        <f>SUMIF(58:58,YEAR(E7)&amp;"-"&amp;MONTH(E7),59:59)</f>
        <v>0</v>
      </c>
      <c r="G7" s="2839"/>
      <c r="H7" s="3728">
        <f>SUMIF(58:58,YEAR(G7)&amp;"-"&amp;MONTH(G7),59:59)</f>
        <v>0</v>
      </c>
      <c r="I7" s="2839"/>
      <c r="J7" s="3728">
        <f>SUMIF(58:58,YEAR(I7)&amp;"-"&amp;MONTH(I7),59:59)</f>
        <v>0</v>
      </c>
      <c r="K7" s="2801"/>
      <c r="L7" s="1975"/>
      <c r="M7" s="1928"/>
      <c r="N7" s="1928"/>
      <c r="O7" s="1928"/>
      <c r="P7" s="4619" t="s">
        <v>1587</v>
      </c>
      <c r="Q7" s="4552"/>
      <c r="R7" s="3632" t="s">
        <v>18</v>
      </c>
      <c r="S7" s="3155">
        <f t="shared" ref="S7:S15" si="0">F7</f>
        <v>0</v>
      </c>
      <c r="T7" s="3632" t="s">
        <v>18</v>
      </c>
      <c r="U7" s="3155">
        <f t="shared" ref="U7:U15" si="1">H7</f>
        <v>0</v>
      </c>
      <c r="V7" s="3632" t="s">
        <v>18</v>
      </c>
      <c r="W7" s="3155">
        <f t="shared" ref="W7:W15" si="2">J7</f>
        <v>0</v>
      </c>
      <c r="X7" s="482"/>
      <c r="Y7" s="4512" t="s">
        <v>1587</v>
      </c>
      <c r="Z7" s="4513"/>
      <c r="AA7" s="28" t="e">
        <f>D7/F7</f>
        <v>#DIV/0!</v>
      </c>
      <c r="AB7" s="28" t="e">
        <f>D7/H7</f>
        <v>#DIV/0!</v>
      </c>
      <c r="AC7" s="28" t="e">
        <f>D7/J7</f>
        <v>#DIV/0!</v>
      </c>
    </row>
    <row r="8" spans="1:29" s="46" customFormat="1" ht="15.75" thickBot="1">
      <c r="A8" s="242" t="s">
        <v>1588</v>
      </c>
      <c r="B8" s="243"/>
      <c r="C8" s="2811"/>
      <c r="D8" s="2885">
        <v>100</v>
      </c>
      <c r="E8" s="2864"/>
      <c r="F8" s="3716">
        <f>SUMIF(61:61,E8,62:62)-SUMIF(61:61,C8,62:62)+100</f>
        <v>100</v>
      </c>
      <c r="G8" s="2811"/>
      <c r="H8" s="3728">
        <f>SUMIF(61:61,G8,62:62)-SUMIF(61:61,C8,62:62)+100</f>
        <v>100</v>
      </c>
      <c r="I8" s="2864"/>
      <c r="J8" s="3728">
        <f>SUMIF(61:61,I8,62:62)-SUMIF(61:61,C8,62:62)+100</f>
        <v>100</v>
      </c>
      <c r="K8" s="2801"/>
      <c r="L8" s="1975"/>
      <c r="M8" s="1928"/>
      <c r="N8" s="1928"/>
      <c r="O8" s="1928"/>
      <c r="P8" s="4619" t="s">
        <v>1590</v>
      </c>
      <c r="Q8" s="4545"/>
      <c r="R8" s="3632" t="s">
        <v>18</v>
      </c>
      <c r="S8" s="3155">
        <f t="shared" si="0"/>
        <v>100</v>
      </c>
      <c r="T8" s="3632" t="s">
        <v>18</v>
      </c>
      <c r="U8" s="3155">
        <f t="shared" si="1"/>
        <v>100</v>
      </c>
      <c r="V8" s="3632" t="s">
        <v>18</v>
      </c>
      <c r="W8" s="3155">
        <f t="shared" si="2"/>
        <v>100</v>
      </c>
      <c r="X8" s="482"/>
      <c r="Y8" s="4512" t="s">
        <v>1590</v>
      </c>
      <c r="Z8" s="4513"/>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7">
        <f>SUMIF(63:63,E9,64:64)-SUMIF(63:63,C9,64:64)+100</f>
        <v>100</v>
      </c>
      <c r="G9" s="2869"/>
      <c r="H9" s="3729">
        <f>SUMIF(63:63,G9,64:64)-SUMIF(63:63,C9,64:64)+100</f>
        <v>100</v>
      </c>
      <c r="I9" s="2869"/>
      <c r="J9" s="3729">
        <f>SUMIF(63:63,I9,64:64)-SUMIF(63:63,C9,64:64)+100</f>
        <v>100</v>
      </c>
      <c r="K9" s="2801"/>
      <c r="L9" s="1975"/>
      <c r="M9" s="1928"/>
      <c r="N9" s="1928"/>
      <c r="O9" s="1928"/>
      <c r="P9" s="4525" t="s">
        <v>1593</v>
      </c>
      <c r="Q9" s="1697" t="str">
        <f t="shared" ref="Q9:Q15" si="6">B9</f>
        <v>用途</v>
      </c>
      <c r="R9" s="3632" t="s">
        <v>13</v>
      </c>
      <c r="S9" s="3155">
        <f t="shared" si="0"/>
        <v>100</v>
      </c>
      <c r="T9" s="3632" t="s">
        <v>13</v>
      </c>
      <c r="U9" s="3155">
        <f t="shared" si="1"/>
        <v>100</v>
      </c>
      <c r="V9" s="3632" t="s">
        <v>13</v>
      </c>
      <c r="W9" s="3155">
        <f t="shared" si="2"/>
        <v>100</v>
      </c>
      <c r="X9" s="482"/>
      <c r="Y9" s="4526"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8">
        <f>SUMIF(65:65,E10,66:66)-SUMIF(65:65,C10,66:66)+100</f>
        <v>100</v>
      </c>
      <c r="G10" s="2813"/>
      <c r="H10" s="3730">
        <f>SUMIF(65:65,G10,66:66)-SUMIF(65:65,C10,66:66)+100</f>
        <v>100</v>
      </c>
      <c r="I10" s="2813"/>
      <c r="J10" s="3730">
        <f>SUMIF(65:65,I10,66:66)-SUMIF(65:65,C10,66:66)+100</f>
        <v>100</v>
      </c>
      <c r="K10" s="2801"/>
      <c r="L10" s="1976"/>
      <c r="M10" s="1977"/>
      <c r="N10" s="1977"/>
      <c r="O10" s="1977"/>
      <c r="P10" s="4525"/>
      <c r="Q10" s="1697" t="str">
        <f t="shared" si="6"/>
        <v>土地使用年限（年）</v>
      </c>
      <c r="R10" s="3632" t="s">
        <v>13</v>
      </c>
      <c r="S10" s="3155">
        <f t="shared" si="0"/>
        <v>100</v>
      </c>
      <c r="T10" s="3632" t="s">
        <v>13</v>
      </c>
      <c r="U10" s="3155">
        <f t="shared" si="1"/>
        <v>100</v>
      </c>
      <c r="V10" s="3632" t="s">
        <v>13</v>
      </c>
      <c r="W10" s="3155">
        <f t="shared" si="2"/>
        <v>100</v>
      </c>
      <c r="X10" s="482"/>
      <c r="Y10" s="4526"/>
      <c r="Z10" s="28" t="str">
        <f t="shared" si="7"/>
        <v>土地使用年限（年）</v>
      </c>
      <c r="AA10" s="28">
        <f t="shared" si="3"/>
        <v>1</v>
      </c>
      <c r="AB10" s="28">
        <f t="shared" si="4"/>
        <v>1</v>
      </c>
      <c r="AC10" s="28">
        <f t="shared" si="5"/>
        <v>1</v>
      </c>
    </row>
    <row r="11" spans="1:29" ht="15">
      <c r="A11" s="254"/>
      <c r="B11" s="2788" t="s">
        <v>1596</v>
      </c>
      <c r="C11" s="2814"/>
      <c r="D11" s="2887">
        <v>100</v>
      </c>
      <c r="E11" s="2842"/>
      <c r="F11" s="3718">
        <f>LOOKUP(E11,68:68,69:69)-LOOKUP(C11,68:68,69:69)+100</f>
        <v>100</v>
      </c>
      <c r="G11" s="2814"/>
      <c r="H11" s="3730">
        <f>LOOKUP(G11,68:68,69:69)-LOOKUP(C11,68:68,69:69)+100</f>
        <v>100</v>
      </c>
      <c r="I11" s="2814"/>
      <c r="J11" s="3730">
        <f>LOOKUP(I11,68:68,69:69)-LOOKUP(C11,68:68,69:69)+100</f>
        <v>100</v>
      </c>
      <c r="K11" s="2802"/>
      <c r="L11" s="1978"/>
      <c r="M11" s="1974"/>
      <c r="N11" s="1974"/>
      <c r="O11" s="1974"/>
      <c r="P11" s="4525"/>
      <c r="Q11" s="1697" t="str">
        <f t="shared" si="6"/>
        <v>容积率</v>
      </c>
      <c r="R11" s="3632" t="s">
        <v>16</v>
      </c>
      <c r="S11" s="3155">
        <f t="shared" si="0"/>
        <v>100</v>
      </c>
      <c r="T11" s="3632" t="s">
        <v>16</v>
      </c>
      <c r="U11" s="3155">
        <f t="shared" si="1"/>
        <v>100</v>
      </c>
      <c r="V11" s="3632" t="s">
        <v>16</v>
      </c>
      <c r="W11" s="3155">
        <f t="shared" si="2"/>
        <v>100</v>
      </c>
      <c r="X11" s="482"/>
      <c r="Y11" s="4526"/>
      <c r="Z11" s="28" t="str">
        <f t="shared" si="7"/>
        <v>容积率</v>
      </c>
      <c r="AA11" s="28">
        <f t="shared" si="3"/>
        <v>1</v>
      </c>
      <c r="AB11" s="28">
        <f t="shared" si="4"/>
        <v>1</v>
      </c>
      <c r="AC11" s="28">
        <f t="shared" si="5"/>
        <v>1</v>
      </c>
    </row>
    <row r="12" spans="1:29" s="46" customFormat="1" ht="15">
      <c r="A12" s="257"/>
      <c r="B12" s="2792">
        <v>111</v>
      </c>
      <c r="C12" s="2815"/>
      <c r="D12" s="2888">
        <v>100</v>
      </c>
      <c r="E12" s="2815"/>
      <c r="F12" s="3718">
        <f>SUMIF(70:70,E12,71:71)-SUMIF(70:70,C12,71:71)+100</f>
        <v>100</v>
      </c>
      <c r="G12" s="2815"/>
      <c r="H12" s="3730">
        <f>SUMIF(70:70,G12,71:71)-SUMIF(70:70,C12,71:71)+100</f>
        <v>100</v>
      </c>
      <c r="I12" s="2815"/>
      <c r="J12" s="3730">
        <f>SUMIF(70:70,I12,71:71)-SUMIF(70:70,C12,71:71)+100</f>
        <v>100</v>
      </c>
      <c r="K12" s="2803"/>
      <c r="L12" s="1975"/>
      <c r="M12" s="1928"/>
      <c r="N12" s="1928"/>
      <c r="O12" s="1928"/>
      <c r="P12" s="4525"/>
      <c r="Q12" s="1697">
        <f t="shared" si="6"/>
        <v>111</v>
      </c>
      <c r="R12" s="3632" t="s">
        <v>16</v>
      </c>
      <c r="S12" s="3155">
        <f t="shared" si="0"/>
        <v>100</v>
      </c>
      <c r="T12" s="3632" t="s">
        <v>16</v>
      </c>
      <c r="U12" s="3155">
        <f t="shared" si="1"/>
        <v>100</v>
      </c>
      <c r="V12" s="3632" t="s">
        <v>16</v>
      </c>
      <c r="W12" s="3155">
        <f t="shared" si="2"/>
        <v>100</v>
      </c>
      <c r="X12" s="482"/>
      <c r="Y12" s="4526"/>
      <c r="Z12" s="28">
        <f t="shared" si="7"/>
        <v>111</v>
      </c>
      <c r="AA12" s="28">
        <f>D12/F12</f>
        <v>1</v>
      </c>
      <c r="AB12" s="28">
        <f>D12/H12</f>
        <v>1</v>
      </c>
      <c r="AC12" s="28">
        <f>D12/J12</f>
        <v>1</v>
      </c>
    </row>
    <row r="13" spans="1:29" ht="1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03"/>
      <c r="L13" s="1979"/>
      <c r="M13" s="1974"/>
      <c r="N13" s="1974"/>
      <c r="O13" s="1974"/>
      <c r="P13" s="4525"/>
      <c r="Q13" s="1697">
        <f t="shared" si="6"/>
        <v>111</v>
      </c>
      <c r="R13" s="3632" t="s">
        <v>16</v>
      </c>
      <c r="S13" s="3155">
        <f t="shared" si="0"/>
        <v>100</v>
      </c>
      <c r="T13" s="3632" t="s">
        <v>16</v>
      </c>
      <c r="U13" s="3155">
        <f t="shared" si="1"/>
        <v>100</v>
      </c>
      <c r="V13" s="3632" t="s">
        <v>16</v>
      </c>
      <c r="W13" s="3155">
        <f t="shared" si="2"/>
        <v>100</v>
      </c>
      <c r="X13" s="482"/>
      <c r="Y13" s="4526"/>
      <c r="Z13" s="28">
        <f t="shared" si="7"/>
        <v>111</v>
      </c>
      <c r="AA13" s="28">
        <f t="shared" si="3"/>
        <v>1</v>
      </c>
      <c r="AB13" s="28">
        <f t="shared" si="4"/>
        <v>1</v>
      </c>
      <c r="AC13" s="28">
        <f t="shared" si="5"/>
        <v>1</v>
      </c>
    </row>
    <row r="14" spans="1:29" ht="15.75" thickBot="1">
      <c r="A14" s="260"/>
      <c r="B14" s="2793">
        <v>111</v>
      </c>
      <c r="C14" s="2817"/>
      <c r="D14" s="2890">
        <v>100</v>
      </c>
      <c r="E14" s="2817"/>
      <c r="F14" s="3719">
        <f>SUMIF(74:74,E14,75:75)-SUMIF(74:74,C14,75:75)+100</f>
        <v>100</v>
      </c>
      <c r="G14" s="2817"/>
      <c r="H14" s="3726">
        <f>SUMIF(74:74,G14,75:75)-SUMIF(74:74,C14,75:75)+100</f>
        <v>100</v>
      </c>
      <c r="I14" s="2817"/>
      <c r="J14" s="3726">
        <f>SUMIF(74:74,I14,75:75)-SUMIF(74:74,C14,75:75)+100</f>
        <v>100</v>
      </c>
      <c r="K14" s="2803"/>
      <c r="L14" s="1979"/>
      <c r="M14" s="1974"/>
      <c r="N14" s="1974"/>
      <c r="O14" s="1974"/>
      <c r="P14" s="4525"/>
      <c r="Q14" s="1697">
        <f t="shared" si="6"/>
        <v>111</v>
      </c>
      <c r="R14" s="3632" t="s">
        <v>16</v>
      </c>
      <c r="S14" s="3155">
        <f t="shared" si="0"/>
        <v>100</v>
      </c>
      <c r="T14" s="3632" t="s">
        <v>16</v>
      </c>
      <c r="U14" s="3155">
        <f t="shared" si="1"/>
        <v>100</v>
      </c>
      <c r="V14" s="3632" t="s">
        <v>16</v>
      </c>
      <c r="W14" s="3155">
        <f t="shared" si="2"/>
        <v>100</v>
      </c>
      <c r="X14" s="482"/>
      <c r="Y14" s="4526"/>
      <c r="Z14" s="28">
        <f t="shared" si="7"/>
        <v>111</v>
      </c>
      <c r="AA14" s="28">
        <f t="shared" si="3"/>
        <v>1</v>
      </c>
      <c r="AB14" s="28">
        <f t="shared" si="4"/>
        <v>1</v>
      </c>
      <c r="AC14" s="28">
        <f t="shared" si="5"/>
        <v>1</v>
      </c>
    </row>
    <row r="15" spans="1:29" ht="85.5">
      <c r="A15" s="262" t="s">
        <v>1597</v>
      </c>
      <c r="B15" s="2794" t="s">
        <v>1235</v>
      </c>
      <c r="C15" s="2818" t="str">
        <f>估价对象房地状况!C3</f>
        <v>估价对象周边居住用地比例、居住小区规模和社区发展完善程度，综合评价居住社区成熟度一般</v>
      </c>
      <c r="D15" s="2891">
        <v>100</v>
      </c>
      <c r="E15" s="2849"/>
      <c r="F15" s="3720">
        <f>SUMIF(76:76,E16,77:77)-SUMIF(76:76,C16,77:77)+100</f>
        <v>100</v>
      </c>
      <c r="G15" s="2843"/>
      <c r="H15" s="3720">
        <f>SUMIF(76:76,G16,77:77)-SUMIF(76:76,C16,77:77)+100</f>
        <v>100</v>
      </c>
      <c r="I15" s="2843"/>
      <c r="J15" s="3720">
        <f>SUMIF(76:76,I16,77:77)-SUMIF(76:76,C16,77:77)+100</f>
        <v>100</v>
      </c>
      <c r="K15" s="2804"/>
      <c r="L15" s="1979"/>
      <c r="M15" s="1974"/>
      <c r="N15" s="1974"/>
      <c r="O15" s="1974"/>
      <c r="P15" s="4553" t="s">
        <v>1598</v>
      </c>
      <c r="Q15" s="1506" t="str">
        <f t="shared" si="6"/>
        <v>居住社区成熟度</v>
      </c>
      <c r="R15" s="3734" t="s">
        <v>16</v>
      </c>
      <c r="S15" s="3156">
        <f t="shared" si="0"/>
        <v>100</v>
      </c>
      <c r="T15" s="3734" t="s">
        <v>16</v>
      </c>
      <c r="U15" s="3156">
        <f t="shared" si="1"/>
        <v>100</v>
      </c>
      <c r="V15" s="3734" t="s">
        <v>16</v>
      </c>
      <c r="W15" s="3156">
        <f t="shared" si="2"/>
        <v>100</v>
      </c>
      <c r="X15" s="909"/>
      <c r="Y15" s="4555" t="s">
        <v>1598</v>
      </c>
      <c r="Z15" s="907" t="str">
        <f t="shared" si="7"/>
        <v>居住社区成熟度</v>
      </c>
      <c r="AA15" s="907">
        <f t="shared" si="3"/>
        <v>1</v>
      </c>
      <c r="AB15" s="907">
        <f t="shared" si="4"/>
        <v>1</v>
      </c>
      <c r="AC15" s="907">
        <f t="shared" si="5"/>
        <v>1</v>
      </c>
    </row>
    <row r="16" spans="1:29" ht="15">
      <c r="A16" s="254"/>
      <c r="B16" s="2795"/>
      <c r="C16" s="2819"/>
      <c r="D16" s="2892"/>
      <c r="E16" s="2853"/>
      <c r="F16" s="3721"/>
      <c r="G16" s="2847"/>
      <c r="H16" s="3722"/>
      <c r="I16" s="2847"/>
      <c r="J16" s="3721"/>
      <c r="K16" s="2805"/>
      <c r="L16" s="1979"/>
      <c r="M16" s="1974"/>
      <c r="N16" s="1974"/>
      <c r="O16" s="1974"/>
      <c r="P16" s="4554"/>
      <c r="Q16" s="1506"/>
      <c r="R16" s="3734"/>
      <c r="S16" s="3156"/>
      <c r="T16" s="3734"/>
      <c r="U16" s="3156"/>
      <c r="V16" s="3734"/>
      <c r="W16" s="3156"/>
      <c r="X16" s="909"/>
      <c r="Y16" s="4556"/>
      <c r="Z16" s="907"/>
      <c r="AA16" s="907">
        <v>1</v>
      </c>
      <c r="AB16" s="907">
        <v>1</v>
      </c>
      <c r="AC16" s="907">
        <v>1</v>
      </c>
    </row>
    <row r="17" spans="1:29" ht="71.25">
      <c r="A17" s="254"/>
      <c r="B17" s="2796" t="s">
        <v>1237</v>
      </c>
      <c r="C17" s="2820" t="str">
        <f>估价对象房地状况!C6</f>
        <v>估价对象周边道路状况、公共交通通达情况、停车便捷程度，综合评价交通便捷度较好</v>
      </c>
      <c r="D17" s="2893">
        <v>100</v>
      </c>
      <c r="E17" s="2850"/>
      <c r="F17" s="3722">
        <f>SUMIF(78:78,E18,79:79)-SUMIF(78:78,C18,79:79)+100</f>
        <v>100</v>
      </c>
      <c r="G17" s="2844"/>
      <c r="H17" s="3723">
        <f>SUMIF(78:78,G18,79:79)-SUMIF(78:78,C18,79:79)+100</f>
        <v>100</v>
      </c>
      <c r="I17" s="2844"/>
      <c r="J17" s="3723">
        <f>SUMIF(78:78,I18,79:79)-SUMIF(78:78,C18,79:79)+100</f>
        <v>100</v>
      </c>
      <c r="K17" s="2804"/>
      <c r="L17" s="1979"/>
      <c r="M17" s="1974"/>
      <c r="N17" s="1974"/>
      <c r="O17" s="1974"/>
      <c r="P17" s="4554"/>
      <c r="Q17" s="1506" t="str">
        <f>B17</f>
        <v>交通便捷度</v>
      </c>
      <c r="R17" s="3734" t="s">
        <v>16</v>
      </c>
      <c r="S17" s="3156">
        <f>F17</f>
        <v>100</v>
      </c>
      <c r="T17" s="3734" t="s">
        <v>16</v>
      </c>
      <c r="U17" s="3156">
        <f>H17</f>
        <v>100</v>
      </c>
      <c r="V17" s="3734" t="s">
        <v>16</v>
      </c>
      <c r="W17" s="3156">
        <f>J17</f>
        <v>100</v>
      </c>
      <c r="X17" s="909"/>
      <c r="Y17" s="4556"/>
      <c r="Z17" s="907" t="str">
        <f>Q17</f>
        <v>交通便捷度</v>
      </c>
      <c r="AA17" s="907">
        <f t="shared" si="3"/>
        <v>1</v>
      </c>
      <c r="AB17" s="907">
        <f t="shared" si="4"/>
        <v>1</v>
      </c>
      <c r="AC17" s="907">
        <f t="shared" si="5"/>
        <v>1</v>
      </c>
    </row>
    <row r="18" spans="1:29" ht="15">
      <c r="A18" s="254"/>
      <c r="B18" s="2797"/>
      <c r="C18" s="2821"/>
      <c r="D18" s="2893"/>
      <c r="E18" s="2851"/>
      <c r="F18" s="3722"/>
      <c r="G18" s="2845"/>
      <c r="H18" s="3721"/>
      <c r="I18" s="2845"/>
      <c r="J18" s="3721"/>
      <c r="K18" s="2805"/>
      <c r="L18" s="1979"/>
      <c r="M18" s="1974"/>
      <c r="N18" s="1974"/>
      <c r="O18" s="1974"/>
      <c r="P18" s="4554"/>
      <c r="Q18" s="1506"/>
      <c r="R18" s="3734"/>
      <c r="S18" s="3156"/>
      <c r="T18" s="3734"/>
      <c r="U18" s="3156"/>
      <c r="V18" s="3734"/>
      <c r="W18" s="3156"/>
      <c r="X18" s="909"/>
      <c r="Y18" s="4556"/>
      <c r="Z18" s="907"/>
      <c r="AA18" s="907">
        <v>1</v>
      </c>
      <c r="AB18" s="907">
        <v>1</v>
      </c>
      <c r="AC18" s="907">
        <v>1</v>
      </c>
    </row>
    <row r="19" spans="1:29" ht="42.75">
      <c r="A19" s="254"/>
      <c r="B19" s="2796" t="s">
        <v>1236</v>
      </c>
      <c r="C19" s="2820" t="str">
        <f>估价对象房地状况!C7</f>
        <v>估价对象所在区域公共配套设施齐备情况</v>
      </c>
      <c r="D19" s="2894">
        <v>100</v>
      </c>
      <c r="E19" s="2852"/>
      <c r="F19" s="3723">
        <f>SUMIF(80:80,E20,81:81)-SUMIF(80:80,C20,81:81)+100</f>
        <v>100</v>
      </c>
      <c r="G19" s="2846"/>
      <c r="H19" s="3722">
        <f>SUMIF(80:80,G20,81:81)-SUMIF(80:80,C20,81:81)+100</f>
        <v>100</v>
      </c>
      <c r="I19" s="2846"/>
      <c r="J19" s="3722">
        <f>SUMIF(80:80,I20,81:81)-SUMIF(80:80,C20,81:81)+100</f>
        <v>100</v>
      </c>
      <c r="K19" s="2804"/>
      <c r="L19" s="1979"/>
      <c r="M19" s="1974"/>
      <c r="N19" s="1974"/>
      <c r="O19" s="1974"/>
      <c r="P19" s="4554"/>
      <c r="Q19" s="1506" t="str">
        <f>B19</f>
        <v>公共配套设施</v>
      </c>
      <c r="R19" s="3734" t="s">
        <v>16</v>
      </c>
      <c r="S19" s="3156">
        <f>F19</f>
        <v>100</v>
      </c>
      <c r="T19" s="3734" t="s">
        <v>16</v>
      </c>
      <c r="U19" s="3156">
        <f>H19</f>
        <v>100</v>
      </c>
      <c r="V19" s="3734" t="s">
        <v>16</v>
      </c>
      <c r="W19" s="3156">
        <f>J19</f>
        <v>100</v>
      </c>
      <c r="X19" s="909"/>
      <c r="Y19" s="4556"/>
      <c r="Z19" s="907" t="str">
        <f>Q19</f>
        <v>公共配套设施</v>
      </c>
      <c r="AA19" s="907">
        <f t="shared" si="3"/>
        <v>1</v>
      </c>
      <c r="AB19" s="907">
        <f t="shared" si="4"/>
        <v>1</v>
      </c>
      <c r="AC19" s="907">
        <f t="shared" si="5"/>
        <v>1</v>
      </c>
    </row>
    <row r="20" spans="1:29" ht="15">
      <c r="A20" s="254"/>
      <c r="B20" s="2797"/>
      <c r="C20" s="2819"/>
      <c r="D20" s="2892"/>
      <c r="E20" s="2853"/>
      <c r="F20" s="3721"/>
      <c r="G20" s="2847"/>
      <c r="H20" s="3721"/>
      <c r="I20" s="2847"/>
      <c r="J20" s="3721"/>
      <c r="K20" s="2805"/>
      <c r="L20" s="1979"/>
      <c r="M20" s="1974"/>
      <c r="N20" s="1974"/>
      <c r="O20" s="1974"/>
      <c r="P20" s="4554"/>
      <c r="Q20" s="1506"/>
      <c r="R20" s="3734"/>
      <c r="S20" s="3156"/>
      <c r="T20" s="3734"/>
      <c r="U20" s="3156"/>
      <c r="V20" s="3734"/>
      <c r="W20" s="3156"/>
      <c r="X20" s="909"/>
      <c r="Y20" s="4556"/>
      <c r="Z20" s="907"/>
      <c r="AA20" s="907">
        <v>1</v>
      </c>
      <c r="AB20" s="907">
        <v>1</v>
      </c>
      <c r="AC20" s="907">
        <v>1</v>
      </c>
    </row>
    <row r="21" spans="1:29" ht="28.5">
      <c r="A21" s="254"/>
      <c r="B21" s="2798" t="s">
        <v>1238</v>
      </c>
      <c r="C21" s="2820" t="str">
        <f>估价对象房地状况!C8</f>
        <v>估价对象所在区域基础设施水平</v>
      </c>
      <c r="D21" s="2893">
        <v>100</v>
      </c>
      <c r="E21" s="2852"/>
      <c r="F21" s="3723">
        <f>SUMIF(82:82,E22,83:83)-SUMIF(82:82,C22,83:83)+100</f>
        <v>100</v>
      </c>
      <c r="G21" s="2846"/>
      <c r="H21" s="3722">
        <f>SUMIF(82:82,G22,83:83)-SUMIF(82:82,C22,83:83)+100</f>
        <v>100</v>
      </c>
      <c r="I21" s="2846"/>
      <c r="J21" s="3722">
        <f>SUMIF(82:82,I22,83:83)-SUMIF(82:82,C22,83:83)+100</f>
        <v>100</v>
      </c>
      <c r="K21" s="2804"/>
      <c r="L21" s="1979"/>
      <c r="M21" s="1974"/>
      <c r="N21" s="1974"/>
      <c r="O21" s="1974"/>
      <c r="P21" s="4554"/>
      <c r="Q21" s="1506" t="str">
        <f>B21</f>
        <v>基础设施水平</v>
      </c>
      <c r="R21" s="3734" t="s">
        <v>13</v>
      </c>
      <c r="S21" s="3156">
        <f>F21</f>
        <v>100</v>
      </c>
      <c r="T21" s="3734" t="s">
        <v>13</v>
      </c>
      <c r="U21" s="3156">
        <f>H21</f>
        <v>100</v>
      </c>
      <c r="V21" s="3734" t="s">
        <v>13</v>
      </c>
      <c r="W21" s="3156">
        <f>J21</f>
        <v>100</v>
      </c>
      <c r="X21" s="909"/>
      <c r="Y21" s="4556"/>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21"/>
      <c r="G22" s="2870"/>
      <c r="H22" s="3721"/>
      <c r="I22" s="2819"/>
      <c r="J22" s="3721"/>
      <c r="K22" s="2806"/>
      <c r="L22" s="1979"/>
      <c r="M22" s="1974"/>
      <c r="N22" s="1974"/>
      <c r="O22" s="1974"/>
      <c r="P22" s="4554"/>
      <c r="Q22" s="1506"/>
      <c r="R22" s="3734"/>
      <c r="S22" s="3156"/>
      <c r="T22" s="3734"/>
      <c r="U22" s="3156"/>
      <c r="V22" s="3734"/>
      <c r="W22" s="3156"/>
      <c r="X22" s="909"/>
      <c r="Y22" s="4556"/>
      <c r="Z22" s="907"/>
      <c r="AA22" s="907">
        <v>1</v>
      </c>
      <c r="AB22" s="907">
        <v>1</v>
      </c>
      <c r="AC22" s="907">
        <v>1</v>
      </c>
    </row>
    <row r="23" spans="1:29" ht="42.75">
      <c r="A23" s="254"/>
      <c r="B23" s="2796" t="s">
        <v>1239</v>
      </c>
      <c r="C23" s="2820" t="str">
        <f>估价对象房地状况!C9</f>
        <v>区域自然环境：；人文环境；综合评价环境状况一般</v>
      </c>
      <c r="D23" s="2893">
        <v>100</v>
      </c>
      <c r="E23" s="2850"/>
      <c r="F23" s="3722">
        <f>SUMIF(84:84,E24,85:85)-SUMIF(84:84,C24,85:85)+100</f>
        <v>100</v>
      </c>
      <c r="G23" s="2844"/>
      <c r="H23" s="3722">
        <f>SUMIF(84:84,G24,85:85)-SUMIF(84:84,C24,85:85)+100</f>
        <v>100</v>
      </c>
      <c r="I23" s="2844"/>
      <c r="J23" s="3722">
        <f>SUMIF(84:84,I24,85:85)-SUMIF(84:84,C24,85:85)+100</f>
        <v>100</v>
      </c>
      <c r="K23" s="2804"/>
      <c r="L23" s="1979"/>
      <c r="M23" s="1974"/>
      <c r="N23" s="1974"/>
      <c r="O23" s="1974"/>
      <c r="P23" s="4554"/>
      <c r="Q23" s="1506" t="str">
        <f>B23</f>
        <v>自然及人文环境</v>
      </c>
      <c r="R23" s="3734" t="s">
        <v>16</v>
      </c>
      <c r="S23" s="3156">
        <f>F23</f>
        <v>100</v>
      </c>
      <c r="T23" s="3734" t="s">
        <v>16</v>
      </c>
      <c r="U23" s="3156">
        <f>H23</f>
        <v>100</v>
      </c>
      <c r="V23" s="3734" t="s">
        <v>16</v>
      </c>
      <c r="W23" s="3156">
        <f>J23</f>
        <v>100</v>
      </c>
      <c r="X23" s="909"/>
      <c r="Y23" s="4556"/>
      <c r="Z23" s="907" t="str">
        <f>Q23</f>
        <v>自然及人文环境</v>
      </c>
      <c r="AA23" s="907">
        <f>D23/F23</f>
        <v>1</v>
      </c>
      <c r="AB23" s="907">
        <f>D23/H23</f>
        <v>1</v>
      </c>
      <c r="AC23" s="907">
        <f>D23/J23</f>
        <v>1</v>
      </c>
    </row>
    <row r="24" spans="1:29" ht="15">
      <c r="A24" s="254"/>
      <c r="B24" s="2797"/>
      <c r="C24" s="2819"/>
      <c r="D24" s="2892"/>
      <c r="E24" s="2853"/>
      <c r="F24" s="3721"/>
      <c r="G24" s="2847"/>
      <c r="H24" s="3721"/>
      <c r="I24" s="2847"/>
      <c r="J24" s="3721"/>
      <c r="K24" s="2805"/>
      <c r="L24" s="1979"/>
      <c r="M24" s="1974"/>
      <c r="N24" s="1974"/>
      <c r="O24" s="1974"/>
      <c r="P24" s="4554"/>
      <c r="Q24" s="1506"/>
      <c r="R24" s="3734"/>
      <c r="S24" s="3156"/>
      <c r="T24" s="3734"/>
      <c r="U24" s="3156"/>
      <c r="V24" s="3734"/>
      <c r="W24" s="3156"/>
      <c r="X24" s="909"/>
      <c r="Y24" s="4556"/>
      <c r="Z24" s="907"/>
      <c r="AA24" s="907">
        <v>1</v>
      </c>
      <c r="AB24" s="907">
        <v>1</v>
      </c>
      <c r="AC24" s="907">
        <v>1</v>
      </c>
    </row>
    <row r="25" spans="1:29" ht="15">
      <c r="A25" s="254"/>
      <c r="B25" s="2788" t="s">
        <v>1599</v>
      </c>
      <c r="C25" s="2822"/>
      <c r="D25" s="2889">
        <v>100</v>
      </c>
      <c r="E25" s="2825"/>
      <c r="F25" s="3724">
        <f>SUMIF(86:86,E25,87:87)-SUMIF(86:86,C25,87:87)+100</f>
        <v>100</v>
      </c>
      <c r="G25" s="2868"/>
      <c r="H25" s="3724">
        <f>SUMIF(86:86,G25,87:87)-SUMIF(86:86,C25,87:87)+100</f>
        <v>100</v>
      </c>
      <c r="I25" s="2868"/>
      <c r="J25" s="3724">
        <f>SUMIF(86:86,I25,87:87)-SUMIF(86:86,C25,87:87)+100</f>
        <v>100</v>
      </c>
      <c r="K25" s="2802"/>
      <c r="L25" s="1979"/>
      <c r="M25" s="1974"/>
      <c r="N25" s="1974"/>
      <c r="O25" s="1974"/>
      <c r="P25" s="4554"/>
      <c r="Q25" s="1506"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56"/>
      <c r="Z25" s="907" t="str">
        <f>Q25</f>
        <v>楼层-1</v>
      </c>
      <c r="AA25" s="907">
        <f t="shared" ref="AA25:AA46" si="15">D25/F25</f>
        <v>1</v>
      </c>
      <c r="AB25" s="907">
        <f t="shared" ref="AB25:AB46" si="16">D25/H25</f>
        <v>1</v>
      </c>
      <c r="AC25" s="907">
        <f t="shared" ref="AC25:AC46" si="17">D25/J25</f>
        <v>1</v>
      </c>
    </row>
    <row r="26" spans="1:29" ht="15">
      <c r="A26" s="254"/>
      <c r="B26" s="2788" t="s">
        <v>1600</v>
      </c>
      <c r="C26" s="2822"/>
      <c r="D26" s="2889">
        <v>100</v>
      </c>
      <c r="E26" s="2825"/>
      <c r="F26" s="3724">
        <f>SUMIF(88:88,E26,89:89)-SUMIF(88:88,C26,89:89)+100</f>
        <v>100</v>
      </c>
      <c r="G26" s="2868"/>
      <c r="H26" s="3724">
        <f>SUMIF(88:88,G26,89:89)-SUMIF(88:88,C26,89:89)+100</f>
        <v>100</v>
      </c>
      <c r="I26" s="2868"/>
      <c r="J26" s="3724">
        <f>SUMIF(88:88,I26,89:89)-SUMIF(88:88,C26,89:89)+100</f>
        <v>100</v>
      </c>
      <c r="K26" s="2802"/>
      <c r="L26" s="1979"/>
      <c r="M26" s="1974"/>
      <c r="N26" s="1974"/>
      <c r="O26" s="1974"/>
      <c r="P26" s="4554"/>
      <c r="Q26" s="1506" t="str">
        <f t="shared" si="11"/>
        <v>朝向</v>
      </c>
      <c r="R26" s="3734" t="s">
        <v>16</v>
      </c>
      <c r="S26" s="3156">
        <f t="shared" si="12"/>
        <v>100</v>
      </c>
      <c r="T26" s="3734" t="s">
        <v>16</v>
      </c>
      <c r="U26" s="3156">
        <f t="shared" si="13"/>
        <v>100</v>
      </c>
      <c r="V26" s="3734" t="s">
        <v>16</v>
      </c>
      <c r="W26" s="3156">
        <f t="shared" si="14"/>
        <v>100</v>
      </c>
      <c r="X26" s="909"/>
      <c r="Y26" s="4556"/>
      <c r="Z26" s="907" t="str">
        <f>Q26</f>
        <v>朝向</v>
      </c>
      <c r="AA26" s="907">
        <f t="shared" si="15"/>
        <v>1</v>
      </c>
      <c r="AB26" s="907">
        <f t="shared" si="16"/>
        <v>1</v>
      </c>
      <c r="AC26" s="907">
        <f t="shared" si="17"/>
        <v>1</v>
      </c>
    </row>
    <row r="27" spans="1:29" s="46" customFormat="1" ht="15">
      <c r="A27" s="257"/>
      <c r="B27" s="2799">
        <v>111</v>
      </c>
      <c r="C27" s="2815"/>
      <c r="D27" s="2895">
        <v>100</v>
      </c>
      <c r="E27" s="2865"/>
      <c r="F27" s="3725">
        <f>SUMIF(90:90,E27,91:91)-SUMIF(90:90,C27,91:91)+100</f>
        <v>100</v>
      </c>
      <c r="G27" s="2871"/>
      <c r="H27" s="3725">
        <f>SUMIF(90:90,G27,91:91)-SUMIF(90:90,C27,91:91)+100</f>
        <v>100</v>
      </c>
      <c r="I27" s="2871"/>
      <c r="J27" s="3725">
        <f>SUMIF(90:90,I27,91:91)-SUMIF(90:90,C27,91:91)+100</f>
        <v>100</v>
      </c>
      <c r="K27" s="2803"/>
      <c r="L27" s="1975"/>
      <c r="M27" s="1928"/>
      <c r="N27" s="1928"/>
      <c r="O27" s="1928"/>
      <c r="P27" s="4554"/>
      <c r="Q27" s="1697">
        <f t="shared" si="11"/>
        <v>111</v>
      </c>
      <c r="R27" s="3632" t="s">
        <v>16</v>
      </c>
      <c r="S27" s="3155">
        <f t="shared" si="12"/>
        <v>100</v>
      </c>
      <c r="T27" s="3632" t="s">
        <v>16</v>
      </c>
      <c r="U27" s="3155">
        <f t="shared" si="13"/>
        <v>100</v>
      </c>
      <c r="V27" s="3632" t="s">
        <v>16</v>
      </c>
      <c r="W27" s="3155">
        <f t="shared" si="14"/>
        <v>100</v>
      </c>
      <c r="X27" s="482"/>
      <c r="Y27" s="4556"/>
      <c r="Z27" s="28">
        <f>Q27</f>
        <v>111</v>
      </c>
      <c r="AA27" s="907">
        <f t="shared" si="15"/>
        <v>1</v>
      </c>
      <c r="AB27" s="907">
        <f t="shared" si="16"/>
        <v>1</v>
      </c>
      <c r="AC27" s="907">
        <f t="shared" si="17"/>
        <v>1</v>
      </c>
    </row>
    <row r="28" spans="1:29" ht="15">
      <c r="A28" s="254"/>
      <c r="B28" s="2799">
        <v>111</v>
      </c>
      <c r="C28" s="2816"/>
      <c r="D28" s="2889">
        <v>100</v>
      </c>
      <c r="E28" s="2816"/>
      <c r="F28" s="3724">
        <f>SUMIF(92:92,E28,93:93)-SUMIF(92:92,C28,93:93)+100</f>
        <v>100</v>
      </c>
      <c r="G28" s="2872"/>
      <c r="H28" s="3724">
        <f>SUMIF(92:92,G28,93:93)-SUMIF(92:92,C28,93:93)+100</f>
        <v>100</v>
      </c>
      <c r="I28" s="2816"/>
      <c r="J28" s="3724">
        <f>SUMIF(92:92,I28,93:93)-SUMIF(92:92,C28,93:93)+100</f>
        <v>100</v>
      </c>
      <c r="K28" s="2803"/>
      <c r="L28" s="1979"/>
      <c r="M28" s="1974"/>
      <c r="N28" s="1974"/>
      <c r="O28" s="1974"/>
      <c r="P28" s="4554"/>
      <c r="Q28" s="1506">
        <f t="shared" si="11"/>
        <v>111</v>
      </c>
      <c r="R28" s="3734" t="s">
        <v>16</v>
      </c>
      <c r="S28" s="3156">
        <f t="shared" si="12"/>
        <v>100</v>
      </c>
      <c r="T28" s="3734" t="s">
        <v>16</v>
      </c>
      <c r="U28" s="3156">
        <f t="shared" si="13"/>
        <v>100</v>
      </c>
      <c r="V28" s="3734" t="s">
        <v>16</v>
      </c>
      <c r="W28" s="3156">
        <f t="shared" si="14"/>
        <v>100</v>
      </c>
      <c r="X28" s="909"/>
      <c r="Y28" s="4556"/>
      <c r="Z28" s="907">
        <f t="shared" ref="Z28:Z46" si="18">Q28</f>
        <v>111</v>
      </c>
      <c r="AA28" s="907">
        <f t="shared" si="15"/>
        <v>1</v>
      </c>
      <c r="AB28" s="907">
        <f t="shared" si="16"/>
        <v>1</v>
      </c>
      <c r="AC28" s="907">
        <f t="shared" si="17"/>
        <v>1</v>
      </c>
    </row>
    <row r="29" spans="1:29" ht="15">
      <c r="A29" s="254"/>
      <c r="B29" s="2799">
        <v>111</v>
      </c>
      <c r="C29" s="2816"/>
      <c r="D29" s="2889">
        <v>100</v>
      </c>
      <c r="E29" s="2816"/>
      <c r="F29" s="3724">
        <f>SUMIF(94:94,E29,95:95)-SUMIF(94:94,C29,95:95)+100</f>
        <v>100</v>
      </c>
      <c r="G29" s="2872"/>
      <c r="H29" s="3724">
        <f>SUMIF(94:94,G29,95:95)-SUMIF(94:94,C29,95:95)+100</f>
        <v>100</v>
      </c>
      <c r="I29" s="2816"/>
      <c r="J29" s="3724">
        <f>SUMIF(94:94,I29,95:95)-SUMIF(94:94,C29,95:95)+100</f>
        <v>100</v>
      </c>
      <c r="K29" s="2803"/>
      <c r="L29" s="1979"/>
      <c r="M29" s="1974"/>
      <c r="N29" s="1974"/>
      <c r="O29" s="1974"/>
      <c r="P29" s="4554"/>
      <c r="Q29" s="1506">
        <f t="shared" si="11"/>
        <v>111</v>
      </c>
      <c r="R29" s="3734" t="s">
        <v>16</v>
      </c>
      <c r="S29" s="3156">
        <f t="shared" si="12"/>
        <v>100</v>
      </c>
      <c r="T29" s="3734" t="s">
        <v>16</v>
      </c>
      <c r="U29" s="3156">
        <f t="shared" si="13"/>
        <v>100</v>
      </c>
      <c r="V29" s="3734" t="s">
        <v>16</v>
      </c>
      <c r="W29" s="3156">
        <f t="shared" si="14"/>
        <v>100</v>
      </c>
      <c r="X29" s="909"/>
      <c r="Y29" s="4556"/>
      <c r="Z29" s="907">
        <f t="shared" si="18"/>
        <v>111</v>
      </c>
      <c r="AA29" s="907">
        <f t="shared" si="15"/>
        <v>1</v>
      </c>
      <c r="AB29" s="907">
        <f t="shared" si="16"/>
        <v>1</v>
      </c>
      <c r="AC29" s="907">
        <f t="shared" si="17"/>
        <v>1</v>
      </c>
    </row>
    <row r="30" spans="1:29" ht="15">
      <c r="A30" s="254"/>
      <c r="B30" s="2799">
        <v>111</v>
      </c>
      <c r="C30" s="2816"/>
      <c r="D30" s="2889">
        <v>100</v>
      </c>
      <c r="E30" s="2816"/>
      <c r="F30" s="3724">
        <f>SUMIF(96:96,E30,97:97)-SUMIF(96:96,C30,97:97)+100</f>
        <v>100</v>
      </c>
      <c r="G30" s="2872"/>
      <c r="H30" s="3724">
        <f>SUMIF(96:96,G30,97:97)-SUMIF(96:96,C30,97:97)+100</f>
        <v>100</v>
      </c>
      <c r="I30" s="2816"/>
      <c r="J30" s="3724">
        <f>SUMIF(96:96,I30,97:97)-SUMIF(96:96,C30,97:97)+100</f>
        <v>100</v>
      </c>
      <c r="K30" s="2803"/>
      <c r="L30" s="1979"/>
      <c r="M30" s="1974"/>
      <c r="N30" s="1974"/>
      <c r="O30" s="1974"/>
      <c r="P30" s="4554"/>
      <c r="Q30" s="1506">
        <f t="shared" si="11"/>
        <v>111</v>
      </c>
      <c r="R30" s="3734" t="s">
        <v>16</v>
      </c>
      <c r="S30" s="3156">
        <f t="shared" si="12"/>
        <v>100</v>
      </c>
      <c r="T30" s="3734" t="s">
        <v>16</v>
      </c>
      <c r="U30" s="3156">
        <f t="shared" si="13"/>
        <v>100</v>
      </c>
      <c r="V30" s="3734" t="s">
        <v>16</v>
      </c>
      <c r="W30" s="3156">
        <f t="shared" si="14"/>
        <v>100</v>
      </c>
      <c r="X30" s="909"/>
      <c r="Y30" s="4556"/>
      <c r="Z30" s="907">
        <f t="shared" si="18"/>
        <v>111</v>
      </c>
      <c r="AA30" s="907">
        <f t="shared" si="15"/>
        <v>1</v>
      </c>
      <c r="AB30" s="907">
        <f t="shared" si="16"/>
        <v>1</v>
      </c>
      <c r="AC30" s="907">
        <f t="shared" si="17"/>
        <v>1</v>
      </c>
    </row>
    <row r="31" spans="1:29" ht="15.75" thickBot="1">
      <c r="A31" s="260"/>
      <c r="B31" s="2799">
        <v>111</v>
      </c>
      <c r="C31" s="2817"/>
      <c r="D31" s="2890">
        <v>100</v>
      </c>
      <c r="E31" s="2817"/>
      <c r="F31" s="3726">
        <f>SUMIF(98:98,E31,99:99)-SUMIF(98:98,C31,99:99)+100</f>
        <v>100</v>
      </c>
      <c r="G31" s="2873"/>
      <c r="H31" s="3726">
        <f>SUMIF(98:98,G31,99:99)-SUMIF(98:98,C31,99:99)+100</f>
        <v>100</v>
      </c>
      <c r="I31" s="2817"/>
      <c r="J31" s="3726">
        <f>SUMIF(98:98,I31,99:99)-SUMIF(98:98,C31,99:99)+100</f>
        <v>100</v>
      </c>
      <c r="K31" s="2803"/>
      <c r="L31" s="1979"/>
      <c r="M31" s="1974"/>
      <c r="N31" s="1974"/>
      <c r="O31" s="1974"/>
      <c r="P31" s="4554"/>
      <c r="Q31" s="1506">
        <f t="shared" si="11"/>
        <v>111</v>
      </c>
      <c r="R31" s="3734" t="s">
        <v>16</v>
      </c>
      <c r="S31" s="3156">
        <f t="shared" si="12"/>
        <v>100</v>
      </c>
      <c r="T31" s="3734" t="s">
        <v>16</v>
      </c>
      <c r="U31" s="3156">
        <f t="shared" si="13"/>
        <v>100</v>
      </c>
      <c r="V31" s="3734" t="s">
        <v>16</v>
      </c>
      <c r="W31" s="3156">
        <f t="shared" si="14"/>
        <v>100</v>
      </c>
      <c r="X31" s="909"/>
      <c r="Y31" s="4556"/>
      <c r="Z31" s="907">
        <f t="shared" si="18"/>
        <v>111</v>
      </c>
      <c r="AA31" s="907">
        <f t="shared" si="15"/>
        <v>1</v>
      </c>
      <c r="AB31" s="907">
        <f t="shared" si="16"/>
        <v>1</v>
      </c>
      <c r="AC31" s="907">
        <f t="shared" si="17"/>
        <v>1</v>
      </c>
    </row>
    <row r="32" spans="1:29" ht="15">
      <c r="A32" s="262" t="s">
        <v>1601</v>
      </c>
      <c r="B32" s="2791" t="s">
        <v>1602</v>
      </c>
      <c r="C32" s="2823"/>
      <c r="D32" s="2896">
        <v>100</v>
      </c>
      <c r="E32" s="2866"/>
      <c r="F32" s="3727">
        <f>SUMIF(100:100,E32,101:101)-SUMIF(100:100,C32,101:101)+100</f>
        <v>100</v>
      </c>
      <c r="G32" s="2823"/>
      <c r="H32" s="3731">
        <f>SUMIF(100:100,G32,101:101)-SUMIF(100:100,C32,101:101)+100</f>
        <v>100</v>
      </c>
      <c r="I32" s="2866"/>
      <c r="J32" s="3724">
        <f>SUMIF(100:100,I32,101:101)-SUMIF(100:100,C32,101:101)+100</f>
        <v>100</v>
      </c>
      <c r="K32" s="2802"/>
      <c r="L32" s="1979"/>
      <c r="M32" s="1974"/>
      <c r="N32" s="1974"/>
      <c r="O32" s="1974"/>
      <c r="P32" s="4557" t="s">
        <v>1603</v>
      </c>
      <c r="Q32" s="1506" t="str">
        <f t="shared" si="11"/>
        <v>建筑类型</v>
      </c>
      <c r="R32" s="3734" t="s">
        <v>16</v>
      </c>
      <c r="S32" s="3156">
        <f t="shared" si="12"/>
        <v>100</v>
      </c>
      <c r="T32" s="3734" t="s">
        <v>16</v>
      </c>
      <c r="U32" s="3156">
        <f t="shared" si="13"/>
        <v>100</v>
      </c>
      <c r="V32" s="3734" t="s">
        <v>16</v>
      </c>
      <c r="W32" s="3156">
        <f t="shared" si="14"/>
        <v>100</v>
      </c>
      <c r="X32" s="909"/>
      <c r="Y32" s="4560" t="s">
        <v>1603</v>
      </c>
      <c r="Z32" s="907" t="str">
        <f t="shared" si="18"/>
        <v>建筑类型</v>
      </c>
      <c r="AA32" s="907">
        <f t="shared" si="15"/>
        <v>1</v>
      </c>
      <c r="AB32" s="907">
        <f t="shared" si="16"/>
        <v>1</v>
      </c>
      <c r="AC32" s="907">
        <f t="shared" si="17"/>
        <v>1</v>
      </c>
    </row>
    <row r="33" spans="1:29" s="279" customFormat="1" ht="15">
      <c r="A33" s="277"/>
      <c r="B33" s="2788" t="s">
        <v>1604</v>
      </c>
      <c r="C33" s="2881"/>
      <c r="D33" s="2887">
        <v>100</v>
      </c>
      <c r="E33" s="2841"/>
      <c r="F33" s="3718" t="e">
        <f>LOOKUP(E33,103:103,104:104)-LOOKUP(C33,103:103,104:104)+100</f>
        <v>#N/A</v>
      </c>
      <c r="G33" s="2813"/>
      <c r="H33" s="3730" t="e">
        <f>LOOKUP(G33,103:103,104:104)-LOOKUP(C33,103:103,104:104)+100</f>
        <v>#N/A</v>
      </c>
      <c r="I33" s="2841"/>
      <c r="J33" s="3730" t="e">
        <f>LOOKUP(I33,103:103,104:104)-LOOKUP(C33,103:103,104:104)+100</f>
        <v>#N/A</v>
      </c>
      <c r="K33" s="2803"/>
      <c r="L33" s="1978"/>
      <c r="M33" s="1980"/>
      <c r="N33" s="1980"/>
      <c r="O33" s="1980"/>
      <c r="P33" s="4558"/>
      <c r="Q33" s="2863" t="str">
        <f t="shared" si="11"/>
        <v>项目建筑规模</v>
      </c>
      <c r="R33" s="3735" t="s">
        <v>16</v>
      </c>
      <c r="S33" s="3157" t="e">
        <f t="shared" si="12"/>
        <v>#N/A</v>
      </c>
      <c r="T33" s="3735" t="s">
        <v>16</v>
      </c>
      <c r="U33" s="3157" t="e">
        <f t="shared" si="13"/>
        <v>#N/A</v>
      </c>
      <c r="V33" s="3735" t="s">
        <v>16</v>
      </c>
      <c r="W33" s="3157" t="e">
        <f t="shared" si="14"/>
        <v>#N/A</v>
      </c>
      <c r="X33" s="484"/>
      <c r="Y33" s="4560"/>
      <c r="Z33" s="485" t="str">
        <f t="shared" si="18"/>
        <v>项目建筑规模</v>
      </c>
      <c r="AA33" s="907" t="e">
        <f t="shared" si="15"/>
        <v>#N/A</v>
      </c>
      <c r="AB33" s="907" t="e">
        <f t="shared" si="16"/>
        <v>#N/A</v>
      </c>
      <c r="AC33" s="907" t="e">
        <f t="shared" si="17"/>
        <v>#N/A</v>
      </c>
    </row>
    <row r="34" spans="1:29" ht="15">
      <c r="A34" s="280"/>
      <c r="B34" s="2788" t="s">
        <v>1605</v>
      </c>
      <c r="C34" s="2822"/>
      <c r="D34" s="2889">
        <v>100</v>
      </c>
      <c r="E34" s="2867"/>
      <c r="F34" s="3727">
        <f>SUMIF(105:105,E34,106:106)-SUMIF(105:105,C34,106:106)+100</f>
        <v>100</v>
      </c>
      <c r="G34" s="2822"/>
      <c r="H34" s="3724">
        <f>SUMIF(105:105,G34,106:106)-SUMIF(105:105,C34,106:106)+100</f>
        <v>100</v>
      </c>
      <c r="I34" s="2867"/>
      <c r="J34" s="3724">
        <f>SUMIF(105:105,I34,106:106)-SUMIF(105:105,C34,106:106)+100</f>
        <v>100</v>
      </c>
      <c r="K34" s="2802"/>
      <c r="L34" s="1979"/>
      <c r="M34" s="1974"/>
      <c r="N34" s="1974"/>
      <c r="O34" s="1974"/>
      <c r="P34" s="4558"/>
      <c r="Q34" s="1506" t="str">
        <f t="shared" si="11"/>
        <v>建筑结构</v>
      </c>
      <c r="R34" s="3734" t="s">
        <v>16</v>
      </c>
      <c r="S34" s="3156">
        <f t="shared" si="12"/>
        <v>100</v>
      </c>
      <c r="T34" s="3734" t="s">
        <v>16</v>
      </c>
      <c r="U34" s="3156">
        <f t="shared" si="13"/>
        <v>100</v>
      </c>
      <c r="V34" s="3734" t="s">
        <v>16</v>
      </c>
      <c r="W34" s="3156">
        <f t="shared" si="14"/>
        <v>100</v>
      </c>
      <c r="X34" s="909"/>
      <c r="Y34" s="4560"/>
      <c r="Z34" s="907" t="str">
        <f t="shared" si="18"/>
        <v>建筑结构</v>
      </c>
      <c r="AA34" s="907">
        <f t="shared" si="15"/>
        <v>1</v>
      </c>
      <c r="AB34" s="907">
        <f t="shared" si="16"/>
        <v>1</v>
      </c>
      <c r="AC34" s="907">
        <f t="shared" si="17"/>
        <v>1</v>
      </c>
    </row>
    <row r="35" spans="1:29" ht="15">
      <c r="A35" s="280"/>
      <c r="B35" s="2788" t="s">
        <v>1606</v>
      </c>
      <c r="C35" s="2825"/>
      <c r="D35" s="2889">
        <v>100</v>
      </c>
      <c r="E35" s="2868"/>
      <c r="F35" s="3727">
        <f>SUMIF(107:107,E35,108:108)-SUMIF(107:107,C35,108:108)+100</f>
        <v>100</v>
      </c>
      <c r="G35" s="2825"/>
      <c r="H35" s="3724">
        <f>SUMIF(107:107,G35,108:108)-SUMIF(107:107,C35,108:108)+100</f>
        <v>100</v>
      </c>
      <c r="I35" s="2868"/>
      <c r="J35" s="3724">
        <f>SUMIF(107:107,I35,108:108)-SUMIF(107:107,C35,108:108)+100</f>
        <v>100</v>
      </c>
      <c r="K35" s="2802"/>
      <c r="L35" s="1979"/>
      <c r="M35" s="1974"/>
      <c r="N35" s="1974"/>
      <c r="O35" s="1974"/>
      <c r="P35" s="4558"/>
      <c r="Q35" s="1506" t="str">
        <f t="shared" si="11"/>
        <v>建筑品质</v>
      </c>
      <c r="R35" s="3734" t="s">
        <v>16</v>
      </c>
      <c r="S35" s="3156">
        <f t="shared" si="12"/>
        <v>100</v>
      </c>
      <c r="T35" s="3734" t="s">
        <v>16</v>
      </c>
      <c r="U35" s="3156">
        <f t="shared" si="13"/>
        <v>100</v>
      </c>
      <c r="V35" s="3734" t="s">
        <v>16</v>
      </c>
      <c r="W35" s="3156">
        <f t="shared" si="14"/>
        <v>100</v>
      </c>
      <c r="X35" s="909"/>
      <c r="Y35" s="4560"/>
      <c r="Z35" s="907" t="str">
        <f t="shared" si="18"/>
        <v>建筑品质</v>
      </c>
      <c r="AA35" s="907">
        <f t="shared" si="15"/>
        <v>1</v>
      </c>
      <c r="AB35" s="907">
        <f t="shared" si="16"/>
        <v>1</v>
      </c>
      <c r="AC35" s="907">
        <f t="shared" si="17"/>
        <v>1</v>
      </c>
    </row>
    <row r="36" spans="1:29" ht="15">
      <c r="A36" s="280"/>
      <c r="B36" s="2788" t="s">
        <v>1607</v>
      </c>
      <c r="C36" s="2825"/>
      <c r="D36" s="2889">
        <v>100</v>
      </c>
      <c r="E36" s="2868"/>
      <c r="F36" s="3727">
        <f>SUMIF(109:109,E36,110:110)-SUMIF(109:109,C36,110:110)+100</f>
        <v>100</v>
      </c>
      <c r="G36" s="2825"/>
      <c r="H36" s="3724">
        <f>SUMIF(109:109,G36,110:110)-SUMIF(109:109,C36,110:110)+100</f>
        <v>100</v>
      </c>
      <c r="I36" s="2868"/>
      <c r="J36" s="3724">
        <f>SUMIF(109:109,I36,110:110)-SUMIF(109:109,C36,110:110)+100</f>
        <v>100</v>
      </c>
      <c r="K36" s="2802"/>
      <c r="L36" s="1979"/>
      <c r="M36" s="1974"/>
      <c r="N36" s="1974"/>
      <c r="O36" s="1974"/>
      <c r="P36" s="4558"/>
      <c r="Q36" s="1506" t="str">
        <f t="shared" si="11"/>
        <v>公共部分装修</v>
      </c>
      <c r="R36" s="3734" t="s">
        <v>16</v>
      </c>
      <c r="S36" s="3156">
        <f t="shared" si="12"/>
        <v>100</v>
      </c>
      <c r="T36" s="3734" t="s">
        <v>16</v>
      </c>
      <c r="U36" s="3156">
        <f t="shared" si="13"/>
        <v>100</v>
      </c>
      <c r="V36" s="3734" t="s">
        <v>16</v>
      </c>
      <c r="W36" s="3156">
        <f t="shared" si="14"/>
        <v>100</v>
      </c>
      <c r="X36" s="909"/>
      <c r="Y36" s="4560"/>
      <c r="Z36" s="907" t="str">
        <f t="shared" si="18"/>
        <v>公共部分装修</v>
      </c>
      <c r="AA36" s="907">
        <f t="shared" si="15"/>
        <v>1</v>
      </c>
      <c r="AB36" s="907">
        <f t="shared" si="16"/>
        <v>1</v>
      </c>
      <c r="AC36" s="907">
        <f t="shared" si="17"/>
        <v>1</v>
      </c>
    </row>
    <row r="37" spans="1:29" s="46" customFormat="1" ht="15">
      <c r="A37" s="281"/>
      <c r="B37" s="2788" t="s">
        <v>1608</v>
      </c>
      <c r="C37" s="2826"/>
      <c r="D37" s="2887">
        <v>100</v>
      </c>
      <c r="E37" s="2826"/>
      <c r="F37" s="3718" t="e">
        <f>LOOKUP(E37,112:112,113:113)-LOOKUP(C37,112:112,113:113)+100</f>
        <v>#N/A</v>
      </c>
      <c r="G37" s="2874"/>
      <c r="H37" s="3730" t="e">
        <f>LOOKUP(G37,112:112,113:113)-LOOKUP(C37,112:112,113:113)+100</f>
        <v>#N/A</v>
      </c>
      <c r="I37" s="2875"/>
      <c r="J37" s="3730" t="e">
        <f>LOOKUP(I37,112:112,113:113)-LOOKUP(C37,112:112,113:113)+100</f>
        <v>#N/A</v>
      </c>
      <c r="K37" s="2802"/>
      <c r="L37" s="1975"/>
      <c r="M37" s="1928"/>
      <c r="N37" s="1928"/>
      <c r="O37" s="1928"/>
      <c r="P37" s="4558"/>
      <c r="Q37" s="1697" t="str">
        <f t="shared" si="11"/>
        <v>成新度</v>
      </c>
      <c r="R37" s="3632" t="s">
        <v>16</v>
      </c>
      <c r="S37" s="3155" t="e">
        <f t="shared" si="12"/>
        <v>#N/A</v>
      </c>
      <c r="T37" s="3632" t="s">
        <v>16</v>
      </c>
      <c r="U37" s="3155" t="e">
        <f t="shared" si="13"/>
        <v>#N/A</v>
      </c>
      <c r="V37" s="3632" t="s">
        <v>16</v>
      </c>
      <c r="W37" s="3155" t="e">
        <f t="shared" si="14"/>
        <v>#N/A</v>
      </c>
      <c r="X37" s="482"/>
      <c r="Y37" s="4560"/>
      <c r="Z37" s="28" t="str">
        <f t="shared" si="18"/>
        <v>成新度</v>
      </c>
      <c r="AA37" s="28" t="e">
        <f t="shared" si="15"/>
        <v>#N/A</v>
      </c>
      <c r="AB37" s="28" t="e">
        <f t="shared" si="16"/>
        <v>#N/A</v>
      </c>
      <c r="AC37" s="28" t="e">
        <f t="shared" si="17"/>
        <v>#N/A</v>
      </c>
    </row>
    <row r="38" spans="1:29" ht="15">
      <c r="A38" s="280"/>
      <c r="B38" s="2788" t="s">
        <v>1609</v>
      </c>
      <c r="C38" s="2825"/>
      <c r="D38" s="2889">
        <v>100</v>
      </c>
      <c r="E38" s="2868"/>
      <c r="F38" s="3727">
        <f>SUMIF(114:114,E38,115:115)-SUMIF(114:114,C38,115:115)+100</f>
        <v>100</v>
      </c>
      <c r="G38" s="2825"/>
      <c r="H38" s="3724">
        <f>SUMIF(114:114,G38,115:115)-SUMIF(114:114,C38,115:115)+100</f>
        <v>100</v>
      </c>
      <c r="I38" s="2868"/>
      <c r="J38" s="3724">
        <f>SUMIF(114:114,I38,115:115)-SUMIF(114:114,C38,115:115)+100</f>
        <v>100</v>
      </c>
      <c r="K38" s="2802"/>
      <c r="L38" s="1979"/>
      <c r="M38" s="1974"/>
      <c r="N38" s="1974"/>
      <c r="O38" s="1974"/>
      <c r="P38" s="4558" t="s">
        <v>1603</v>
      </c>
      <c r="Q38" s="1506" t="str">
        <f t="shared" si="11"/>
        <v>物业管理</v>
      </c>
      <c r="R38" s="3734" t="s">
        <v>16</v>
      </c>
      <c r="S38" s="3156">
        <f t="shared" si="12"/>
        <v>100</v>
      </c>
      <c r="T38" s="3734" t="s">
        <v>16</v>
      </c>
      <c r="U38" s="3156">
        <f t="shared" si="13"/>
        <v>100</v>
      </c>
      <c r="V38" s="3734" t="s">
        <v>16</v>
      </c>
      <c r="W38" s="3156">
        <f t="shared" si="14"/>
        <v>100</v>
      </c>
      <c r="X38" s="909"/>
      <c r="Y38" s="4560" t="s">
        <v>1603</v>
      </c>
      <c r="Z38" s="907" t="str">
        <f t="shared" si="18"/>
        <v>物业管理</v>
      </c>
      <c r="AA38" s="907">
        <f t="shared" si="15"/>
        <v>1</v>
      </c>
      <c r="AB38" s="907">
        <f t="shared" si="16"/>
        <v>1</v>
      </c>
      <c r="AC38" s="907">
        <f t="shared" si="17"/>
        <v>1</v>
      </c>
    </row>
    <row r="39" spans="1:29" ht="15">
      <c r="A39" s="280"/>
      <c r="B39" s="2788" t="s">
        <v>1610</v>
      </c>
      <c r="C39" s="2825"/>
      <c r="D39" s="2889">
        <v>100</v>
      </c>
      <c r="E39" s="2868"/>
      <c r="F39" s="3727">
        <f>SUMIF(116:116,E39,117:117)-SUMIF(116:116,C39,117:117)+100</f>
        <v>100</v>
      </c>
      <c r="G39" s="2825"/>
      <c r="H39" s="3724">
        <f>SUMIF(116:116,G39,117:117)-SUMIF(116:116,C39,117:117)+100</f>
        <v>100</v>
      </c>
      <c r="I39" s="2868"/>
      <c r="J39" s="3724">
        <f>SUMIF(116:116,I39,117:117)-SUMIF(116:116,C39,117:117)+100</f>
        <v>100</v>
      </c>
      <c r="K39" s="2802"/>
      <c r="L39" s="1979"/>
      <c r="M39" s="1974"/>
      <c r="N39" s="1974"/>
      <c r="O39" s="1974"/>
      <c r="P39" s="4558"/>
      <c r="Q39" s="1506" t="str">
        <f t="shared" si="11"/>
        <v>市政基础设施</v>
      </c>
      <c r="R39" s="3734" t="s">
        <v>16</v>
      </c>
      <c r="S39" s="3156">
        <f t="shared" si="12"/>
        <v>100</v>
      </c>
      <c r="T39" s="3734" t="s">
        <v>16</v>
      </c>
      <c r="U39" s="3156">
        <f t="shared" si="13"/>
        <v>100</v>
      </c>
      <c r="V39" s="3734" t="s">
        <v>16</v>
      </c>
      <c r="W39" s="3156">
        <f t="shared" si="14"/>
        <v>100</v>
      </c>
      <c r="X39" s="909"/>
      <c r="Y39" s="4560"/>
      <c r="Z39" s="907" t="str">
        <f t="shared" si="18"/>
        <v>市政基础设施</v>
      </c>
      <c r="AA39" s="907">
        <f t="shared" si="15"/>
        <v>1</v>
      </c>
      <c r="AB39" s="907">
        <f t="shared" si="16"/>
        <v>1</v>
      </c>
      <c r="AC39" s="907">
        <f t="shared" si="17"/>
        <v>1</v>
      </c>
    </row>
    <row r="40" spans="1:29" ht="15">
      <c r="A40" s="280"/>
      <c r="B40" s="2788" t="s">
        <v>1611</v>
      </c>
      <c r="C40" s="2825"/>
      <c r="D40" s="2889">
        <v>100</v>
      </c>
      <c r="E40" s="2868"/>
      <c r="F40" s="3727">
        <f>SUMIF(118:118,E40,119:119)-SUMIF(118:118,C40,119:119)+100</f>
        <v>100</v>
      </c>
      <c r="G40" s="2825"/>
      <c r="H40" s="3724">
        <f>SUMIF(118:118,G40,119:119)-SUMIF(118:118,C40,119:119)+100</f>
        <v>100</v>
      </c>
      <c r="I40" s="2868"/>
      <c r="J40" s="3724">
        <f>SUMIF(118:118,I40,119:119)-SUMIF(118:118,C40,119:119)+100</f>
        <v>100</v>
      </c>
      <c r="K40" s="2802"/>
      <c r="L40" s="1979"/>
      <c r="M40" s="1974"/>
      <c r="N40" s="1974"/>
      <c r="O40" s="1974"/>
      <c r="P40" s="4558"/>
      <c r="Q40" s="1506" t="str">
        <f t="shared" si="11"/>
        <v>房型</v>
      </c>
      <c r="R40" s="3734" t="s">
        <v>16</v>
      </c>
      <c r="S40" s="3156">
        <f t="shared" si="12"/>
        <v>100</v>
      </c>
      <c r="T40" s="3734" t="s">
        <v>16</v>
      </c>
      <c r="U40" s="3156">
        <f t="shared" si="13"/>
        <v>100</v>
      </c>
      <c r="V40" s="3734" t="s">
        <v>16</v>
      </c>
      <c r="W40" s="3156">
        <f t="shared" si="14"/>
        <v>100</v>
      </c>
      <c r="X40" s="909"/>
      <c r="Y40" s="4560"/>
      <c r="Z40" s="907" t="str">
        <f t="shared" si="18"/>
        <v>房型</v>
      </c>
      <c r="AA40" s="907">
        <f t="shared" si="15"/>
        <v>1</v>
      </c>
      <c r="AB40" s="907">
        <f t="shared" si="16"/>
        <v>1</v>
      </c>
      <c r="AC40" s="907">
        <f t="shared" si="17"/>
        <v>1</v>
      </c>
    </row>
    <row r="41" spans="1:29" s="279" customFormat="1" ht="28.5">
      <c r="A41" s="277"/>
      <c r="B41" s="2788" t="s">
        <v>1612</v>
      </c>
      <c r="C41" s="2881"/>
      <c r="D41" s="2887">
        <v>100</v>
      </c>
      <c r="E41" s="2841"/>
      <c r="F41" s="3718">
        <f>SUMIF(120:120,E41,121:121)-SUMIF(120:120,C41,121:121)+100</f>
        <v>100</v>
      </c>
      <c r="G41" s="2813"/>
      <c r="H41" s="3730">
        <f>SUMIF(120:120,G41,121:121)-SUMIF(120:120,C41,121:121)+100</f>
        <v>100</v>
      </c>
      <c r="I41" s="2882"/>
      <c r="J41" s="3724">
        <f>SUMIF(120:120,I41,121:121)-SUMIF(120:120,C41,121:121)+100</f>
        <v>100</v>
      </c>
      <c r="K41" s="2803"/>
      <c r="L41" s="1978"/>
      <c r="M41" s="1980"/>
      <c r="N41" s="1980"/>
      <c r="O41" s="1980"/>
      <c r="P41" s="4558"/>
      <c r="Q41" s="2863" t="str">
        <f t="shared" si="11"/>
        <v>单套/主力户型建筑面积</v>
      </c>
      <c r="R41" s="3735" t="s">
        <v>16</v>
      </c>
      <c r="S41" s="3157">
        <f t="shared" si="12"/>
        <v>100</v>
      </c>
      <c r="T41" s="3735" t="s">
        <v>16</v>
      </c>
      <c r="U41" s="3157">
        <f t="shared" si="13"/>
        <v>100</v>
      </c>
      <c r="V41" s="3735" t="s">
        <v>16</v>
      </c>
      <c r="W41" s="3157">
        <f t="shared" si="14"/>
        <v>100</v>
      </c>
      <c r="X41" s="484"/>
      <c r="Y41" s="4560"/>
      <c r="Z41" s="485" t="str">
        <f t="shared" si="18"/>
        <v>单套/主力户型建筑面积</v>
      </c>
      <c r="AA41" s="907">
        <f t="shared" si="15"/>
        <v>1</v>
      </c>
      <c r="AB41" s="907">
        <f t="shared" si="16"/>
        <v>1</v>
      </c>
      <c r="AC41" s="907">
        <f t="shared" si="17"/>
        <v>1</v>
      </c>
    </row>
    <row r="42" spans="1:29" ht="15">
      <c r="A42" s="280"/>
      <c r="B42" s="2788" t="s">
        <v>1613</v>
      </c>
      <c r="C42" s="2825"/>
      <c r="D42" s="2889">
        <v>100</v>
      </c>
      <c r="E42" s="2868"/>
      <c r="F42" s="3727">
        <f>SUMIF(122:122,E42,123:123)-SUMIF(122:122,C42,123:123)+100</f>
        <v>100</v>
      </c>
      <c r="G42" s="2825"/>
      <c r="H42" s="3724">
        <f>SUMIF(122:122,G42,123:123)-SUMIF(122:122,C42,123:123)+100</f>
        <v>100</v>
      </c>
      <c r="I42" s="2868"/>
      <c r="J42" s="3724">
        <f>SUMIF(122:122,I42,123:123)-SUMIF(122:122,C42,123:123)+100</f>
        <v>100</v>
      </c>
      <c r="K42" s="2802"/>
      <c r="L42" s="1979"/>
      <c r="M42" s="1974"/>
      <c r="N42" s="1974"/>
      <c r="O42" s="1974"/>
      <c r="P42" s="4558"/>
      <c r="Q42" s="1506" t="str">
        <f t="shared" si="11"/>
        <v>内部装修</v>
      </c>
      <c r="R42" s="3734" t="s">
        <v>16</v>
      </c>
      <c r="S42" s="3156">
        <f t="shared" si="12"/>
        <v>100</v>
      </c>
      <c r="T42" s="3734" t="s">
        <v>16</v>
      </c>
      <c r="U42" s="3156">
        <f t="shared" si="13"/>
        <v>100</v>
      </c>
      <c r="V42" s="3734" t="s">
        <v>16</v>
      </c>
      <c r="W42" s="3156">
        <f t="shared" si="14"/>
        <v>100</v>
      </c>
      <c r="X42" s="909"/>
      <c r="Y42" s="4560"/>
      <c r="Z42" s="907" t="str">
        <f t="shared" si="18"/>
        <v>内部装修</v>
      </c>
      <c r="AA42" s="907">
        <f t="shared" si="15"/>
        <v>1</v>
      </c>
      <c r="AB42" s="907">
        <f t="shared" si="16"/>
        <v>1</v>
      </c>
      <c r="AC42" s="907">
        <f t="shared" si="17"/>
        <v>1</v>
      </c>
    </row>
    <row r="43" spans="1:29" ht="15">
      <c r="A43" s="280"/>
      <c r="B43" s="2788" t="s">
        <v>1614</v>
      </c>
      <c r="C43" s="2825"/>
      <c r="D43" s="2889">
        <v>100</v>
      </c>
      <c r="E43" s="2868"/>
      <c r="F43" s="3727">
        <f>SUMIF(124:124,E43,125:125)-SUMIF(124:124,C43,125:125)+100</f>
        <v>100</v>
      </c>
      <c r="G43" s="2825"/>
      <c r="H43" s="3724">
        <f>SUMIF(124:124,G43,125:125)-SUMIF(124:124,C43,125:125)+100</f>
        <v>100</v>
      </c>
      <c r="I43" s="2868"/>
      <c r="J43" s="3724">
        <f>SUMIF(124:124,I43,125:125)-SUMIF(124:124,C43,125:125)+100</f>
        <v>100</v>
      </c>
      <c r="K43" s="2802"/>
      <c r="L43" s="1979"/>
      <c r="M43" s="1974"/>
      <c r="N43" s="1974"/>
      <c r="O43" s="1974"/>
      <c r="P43" s="4558"/>
      <c r="Q43" s="1506" t="str">
        <f t="shared" si="11"/>
        <v>内部装修维护情况</v>
      </c>
      <c r="R43" s="3734" t="s">
        <v>16</v>
      </c>
      <c r="S43" s="3156">
        <f t="shared" si="12"/>
        <v>100</v>
      </c>
      <c r="T43" s="3734" t="s">
        <v>16</v>
      </c>
      <c r="U43" s="3156">
        <f t="shared" si="13"/>
        <v>100</v>
      </c>
      <c r="V43" s="3734" t="s">
        <v>16</v>
      </c>
      <c r="W43" s="3156">
        <f t="shared" si="14"/>
        <v>100</v>
      </c>
      <c r="X43" s="909"/>
      <c r="Y43" s="4560"/>
      <c r="Z43" s="907" t="str">
        <f t="shared" si="18"/>
        <v>内部装修维护情况</v>
      </c>
      <c r="AA43" s="907">
        <f t="shared" si="15"/>
        <v>1</v>
      </c>
      <c r="AB43" s="907">
        <f t="shared" si="16"/>
        <v>1</v>
      </c>
      <c r="AC43" s="907">
        <f t="shared" si="17"/>
        <v>1</v>
      </c>
    </row>
    <row r="44" spans="1:29" s="46" customFormat="1" ht="15">
      <c r="A44" s="281"/>
      <c r="B44" s="2799">
        <v>111</v>
      </c>
      <c r="C44" s="2824"/>
      <c r="D44" s="2887">
        <v>100</v>
      </c>
      <c r="E44" s="2824"/>
      <c r="F44" s="3718">
        <f>SUMIF(126:126,E44,127:127)-SUMIF(126:126,C44,127:127)+100</f>
        <v>100</v>
      </c>
      <c r="G44" s="2824"/>
      <c r="H44" s="3730">
        <f>SUMIF(126:126,G44,127:127)-SUMIF(126:126,C44,127:127)+100</f>
        <v>100</v>
      </c>
      <c r="I44" s="2824"/>
      <c r="J44" s="3730">
        <f>SUMIF(126:126,I44,127:127)-SUMIF(126:126,C44,127:127)+100</f>
        <v>100</v>
      </c>
      <c r="K44" s="2803"/>
      <c r="L44" s="1975"/>
      <c r="M44" s="1928"/>
      <c r="N44" s="1928"/>
      <c r="O44" s="1928"/>
      <c r="P44" s="4558"/>
      <c r="Q44" s="1697">
        <f t="shared" si="11"/>
        <v>111</v>
      </c>
      <c r="R44" s="3632" t="s">
        <v>16</v>
      </c>
      <c r="S44" s="3155">
        <f t="shared" si="12"/>
        <v>100</v>
      </c>
      <c r="T44" s="3632" t="s">
        <v>16</v>
      </c>
      <c r="U44" s="3155">
        <f t="shared" si="13"/>
        <v>100</v>
      </c>
      <c r="V44" s="3632" t="s">
        <v>16</v>
      </c>
      <c r="W44" s="3155">
        <f t="shared" si="14"/>
        <v>100</v>
      </c>
      <c r="X44" s="482"/>
      <c r="Y44" s="4560"/>
      <c r="Z44" s="28">
        <f t="shared" si="18"/>
        <v>111</v>
      </c>
      <c r="AA44" s="28">
        <f t="shared" si="15"/>
        <v>1</v>
      </c>
      <c r="AB44" s="28">
        <f t="shared" si="16"/>
        <v>1</v>
      </c>
      <c r="AC44" s="28">
        <f t="shared" si="17"/>
        <v>1</v>
      </c>
    </row>
    <row r="45" spans="1:29" ht="1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03"/>
      <c r="L45" s="1979"/>
      <c r="M45" s="1974"/>
      <c r="N45" s="1974"/>
      <c r="O45" s="1974"/>
      <c r="P45" s="4558"/>
      <c r="Q45" s="1506">
        <f t="shared" si="11"/>
        <v>111</v>
      </c>
      <c r="R45" s="3734" t="s">
        <v>16</v>
      </c>
      <c r="S45" s="3156">
        <f t="shared" si="12"/>
        <v>100</v>
      </c>
      <c r="T45" s="3734" t="s">
        <v>16</v>
      </c>
      <c r="U45" s="3156">
        <f t="shared" si="13"/>
        <v>100</v>
      </c>
      <c r="V45" s="3734" t="s">
        <v>16</v>
      </c>
      <c r="W45" s="3156">
        <f t="shared" si="14"/>
        <v>100</v>
      </c>
      <c r="X45" s="909"/>
      <c r="Y45" s="4560"/>
      <c r="Z45" s="907">
        <f t="shared" si="18"/>
        <v>111</v>
      </c>
      <c r="AA45" s="907">
        <f t="shared" si="15"/>
        <v>1</v>
      </c>
      <c r="AB45" s="907">
        <f t="shared" si="16"/>
        <v>1</v>
      </c>
      <c r="AC45" s="907">
        <f t="shared" si="17"/>
        <v>1</v>
      </c>
    </row>
    <row r="46" spans="1:29" ht="15.75" thickBot="1">
      <c r="A46" s="285"/>
      <c r="B46" s="2793">
        <v>111</v>
      </c>
      <c r="C46" s="2817"/>
      <c r="D46" s="2890">
        <v>100</v>
      </c>
      <c r="E46" s="2817"/>
      <c r="F46" s="3719">
        <f>SUMIF(130:130,E46,131:131)-SUMIF(130:130,C46,131:131)+100</f>
        <v>100</v>
      </c>
      <c r="G46" s="2817"/>
      <c r="H46" s="3726">
        <f>SUMIF(130:130,G46,131:131)-SUMIF(130:130,C46,131:131)+100</f>
        <v>100</v>
      </c>
      <c r="I46" s="2817"/>
      <c r="J46" s="3726">
        <f>SUMIF(130:130,I46,131:131)-SUMIF(130:130,C46,131:131)+100</f>
        <v>100</v>
      </c>
      <c r="K46" s="2803"/>
      <c r="L46" s="1979"/>
      <c r="M46" s="1974"/>
      <c r="N46" s="1974"/>
      <c r="O46" s="1974"/>
      <c r="P46" s="4559"/>
      <c r="Q46" s="1506">
        <f t="shared" si="11"/>
        <v>111</v>
      </c>
      <c r="R46" s="3734" t="s">
        <v>15</v>
      </c>
      <c r="S46" s="3156">
        <f t="shared" si="12"/>
        <v>100</v>
      </c>
      <c r="T46" s="3734" t="s">
        <v>15</v>
      </c>
      <c r="U46" s="3156">
        <f t="shared" si="13"/>
        <v>100</v>
      </c>
      <c r="V46" s="3734" t="s">
        <v>15</v>
      </c>
      <c r="W46" s="3156">
        <f t="shared" si="14"/>
        <v>100</v>
      </c>
      <c r="X46" s="909"/>
      <c r="Y46" s="4561"/>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7"/>
      <c r="L47" s="1981"/>
      <c r="M47" s="1974"/>
      <c r="N47" s="1974"/>
      <c r="O47" s="1974"/>
      <c r="P47" s="4562" t="str">
        <f>A47</f>
        <v>成交单价（元/平方米）</v>
      </c>
      <c r="Q47" s="4562"/>
      <c r="R47" s="4563">
        <f>E47</f>
        <v>0</v>
      </c>
      <c r="S47" s="4563"/>
      <c r="T47" s="4563">
        <f>G47</f>
        <v>0</v>
      </c>
      <c r="U47" s="4563"/>
      <c r="V47" s="4563">
        <f>I47</f>
        <v>0</v>
      </c>
      <c r="W47" s="4563"/>
      <c r="X47" s="265"/>
      <c r="Y47" s="486"/>
      <c r="Z47" s="265"/>
      <c r="AA47" s="265"/>
      <c r="AB47" s="265"/>
      <c r="AC47" s="265"/>
    </row>
    <row r="48" spans="1:29" ht="15.75" thickBot="1">
      <c r="A48" s="289" t="s">
        <v>1616</v>
      </c>
      <c r="B48" s="290"/>
      <c r="C48" s="3732" t="e">
        <f>R49</f>
        <v>#DIV/0!</v>
      </c>
      <c r="D48" s="3845" t="s">
        <v>2042</v>
      </c>
      <c r="E48" s="2884" t="e">
        <f>R48</f>
        <v>#DIV/0!</v>
      </c>
      <c r="F48" s="2800"/>
      <c r="G48" s="2883" t="e">
        <f>T48</f>
        <v>#DIV/0!</v>
      </c>
      <c r="H48" s="2800"/>
      <c r="I48" s="2884" t="e">
        <f>V48</f>
        <v>#DIV/0!</v>
      </c>
      <c r="J48" s="2800"/>
      <c r="K48" s="2854">
        <f>F48+H48+J48</f>
        <v>0</v>
      </c>
      <c r="L48" s="1981"/>
      <c r="M48" s="1974"/>
      <c r="N48" s="1974"/>
      <c r="O48" s="1974"/>
      <c r="P48" s="4562" t="str">
        <f>A48</f>
        <v>比较价值（元/平方米）</v>
      </c>
      <c r="Q48" s="4562"/>
      <c r="R48" s="4563" t="e">
        <f>IF(F1="售价",ROUND(PRODUCT(R47,AA7:AA46),0),ROUND(PRODUCT(R47,AA7:AA46),1))</f>
        <v>#DIV/0!</v>
      </c>
      <c r="S48" s="4563"/>
      <c r="T48" s="4563" t="e">
        <f>IF(F1="售价",ROUND(PRODUCT(T47,AB7:AB46),0),ROUND(PRODUCT(T47,AB7:AB46),1))</f>
        <v>#DIV/0!</v>
      </c>
      <c r="U48" s="4563"/>
      <c r="V48" s="4563" t="e">
        <f>IF(F1="售价",ROUND(PRODUCT(V47,AC7:AC46),0),ROUND(PRODUCT(V47,AC7:AC46),1))</f>
        <v>#DIV/0!</v>
      </c>
      <c r="W48" s="4563"/>
      <c r="X48" s="265"/>
      <c r="Y48" s="265"/>
      <c r="Z48" s="265"/>
      <c r="AA48" s="265"/>
      <c r="AB48" s="265"/>
      <c r="AC48" s="265"/>
    </row>
    <row r="49" spans="1:29" ht="15.75" thickBot="1">
      <c r="A49" s="291" t="s">
        <v>1617</v>
      </c>
      <c r="B49" s="292"/>
      <c r="C49" s="3733" t="e">
        <f>R49</f>
        <v>#DIV/0!</v>
      </c>
      <c r="D49" s="241"/>
      <c r="E49" s="241"/>
      <c r="F49" s="241"/>
      <c r="G49" s="241"/>
      <c r="H49" s="241"/>
      <c r="I49" s="241"/>
      <c r="J49" s="241"/>
      <c r="K49" s="1371"/>
      <c r="L49" s="1981"/>
      <c r="M49" s="1974"/>
      <c r="N49" s="1974"/>
      <c r="O49" s="1974"/>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5"/>
      <c r="C59" s="780">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3873</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3" t="s">
        <v>1673</v>
      </c>
      <c r="C1" s="826" t="s">
        <v>1569</v>
      </c>
      <c r="D1" s="813"/>
      <c r="E1" s="2471"/>
      <c r="F1" s="1353"/>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713">
        <f>IF(C2="含税",D2,ROUND(D2/(1+F3),0))</f>
        <v>0</v>
      </c>
      <c r="C2" s="2783"/>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498.23</v>
      </c>
      <c r="E3" s="3846" t="s">
        <v>3476</v>
      </c>
      <c r="F3" s="3847">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611" t="s">
        <v>1677</v>
      </c>
      <c r="D4" s="4612"/>
      <c r="E4" s="4613" t="s">
        <v>1678</v>
      </c>
      <c r="F4" s="4614"/>
      <c r="G4" s="4611" t="s">
        <v>1679</v>
      </c>
      <c r="H4" s="4612"/>
      <c r="I4" s="4611" t="s">
        <v>1680</v>
      </c>
      <c r="J4" s="4612"/>
      <c r="K4" s="2862" t="s">
        <v>1681</v>
      </c>
      <c r="L4" s="1973"/>
      <c r="M4" s="1974"/>
      <c r="N4" s="1974"/>
      <c r="O4" s="1974"/>
      <c r="P4" s="4615" t="s">
        <v>1682</v>
      </c>
      <c r="Q4" s="4616"/>
      <c r="R4" s="4601" t="s">
        <v>1678</v>
      </c>
      <c r="S4" s="4602"/>
      <c r="T4" s="4601" t="s">
        <v>1679</v>
      </c>
      <c r="U4" s="4602"/>
      <c r="V4" s="4543" t="s">
        <v>1680</v>
      </c>
      <c r="W4" s="4543"/>
      <c r="X4" s="909"/>
      <c r="Y4" s="4620" t="s">
        <v>1682</v>
      </c>
      <c r="Z4" s="4621"/>
      <c r="AA4" s="4600" t="s">
        <v>1678</v>
      </c>
      <c r="AB4" s="4625" t="s">
        <v>1679</v>
      </c>
      <c r="AC4" s="4600" t="s">
        <v>1680</v>
      </c>
    </row>
    <row r="5" spans="1:29" ht="15">
      <c r="A5" s="238"/>
      <c r="B5" s="239"/>
      <c r="C5" s="4605" t="s">
        <v>1580</v>
      </c>
      <c r="D5" s="4606"/>
      <c r="E5" s="4603" t="s">
        <v>1581</v>
      </c>
      <c r="F5" s="4604"/>
      <c r="G5" s="4605" t="s">
        <v>1582</v>
      </c>
      <c r="H5" s="4606"/>
      <c r="I5" s="4605" t="s">
        <v>1583</v>
      </c>
      <c r="J5" s="4606"/>
      <c r="K5" s="2862"/>
      <c r="L5" s="1973"/>
      <c r="M5" s="1974"/>
      <c r="N5" s="1974"/>
      <c r="O5" s="1974"/>
      <c r="P5" s="4617"/>
      <c r="Q5" s="4537"/>
      <c r="R5" s="4516"/>
      <c r="S5" s="4517"/>
      <c r="T5" s="4516"/>
      <c r="U5" s="4517"/>
      <c r="V5" s="4543"/>
      <c r="W5" s="4543"/>
      <c r="X5" s="909"/>
      <c r="Y5" s="4548"/>
      <c r="Z5" s="4549"/>
      <c r="AA5" s="4510"/>
      <c r="AB5" s="4625"/>
      <c r="AC5" s="4510"/>
    </row>
    <row r="6" spans="1:29" ht="15.75" thickBot="1">
      <c r="A6" s="240"/>
      <c r="B6" s="241"/>
      <c r="C6" s="4607" t="s">
        <v>1584</v>
      </c>
      <c r="D6" s="4608"/>
      <c r="E6" s="4609" t="s">
        <v>1584</v>
      </c>
      <c r="F6" s="4610"/>
      <c r="G6" s="4607" t="s">
        <v>1584</v>
      </c>
      <c r="H6" s="4608"/>
      <c r="I6" s="4607" t="s">
        <v>1584</v>
      </c>
      <c r="J6" s="4608"/>
      <c r="K6" s="2862" t="s">
        <v>1585</v>
      </c>
      <c r="L6" s="1973"/>
      <c r="M6" s="1974"/>
      <c r="N6" s="1974"/>
      <c r="O6" s="1974"/>
      <c r="P6" s="4618"/>
      <c r="Q6" s="4539"/>
      <c r="R6" s="4516"/>
      <c r="S6" s="4517"/>
      <c r="T6" s="4540"/>
      <c r="U6" s="4541"/>
      <c r="V6" s="4543"/>
      <c r="W6" s="4543"/>
      <c r="X6" s="909"/>
      <c r="Y6" s="4550"/>
      <c r="Z6" s="4551"/>
      <c r="AA6" s="4511"/>
      <c r="AB6" s="4625"/>
      <c r="AC6" s="4511"/>
    </row>
    <row r="7" spans="1:29" s="46" customFormat="1" ht="15.75" thickBot="1">
      <c r="A7" s="242" t="s">
        <v>1586</v>
      </c>
      <c r="B7" s="243"/>
      <c r="C7" s="244">
        <f>'数据-取费表'!B2</f>
        <v>46097</v>
      </c>
      <c r="D7" s="2885">
        <v>100</v>
      </c>
      <c r="E7" s="2839"/>
      <c r="F7" s="3716">
        <f>SUMIF(58:58,YEAR(E7)&amp;"-"&amp;MONTH(E7),59:59)</f>
        <v>0</v>
      </c>
      <c r="G7" s="2839"/>
      <c r="H7" s="3728">
        <f>SUMIF(58:58,YEAR(G7)&amp;"-"&amp;MONTH(G7),59:59)</f>
        <v>0</v>
      </c>
      <c r="I7" s="2839"/>
      <c r="J7" s="3728">
        <f>SUMIF(58:58,YEAR(I7)&amp;"-"&amp;MONTH(I7),59:59)</f>
        <v>0</v>
      </c>
      <c r="K7" s="2855"/>
      <c r="L7" s="1975"/>
      <c r="M7" s="1928"/>
      <c r="N7" s="1928"/>
      <c r="O7" s="1928"/>
      <c r="P7" s="4619" t="s">
        <v>1587</v>
      </c>
      <c r="Q7" s="4552"/>
      <c r="R7" s="3632" t="s">
        <v>13</v>
      </c>
      <c r="S7" s="3155">
        <f t="shared" ref="S7:S15" si="0">F7</f>
        <v>0</v>
      </c>
      <c r="T7" s="3632" t="s">
        <v>13</v>
      </c>
      <c r="U7" s="3155">
        <f t="shared" ref="U7:U15" si="1">H7</f>
        <v>0</v>
      </c>
      <c r="V7" s="3632" t="s">
        <v>13</v>
      </c>
      <c r="W7" s="3155">
        <f t="shared" ref="W7:W15" si="2">J7</f>
        <v>0</v>
      </c>
      <c r="X7" s="482"/>
      <c r="Y7" s="4512" t="s">
        <v>1587</v>
      </c>
      <c r="Z7" s="4513"/>
      <c r="AA7" s="28" t="e">
        <f>D7/F7</f>
        <v>#DIV/0!</v>
      </c>
      <c r="AB7" s="28" t="e">
        <f>D7/H7</f>
        <v>#DIV/0!</v>
      </c>
      <c r="AC7" s="28" t="e">
        <f>D7/J7</f>
        <v>#DIV/0!</v>
      </c>
    </row>
    <row r="8" spans="1:29" s="46" customFormat="1" ht="15.75" thickBot="1">
      <c r="A8" s="242" t="s">
        <v>1588</v>
      </c>
      <c r="B8" s="243"/>
      <c r="C8" s="246"/>
      <c r="D8" s="2885">
        <v>100</v>
      </c>
      <c r="E8" s="2811"/>
      <c r="F8" s="3716">
        <f>SUMIF(61:61,E8,62:62)-SUMIF(61:61,C8,62:62)+100</f>
        <v>100</v>
      </c>
      <c r="G8" s="2811"/>
      <c r="H8" s="3728">
        <f>SUMIF(61:61,G8,62:62)-SUMIF(61:61,C8,62:62)+100</f>
        <v>100</v>
      </c>
      <c r="I8" s="2811"/>
      <c r="J8" s="3728">
        <f>SUMIF(61:61,I8,62:62)-SUMIF(61:61,C8,62:62)+100</f>
        <v>100</v>
      </c>
      <c r="K8" s="2855"/>
      <c r="L8" s="1975"/>
      <c r="M8" s="1928"/>
      <c r="N8" s="1928"/>
      <c r="O8" s="1928"/>
      <c r="P8" s="4619" t="s">
        <v>1590</v>
      </c>
      <c r="Q8" s="4545"/>
      <c r="R8" s="3632" t="s">
        <v>13</v>
      </c>
      <c r="S8" s="3155">
        <f t="shared" si="0"/>
        <v>100</v>
      </c>
      <c r="T8" s="3632" t="s">
        <v>13</v>
      </c>
      <c r="U8" s="3155">
        <f t="shared" si="1"/>
        <v>100</v>
      </c>
      <c r="V8" s="3632" t="s">
        <v>13</v>
      </c>
      <c r="W8" s="3155">
        <f t="shared" si="2"/>
        <v>100</v>
      </c>
      <c r="X8" s="482"/>
      <c r="Y8" s="4512" t="s">
        <v>1590</v>
      </c>
      <c r="Z8" s="4513"/>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7">
        <f>SUMIF(63:63,E9,64:64)-SUMIF(63:63,C9,64:64)+100</f>
        <v>100</v>
      </c>
      <c r="G9" s="2840"/>
      <c r="H9" s="3729">
        <f>SUMIF(63:63,G9,64:64)-SUMIF(63:63,C9,64:64)+100</f>
        <v>100</v>
      </c>
      <c r="I9" s="2840"/>
      <c r="J9" s="3729">
        <f>SUMIF(63:63,I9,64:64)-SUMIF(63:63,C9,64:64)+100</f>
        <v>100</v>
      </c>
      <c r="K9" s="2855"/>
      <c r="L9" s="1975"/>
      <c r="M9" s="1928"/>
      <c r="N9" s="1928"/>
      <c r="O9" s="1928"/>
      <c r="P9" s="4525" t="s">
        <v>1593</v>
      </c>
      <c r="Q9" s="1697" t="str">
        <f t="shared" ref="Q9:Q15" si="6">B9</f>
        <v>用途</v>
      </c>
      <c r="R9" s="3632" t="s">
        <v>13</v>
      </c>
      <c r="S9" s="3155">
        <f t="shared" si="0"/>
        <v>100</v>
      </c>
      <c r="T9" s="3632" t="s">
        <v>13</v>
      </c>
      <c r="U9" s="3155">
        <f t="shared" si="1"/>
        <v>100</v>
      </c>
      <c r="V9" s="3632" t="s">
        <v>13</v>
      </c>
      <c r="W9" s="3155">
        <f t="shared" si="2"/>
        <v>100</v>
      </c>
      <c r="X9" s="482"/>
      <c r="Y9" s="4526"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8">
        <f>SUMIF(65:65,E10,66:66)-SUMIF(65:65,C10,66:66)+100</f>
        <v>100</v>
      </c>
      <c r="G10" s="2813"/>
      <c r="H10" s="3730">
        <f>SUMIF(65:65,G10,66:66)-SUMIF(65:65,C10,66:66)+100</f>
        <v>100</v>
      </c>
      <c r="I10" s="2813"/>
      <c r="J10" s="3730">
        <f>SUMIF(65:65,I10,66:66)-SUMIF(65:65,C10,66:66)+100</f>
        <v>100</v>
      </c>
      <c r="K10" s="2855"/>
      <c r="L10" s="1976"/>
      <c r="M10" s="1977"/>
      <c r="N10" s="1977"/>
      <c r="O10" s="1977"/>
      <c r="P10" s="4525"/>
      <c r="Q10" s="1697" t="str">
        <f t="shared" si="6"/>
        <v>土地使用年限（年）</v>
      </c>
      <c r="R10" s="3632" t="s">
        <v>13</v>
      </c>
      <c r="S10" s="3155">
        <f t="shared" si="0"/>
        <v>100</v>
      </c>
      <c r="T10" s="3632" t="s">
        <v>13</v>
      </c>
      <c r="U10" s="3155">
        <f t="shared" si="1"/>
        <v>100</v>
      </c>
      <c r="V10" s="3632" t="s">
        <v>13</v>
      </c>
      <c r="W10" s="3155">
        <f t="shared" si="2"/>
        <v>100</v>
      </c>
      <c r="X10" s="482"/>
      <c r="Y10" s="4526"/>
      <c r="Z10" s="28" t="str">
        <f t="shared" si="7"/>
        <v>土地使用年限（年）</v>
      </c>
      <c r="AA10" s="28">
        <f t="shared" si="3"/>
        <v>1</v>
      </c>
      <c r="AB10" s="28">
        <f t="shared" si="4"/>
        <v>1</v>
      </c>
      <c r="AC10" s="28">
        <f t="shared" si="5"/>
        <v>1</v>
      </c>
    </row>
    <row r="11" spans="1:29" ht="15">
      <c r="A11" s="254"/>
      <c r="B11" s="2788" t="s">
        <v>1596</v>
      </c>
      <c r="C11" s="2814"/>
      <c r="D11" s="2887">
        <v>100</v>
      </c>
      <c r="E11" s="2842"/>
      <c r="F11" s="3718">
        <f>LOOKUP(E11,68:68,69:69)-LOOKUP(C11,68:68,69:69)+100</f>
        <v>100</v>
      </c>
      <c r="G11" s="2814"/>
      <c r="H11" s="3730">
        <f>LOOKUP(G11,68:68,69:69)-LOOKUP(C11,68:68,69:69)+100</f>
        <v>100</v>
      </c>
      <c r="I11" s="2814"/>
      <c r="J11" s="3730">
        <f>LOOKUP(I11,68:68,69:69)-LOOKUP(C11,68:68,69:69)+100</f>
        <v>100</v>
      </c>
      <c r="K11" s="2856"/>
      <c r="L11" s="1978"/>
      <c r="M11" s="1974"/>
      <c r="N11" s="1974"/>
      <c r="O11" s="1974"/>
      <c r="P11" s="4525"/>
      <c r="Q11" s="1697" t="str">
        <f t="shared" si="6"/>
        <v>容积率</v>
      </c>
      <c r="R11" s="3632" t="s">
        <v>13</v>
      </c>
      <c r="S11" s="3155">
        <f t="shared" si="0"/>
        <v>100</v>
      </c>
      <c r="T11" s="3632" t="s">
        <v>13</v>
      </c>
      <c r="U11" s="3155">
        <f t="shared" si="1"/>
        <v>100</v>
      </c>
      <c r="V11" s="3632" t="s">
        <v>13</v>
      </c>
      <c r="W11" s="3155">
        <f t="shared" si="2"/>
        <v>100</v>
      </c>
      <c r="X11" s="482"/>
      <c r="Y11" s="4526"/>
      <c r="Z11" s="28" t="str">
        <f t="shared" si="7"/>
        <v>容积率</v>
      </c>
      <c r="AA11" s="28">
        <f t="shared" si="3"/>
        <v>1</v>
      </c>
      <c r="AB11" s="28">
        <f t="shared" si="4"/>
        <v>1</v>
      </c>
      <c r="AC11" s="28">
        <f t="shared" si="5"/>
        <v>1</v>
      </c>
    </row>
    <row r="12" spans="1:29" s="46" customFormat="1" ht="15">
      <c r="A12" s="257"/>
      <c r="B12" s="2792">
        <v>111</v>
      </c>
      <c r="C12" s="2815"/>
      <c r="D12" s="2888">
        <v>100</v>
      </c>
      <c r="E12" s="2816"/>
      <c r="F12" s="3718">
        <f>SUMIF(70:70,E12,71:71)-SUMIF(70:70,C12,71:71)+100</f>
        <v>100</v>
      </c>
      <c r="G12" s="2816"/>
      <c r="H12" s="3730">
        <f>SUMIF(70:70,G12,71:71)-SUMIF(70:70,C12,71:71)+100</f>
        <v>100</v>
      </c>
      <c r="I12" s="2816"/>
      <c r="J12" s="3730">
        <f>SUMIF(70:70,I12,71:71)-SUMIF(70:70,C12,71:71)+100</f>
        <v>100</v>
      </c>
      <c r="K12" s="2857"/>
      <c r="L12" s="1975"/>
      <c r="M12" s="1928"/>
      <c r="N12" s="1928"/>
      <c r="O12" s="1928"/>
      <c r="P12" s="4525"/>
      <c r="Q12" s="1697">
        <f t="shared" si="6"/>
        <v>111</v>
      </c>
      <c r="R12" s="3632" t="s">
        <v>13</v>
      </c>
      <c r="S12" s="3155">
        <f t="shared" si="0"/>
        <v>100</v>
      </c>
      <c r="T12" s="3632" t="s">
        <v>13</v>
      </c>
      <c r="U12" s="3155">
        <f t="shared" si="1"/>
        <v>100</v>
      </c>
      <c r="V12" s="3632" t="s">
        <v>13</v>
      </c>
      <c r="W12" s="3155">
        <f t="shared" si="2"/>
        <v>100</v>
      </c>
      <c r="X12" s="482"/>
      <c r="Y12" s="4526"/>
      <c r="Z12" s="28">
        <f t="shared" si="7"/>
        <v>111</v>
      </c>
      <c r="AA12" s="28">
        <f>D12/F12</f>
        <v>1</v>
      </c>
      <c r="AB12" s="28">
        <f>D12/H12</f>
        <v>1</v>
      </c>
      <c r="AC12" s="28">
        <f>D12/J12</f>
        <v>1</v>
      </c>
    </row>
    <row r="13" spans="1:29" ht="1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57"/>
      <c r="L13" s="1979"/>
      <c r="M13" s="1974"/>
      <c r="N13" s="1974"/>
      <c r="O13" s="1974"/>
      <c r="P13" s="4525"/>
      <c r="Q13" s="1697">
        <f t="shared" si="6"/>
        <v>111</v>
      </c>
      <c r="R13" s="3632" t="s">
        <v>13</v>
      </c>
      <c r="S13" s="3155">
        <f t="shared" si="0"/>
        <v>100</v>
      </c>
      <c r="T13" s="3632" t="s">
        <v>13</v>
      </c>
      <c r="U13" s="3155">
        <f t="shared" si="1"/>
        <v>100</v>
      </c>
      <c r="V13" s="3632" t="s">
        <v>13</v>
      </c>
      <c r="W13" s="3155">
        <f t="shared" si="2"/>
        <v>100</v>
      </c>
      <c r="X13" s="482"/>
      <c r="Y13" s="4526"/>
      <c r="Z13" s="28">
        <f t="shared" si="7"/>
        <v>111</v>
      </c>
      <c r="AA13" s="28">
        <f t="shared" si="3"/>
        <v>1</v>
      </c>
      <c r="AB13" s="28">
        <f t="shared" si="4"/>
        <v>1</v>
      </c>
      <c r="AC13" s="28">
        <f t="shared" si="5"/>
        <v>1</v>
      </c>
    </row>
    <row r="14" spans="1:29" ht="15.75" thickBot="1">
      <c r="A14" s="260"/>
      <c r="B14" s="2793">
        <v>111</v>
      </c>
      <c r="C14" s="2817"/>
      <c r="D14" s="2890">
        <v>100</v>
      </c>
      <c r="E14" s="2816"/>
      <c r="F14" s="3719">
        <f>SUMIF(74:74,E14,75:75)-SUMIF(74:74,C14,75:75)+100</f>
        <v>100</v>
      </c>
      <c r="G14" s="2816"/>
      <c r="H14" s="3726">
        <f>SUMIF(74:74,G14,75:75)-SUMIF(74:74,C14,75:75)+100</f>
        <v>100</v>
      </c>
      <c r="I14" s="2816"/>
      <c r="J14" s="3726">
        <f>SUMIF(74:74,I14,75:75)-SUMIF(74:74,C14,75:75)+100</f>
        <v>100</v>
      </c>
      <c r="K14" s="2857"/>
      <c r="L14" s="1979"/>
      <c r="M14" s="1974"/>
      <c r="N14" s="1974"/>
      <c r="O14" s="1974"/>
      <c r="P14" s="4525"/>
      <c r="Q14" s="1697">
        <f t="shared" si="6"/>
        <v>111</v>
      </c>
      <c r="R14" s="3632" t="s">
        <v>13</v>
      </c>
      <c r="S14" s="3155">
        <f t="shared" si="0"/>
        <v>100</v>
      </c>
      <c r="T14" s="3632" t="s">
        <v>13</v>
      </c>
      <c r="U14" s="3155">
        <f t="shared" si="1"/>
        <v>100</v>
      </c>
      <c r="V14" s="3632" t="s">
        <v>13</v>
      </c>
      <c r="W14" s="3155">
        <f t="shared" si="2"/>
        <v>100</v>
      </c>
      <c r="X14" s="482"/>
      <c r="Y14" s="4526"/>
      <c r="Z14" s="28">
        <f t="shared" si="7"/>
        <v>111</v>
      </c>
      <c r="AA14" s="28">
        <f t="shared" si="3"/>
        <v>1</v>
      </c>
      <c r="AB14" s="28">
        <f t="shared" si="4"/>
        <v>1</v>
      </c>
      <c r="AC14" s="28">
        <f t="shared" si="5"/>
        <v>1</v>
      </c>
    </row>
    <row r="15" spans="1:29" ht="71.25">
      <c r="A15" s="262" t="s">
        <v>1597</v>
      </c>
      <c r="B15" s="2794" t="s">
        <v>1684</v>
      </c>
      <c r="C15" s="2818" t="str">
        <f>估价对象房地状况!C4</f>
        <v>估价对象位于XX商圈，周边商业氛围成熟，人流量大，商业繁华度好</v>
      </c>
      <c r="D15" s="2891">
        <v>100</v>
      </c>
      <c r="E15" s="2843"/>
      <c r="F15" s="3738">
        <f>SUMIF(76:76,E16,77:77)-SUMIF(76:76,C16,77:77)+100</f>
        <v>100</v>
      </c>
      <c r="G15" s="2849"/>
      <c r="H15" s="3720">
        <f>SUMIF(76:76,G16,77:77)-SUMIF(76:76,C16,77:77)+100</f>
        <v>100</v>
      </c>
      <c r="I15" s="2843"/>
      <c r="J15" s="3720">
        <f>SUMIF(76:76,I16,77:77)-SUMIF(76:76,C16,77:77)+100</f>
        <v>100</v>
      </c>
      <c r="K15" s="2858"/>
      <c r="L15" s="1979"/>
      <c r="M15" s="1974"/>
      <c r="N15" s="1974"/>
      <c r="O15" s="1974"/>
      <c r="P15" s="4553" t="s">
        <v>1598</v>
      </c>
      <c r="Q15" s="1506" t="str">
        <f t="shared" si="6"/>
        <v>商业繁华度</v>
      </c>
      <c r="R15" s="3734" t="s">
        <v>13</v>
      </c>
      <c r="S15" s="3156">
        <f t="shared" si="0"/>
        <v>100</v>
      </c>
      <c r="T15" s="3734" t="s">
        <v>13</v>
      </c>
      <c r="U15" s="3156">
        <f t="shared" si="1"/>
        <v>100</v>
      </c>
      <c r="V15" s="3734" t="s">
        <v>13</v>
      </c>
      <c r="W15" s="3156">
        <f t="shared" si="2"/>
        <v>100</v>
      </c>
      <c r="X15" s="909"/>
      <c r="Y15" s="4555" t="s">
        <v>1598</v>
      </c>
      <c r="Z15" s="907" t="str">
        <f t="shared" si="7"/>
        <v>商业繁华度</v>
      </c>
      <c r="AA15" s="907">
        <f t="shared" si="3"/>
        <v>1</v>
      </c>
      <c r="AB15" s="907">
        <f t="shared" si="4"/>
        <v>1</v>
      </c>
      <c r="AC15" s="907">
        <f t="shared" si="5"/>
        <v>1</v>
      </c>
    </row>
    <row r="16" spans="1:29" ht="15">
      <c r="A16" s="254"/>
      <c r="B16" s="2795"/>
      <c r="C16" s="2819"/>
      <c r="D16" s="2892"/>
      <c r="E16" s="2819"/>
      <c r="F16" s="3739"/>
      <c r="G16" s="2819"/>
      <c r="H16" s="3722"/>
      <c r="I16" s="2819"/>
      <c r="J16" s="3721"/>
      <c r="K16" s="2859"/>
      <c r="L16" s="1979"/>
      <c r="M16" s="1974"/>
      <c r="N16" s="1974"/>
      <c r="O16" s="1974"/>
      <c r="P16" s="4554"/>
      <c r="Q16" s="1506"/>
      <c r="R16" s="3734"/>
      <c r="S16" s="3156"/>
      <c r="T16" s="3734"/>
      <c r="U16" s="3156"/>
      <c r="V16" s="3734"/>
      <c r="W16" s="3156"/>
      <c r="X16" s="909"/>
      <c r="Y16" s="4556"/>
      <c r="Z16" s="907"/>
      <c r="AA16" s="907">
        <v>1</v>
      </c>
      <c r="AB16" s="907">
        <v>1</v>
      </c>
      <c r="AC16" s="907">
        <v>1</v>
      </c>
    </row>
    <row r="17" spans="1:29" ht="85.5">
      <c r="A17" s="254"/>
      <c r="B17" s="2796" t="s">
        <v>1237</v>
      </c>
      <c r="C17" s="2820" t="str">
        <f>估价对象房地状况!C6</f>
        <v>估价对象周边道路状况、公共交通通达情况、停车便捷程度，综合评价交通便捷度较好</v>
      </c>
      <c r="D17" s="2893">
        <v>100</v>
      </c>
      <c r="E17" s="2844"/>
      <c r="F17" s="3740">
        <f>SUMIF(78:78,E18,79:79)-SUMIF(78:78,C18,79:79)+100</f>
        <v>100</v>
      </c>
      <c r="G17" s="2850"/>
      <c r="H17" s="3723">
        <f>SUMIF(78:78,G18,79:79)-SUMIF(78:78,C18,79:79)+100</f>
        <v>100</v>
      </c>
      <c r="I17" s="2844"/>
      <c r="J17" s="3723">
        <f>SUMIF(78:78,I18,79:79)-SUMIF(78:78,C18,79:79)+100</f>
        <v>100</v>
      </c>
      <c r="K17" s="2858"/>
      <c r="L17" s="1979"/>
      <c r="M17" s="1974"/>
      <c r="N17" s="1974"/>
      <c r="O17" s="1974"/>
      <c r="P17" s="4554"/>
      <c r="Q17" s="1506" t="str">
        <f>B17</f>
        <v>交通便捷度</v>
      </c>
      <c r="R17" s="3734" t="s">
        <v>13</v>
      </c>
      <c r="S17" s="3156">
        <f>F17</f>
        <v>100</v>
      </c>
      <c r="T17" s="3734" t="s">
        <v>13</v>
      </c>
      <c r="U17" s="3156">
        <f>H17</f>
        <v>100</v>
      </c>
      <c r="V17" s="3734" t="s">
        <v>13</v>
      </c>
      <c r="W17" s="3156">
        <f>J17</f>
        <v>100</v>
      </c>
      <c r="X17" s="909"/>
      <c r="Y17" s="4556"/>
      <c r="Z17" s="907" t="str">
        <f>Q17</f>
        <v>交通便捷度</v>
      </c>
      <c r="AA17" s="907">
        <f t="shared" si="3"/>
        <v>1</v>
      </c>
      <c r="AB17" s="907">
        <f t="shared" si="4"/>
        <v>1</v>
      </c>
      <c r="AC17" s="907">
        <f t="shared" si="5"/>
        <v>1</v>
      </c>
    </row>
    <row r="18" spans="1:29" ht="15">
      <c r="A18" s="254"/>
      <c r="B18" s="2797"/>
      <c r="C18" s="2821"/>
      <c r="D18" s="2893"/>
      <c r="E18" s="2845"/>
      <c r="F18" s="3740"/>
      <c r="G18" s="2851"/>
      <c r="H18" s="3721"/>
      <c r="I18" s="2845"/>
      <c r="J18" s="3721"/>
      <c r="K18" s="2859"/>
      <c r="L18" s="1979"/>
      <c r="M18" s="1974"/>
      <c r="N18" s="1974"/>
      <c r="O18" s="1974"/>
      <c r="P18" s="4554"/>
      <c r="Q18" s="1506"/>
      <c r="R18" s="3734"/>
      <c r="S18" s="3156"/>
      <c r="T18" s="3734"/>
      <c r="U18" s="3156"/>
      <c r="V18" s="3734"/>
      <c r="W18" s="3156"/>
      <c r="X18" s="909"/>
      <c r="Y18" s="4556"/>
      <c r="Z18" s="907"/>
      <c r="AA18" s="907">
        <v>1</v>
      </c>
      <c r="AB18" s="907">
        <v>1</v>
      </c>
      <c r="AC18" s="907">
        <v>1</v>
      </c>
    </row>
    <row r="19" spans="1:29" ht="42.75">
      <c r="A19" s="254"/>
      <c r="B19" s="2796" t="s">
        <v>1685</v>
      </c>
      <c r="C19" s="2820" t="str">
        <f>估价对象房地状况!C7</f>
        <v>估价对象所在区域公共配套设施齐备情况</v>
      </c>
      <c r="D19" s="2894">
        <v>100</v>
      </c>
      <c r="E19" s="2846"/>
      <c r="F19" s="3741">
        <f>SUMIF(80:80,E20,81:81)-SUMIF(80:80,C20,81:81)+100</f>
        <v>100</v>
      </c>
      <c r="G19" s="2852"/>
      <c r="H19" s="3722">
        <f>SUMIF(80:80,G20,81:81)-SUMIF(80:80,C20,81:81)+100</f>
        <v>100</v>
      </c>
      <c r="I19" s="2846"/>
      <c r="J19" s="3722">
        <f>SUMIF(80:80,I20,81:81)-SUMIF(80:80,C20,81:81)+100</f>
        <v>100</v>
      </c>
      <c r="K19" s="2858"/>
      <c r="L19" s="1979"/>
      <c r="M19" s="1974"/>
      <c r="N19" s="1974"/>
      <c r="O19" s="1974"/>
      <c r="P19" s="4554"/>
      <c r="Q19" s="1506" t="str">
        <f>B19</f>
        <v>公共配套设施</v>
      </c>
      <c r="R19" s="3734" t="s">
        <v>13</v>
      </c>
      <c r="S19" s="3156">
        <f>F19</f>
        <v>100</v>
      </c>
      <c r="T19" s="3734" t="s">
        <v>13</v>
      </c>
      <c r="U19" s="3156">
        <f>H19</f>
        <v>100</v>
      </c>
      <c r="V19" s="3734" t="s">
        <v>13</v>
      </c>
      <c r="W19" s="3156">
        <f>J19</f>
        <v>100</v>
      </c>
      <c r="X19" s="909"/>
      <c r="Y19" s="4556"/>
      <c r="Z19" s="907" t="str">
        <f>Q19</f>
        <v>公共配套设施</v>
      </c>
      <c r="AA19" s="907">
        <f t="shared" si="3"/>
        <v>1</v>
      </c>
      <c r="AB19" s="907">
        <f t="shared" si="4"/>
        <v>1</v>
      </c>
      <c r="AC19" s="907">
        <f t="shared" si="5"/>
        <v>1</v>
      </c>
    </row>
    <row r="20" spans="1:29" ht="15">
      <c r="A20" s="254"/>
      <c r="B20" s="2797"/>
      <c r="C20" s="2819"/>
      <c r="D20" s="2892"/>
      <c r="E20" s="2847"/>
      <c r="F20" s="3739"/>
      <c r="G20" s="2853"/>
      <c r="H20" s="3721"/>
      <c r="I20" s="2847"/>
      <c r="J20" s="3721"/>
      <c r="K20" s="2859"/>
      <c r="L20" s="1979"/>
      <c r="M20" s="1974"/>
      <c r="N20" s="1974"/>
      <c r="O20" s="1974"/>
      <c r="P20" s="4554"/>
      <c r="Q20" s="1506"/>
      <c r="R20" s="3734"/>
      <c r="S20" s="3156"/>
      <c r="T20" s="3734"/>
      <c r="U20" s="3156"/>
      <c r="V20" s="3734"/>
      <c r="W20" s="3156"/>
      <c r="X20" s="909"/>
      <c r="Y20" s="4556"/>
      <c r="Z20" s="907"/>
      <c r="AA20" s="907">
        <v>1</v>
      </c>
      <c r="AB20" s="907">
        <v>1</v>
      </c>
      <c r="AC20" s="907">
        <v>1</v>
      </c>
    </row>
    <row r="21" spans="1:29" ht="28.5">
      <c r="A21" s="254"/>
      <c r="B21" s="2798" t="s">
        <v>1686</v>
      </c>
      <c r="C21" s="2820" t="str">
        <f>估价对象房地状况!C8</f>
        <v>估价对象所在区域基础设施水平</v>
      </c>
      <c r="D21" s="2894">
        <v>100</v>
      </c>
      <c r="E21" s="2846"/>
      <c r="F21" s="3741">
        <f>SUMIF(82:82,E22,83:83)-SUMIF(82:82,C22,83:83)+100</f>
        <v>100</v>
      </c>
      <c r="G21" s="2852"/>
      <c r="H21" s="3722">
        <f>SUMIF(82:82,G22,83:83)-SUMIF(82:82,C22,83:83)+100</f>
        <v>100</v>
      </c>
      <c r="I21" s="2846"/>
      <c r="J21" s="3722">
        <f>SUMIF(82:82,I22,83:83)-SUMIF(82:82,C22,83:83)+100</f>
        <v>100</v>
      </c>
      <c r="K21" s="2858"/>
      <c r="L21" s="1979"/>
      <c r="M21" s="1974"/>
      <c r="N21" s="1974"/>
      <c r="O21" s="1974"/>
      <c r="P21" s="4554"/>
      <c r="Q21" s="1506" t="str">
        <f>B21</f>
        <v>基础设施水平</v>
      </c>
      <c r="R21" s="3734" t="s">
        <v>13</v>
      </c>
      <c r="S21" s="3156">
        <f>F21</f>
        <v>100</v>
      </c>
      <c r="T21" s="3734" t="s">
        <v>13</v>
      </c>
      <c r="U21" s="3156">
        <f>H21</f>
        <v>100</v>
      </c>
      <c r="V21" s="3734" t="s">
        <v>13</v>
      </c>
      <c r="W21" s="3156">
        <f>J21</f>
        <v>100</v>
      </c>
      <c r="X21" s="909"/>
      <c r="Y21" s="4556"/>
      <c r="Z21" s="907" t="str">
        <f>Q21</f>
        <v>基础设施水平</v>
      </c>
      <c r="AA21" s="907">
        <f t="shared" ref="AA21" si="8">D21/F21</f>
        <v>1</v>
      </c>
      <c r="AB21" s="907">
        <f t="shared" ref="AB21" si="9">D21/H21</f>
        <v>1</v>
      </c>
      <c r="AC21" s="907">
        <f t="shared" ref="AC21" si="10">D21/J21</f>
        <v>1</v>
      </c>
    </row>
    <row r="22" spans="1:29" ht="15">
      <c r="A22" s="254"/>
      <c r="B22" s="2798"/>
      <c r="C22" s="2821"/>
      <c r="D22" s="2892"/>
      <c r="E22" s="2819"/>
      <c r="F22" s="3739"/>
      <c r="G22" s="2819"/>
      <c r="H22" s="3721"/>
      <c r="I22" s="2819"/>
      <c r="J22" s="3721"/>
      <c r="K22" s="2860"/>
      <c r="L22" s="1979"/>
      <c r="M22" s="1974"/>
      <c r="N22" s="1974"/>
      <c r="O22" s="1974"/>
      <c r="P22" s="4554"/>
      <c r="Q22" s="1506"/>
      <c r="R22" s="3734"/>
      <c r="S22" s="3156"/>
      <c r="T22" s="3734"/>
      <c r="U22" s="3156"/>
      <c r="V22" s="3734"/>
      <c r="W22" s="3156"/>
      <c r="X22" s="909"/>
      <c r="Y22" s="4556"/>
      <c r="Z22" s="907"/>
      <c r="AA22" s="907">
        <v>1</v>
      </c>
      <c r="AB22" s="907">
        <v>1</v>
      </c>
      <c r="AC22" s="907">
        <v>1</v>
      </c>
    </row>
    <row r="23" spans="1:29" ht="57">
      <c r="A23" s="254"/>
      <c r="B23" s="2796" t="s">
        <v>1239</v>
      </c>
      <c r="C23" s="2834" t="str">
        <f>估价对象房地状况!C9</f>
        <v>区域自然环境：；人文环境；综合评价环境状况一般</v>
      </c>
      <c r="D23" s="2893">
        <v>100</v>
      </c>
      <c r="E23" s="2844"/>
      <c r="F23" s="3740">
        <f>SUMIF(84:84,E24,85:85)-SUMIF(84:84,C24,85:85)+100</f>
        <v>100</v>
      </c>
      <c r="G23" s="2850"/>
      <c r="H23" s="3722">
        <f>SUMIF(84:84,G24,85:85)-SUMIF(84:84,C24,85:85)+100</f>
        <v>100</v>
      </c>
      <c r="I23" s="2844"/>
      <c r="J23" s="3722">
        <f>SUMIF(84:84,I24,85:85)-SUMIF(84:84,C24,85:85)+100</f>
        <v>100</v>
      </c>
      <c r="K23" s="2858"/>
      <c r="L23" s="1979"/>
      <c r="M23" s="1974"/>
      <c r="N23" s="1974"/>
      <c r="O23" s="1974"/>
      <c r="P23" s="4554"/>
      <c r="Q23" s="1506" t="str">
        <f>B23</f>
        <v>自然及人文环境</v>
      </c>
      <c r="R23" s="3734" t="s">
        <v>13</v>
      </c>
      <c r="S23" s="3156">
        <f>F23</f>
        <v>100</v>
      </c>
      <c r="T23" s="3734" t="s">
        <v>13</v>
      </c>
      <c r="U23" s="3156">
        <f>H23</f>
        <v>100</v>
      </c>
      <c r="V23" s="3734" t="s">
        <v>13</v>
      </c>
      <c r="W23" s="3156">
        <f>J23</f>
        <v>100</v>
      </c>
      <c r="X23" s="909"/>
      <c r="Y23" s="4556"/>
      <c r="Z23" s="907" t="str">
        <f>Q23</f>
        <v>自然及人文环境</v>
      </c>
      <c r="AA23" s="907">
        <f t="shared" si="3"/>
        <v>1</v>
      </c>
      <c r="AB23" s="907">
        <f t="shared" si="4"/>
        <v>1</v>
      </c>
      <c r="AC23" s="907">
        <f t="shared" si="5"/>
        <v>1</v>
      </c>
    </row>
    <row r="24" spans="1:29" ht="15">
      <c r="A24" s="254"/>
      <c r="B24" s="2797"/>
      <c r="C24" s="2819"/>
      <c r="D24" s="2892"/>
      <c r="E24" s="2847"/>
      <c r="F24" s="3739"/>
      <c r="G24" s="2853"/>
      <c r="H24" s="3721"/>
      <c r="I24" s="2847"/>
      <c r="J24" s="3721"/>
      <c r="K24" s="2859"/>
      <c r="L24" s="1979"/>
      <c r="M24" s="1974"/>
      <c r="N24" s="1974"/>
      <c r="O24" s="1974"/>
      <c r="P24" s="4554"/>
      <c r="Q24" s="1506"/>
      <c r="R24" s="3734"/>
      <c r="S24" s="3156"/>
      <c r="T24" s="3734"/>
      <c r="U24" s="3156"/>
      <c r="V24" s="3734"/>
      <c r="W24" s="3156"/>
      <c r="X24" s="909"/>
      <c r="Y24" s="4556"/>
      <c r="Z24" s="907"/>
      <c r="AA24" s="907">
        <v>1</v>
      </c>
      <c r="AB24" s="907">
        <v>1</v>
      </c>
      <c r="AC24" s="907">
        <v>1</v>
      </c>
    </row>
    <row r="25" spans="1:29" ht="15">
      <c r="A25" s="254"/>
      <c r="B25" s="2788" t="s">
        <v>1687</v>
      </c>
      <c r="C25" s="2835"/>
      <c r="D25" s="2889">
        <v>100</v>
      </c>
      <c r="E25" s="2835"/>
      <c r="F25" s="3727">
        <f>SUMIF(86:86,E25,87:87)-SUMIF(86:86,C25,87:87)+100</f>
        <v>100</v>
      </c>
      <c r="G25" s="2835"/>
      <c r="H25" s="3724">
        <f>SUMIF(86:86,G25,87:87)-SUMIF(86:86,C25,87:87)+100</f>
        <v>100</v>
      </c>
      <c r="I25" s="2835"/>
      <c r="J25" s="3724">
        <f>SUMIF(86:86,I25,87:87)-SUMIF(86:86,C25,87:87)+100</f>
        <v>100</v>
      </c>
      <c r="K25" s="2856"/>
      <c r="L25" s="1979"/>
      <c r="M25" s="1974"/>
      <c r="N25" s="1974"/>
      <c r="O25" s="1974"/>
      <c r="P25" s="4554"/>
      <c r="Q25" s="1506" t="str">
        <f t="shared" ref="Q25:Q46" si="11">B25</f>
        <v>临街状况</v>
      </c>
      <c r="R25" s="3734" t="s">
        <v>13</v>
      </c>
      <c r="S25" s="3156">
        <f>F25</f>
        <v>100</v>
      </c>
      <c r="T25" s="3734" t="s">
        <v>13</v>
      </c>
      <c r="U25" s="3156">
        <f>H25</f>
        <v>100</v>
      </c>
      <c r="V25" s="3734" t="s">
        <v>13</v>
      </c>
      <c r="W25" s="3156">
        <f>J25</f>
        <v>100</v>
      </c>
      <c r="X25" s="909"/>
      <c r="Y25" s="4556"/>
      <c r="Z25" s="907" t="str">
        <f>Q25</f>
        <v>临街状况</v>
      </c>
      <c r="AA25" s="907">
        <f t="shared" si="3"/>
        <v>1</v>
      </c>
      <c r="AB25" s="907">
        <f t="shared" si="4"/>
        <v>1</v>
      </c>
      <c r="AC25" s="907">
        <f t="shared" si="5"/>
        <v>1</v>
      </c>
    </row>
    <row r="26" spans="1:29" ht="15">
      <c r="A26" s="254"/>
      <c r="B26" s="2799" t="s">
        <v>1688</v>
      </c>
      <c r="C26" s="2816"/>
      <c r="D26" s="2889">
        <v>100</v>
      </c>
      <c r="E26" s="2816"/>
      <c r="F26" s="3727">
        <f>SUMIF(88:88,E26,89:89)-SUMIF(88:88,C26,89:89)+100</f>
        <v>100</v>
      </c>
      <c r="G26" s="2816"/>
      <c r="H26" s="3724">
        <f>SUMIF(88:88,G26,89:89)-SUMIF(88:88,C26,89:89)+100</f>
        <v>100</v>
      </c>
      <c r="I26" s="2816"/>
      <c r="J26" s="3724">
        <f>SUMIF(88:88,I26,89:89)-SUMIF(88:88,C26,89:89)+100</f>
        <v>100</v>
      </c>
      <c r="K26" s="2857"/>
      <c r="L26" s="1979"/>
      <c r="M26" s="1974"/>
      <c r="N26" s="1974"/>
      <c r="O26" s="1974"/>
      <c r="P26" s="4554"/>
      <c r="Q26" s="1506" t="str">
        <f t="shared" si="11"/>
        <v>平面位置/可视性</v>
      </c>
      <c r="R26" s="3734" t="s">
        <v>13</v>
      </c>
      <c r="S26" s="3156">
        <f>F26</f>
        <v>100</v>
      </c>
      <c r="T26" s="3734" t="s">
        <v>13</v>
      </c>
      <c r="U26" s="3156">
        <f>H26</f>
        <v>100</v>
      </c>
      <c r="V26" s="3734" t="s">
        <v>13</v>
      </c>
      <c r="W26" s="3156">
        <f>J26</f>
        <v>100</v>
      </c>
      <c r="X26" s="909"/>
      <c r="Y26" s="4556"/>
      <c r="Z26" s="907" t="str">
        <f>Q26</f>
        <v>平面位置/可视性</v>
      </c>
      <c r="AA26" s="907">
        <f t="shared" si="3"/>
        <v>1</v>
      </c>
      <c r="AB26" s="907">
        <f t="shared" si="4"/>
        <v>1</v>
      </c>
      <c r="AC26" s="907">
        <f t="shared" si="5"/>
        <v>1</v>
      </c>
    </row>
    <row r="27" spans="1:29" s="46" customFormat="1" ht="15">
      <c r="A27" s="257"/>
      <c r="B27" s="2796" t="s">
        <v>1689</v>
      </c>
      <c r="C27" s="2836"/>
      <c r="D27" s="2895">
        <v>100</v>
      </c>
      <c r="E27" s="2836"/>
      <c r="F27" s="3742">
        <f>SUMIF(90:90,E27,91:91)-SUMIF(90:90,C27,91:91)+100</f>
        <v>100</v>
      </c>
      <c r="G27" s="2836"/>
      <c r="H27" s="3725">
        <f>SUMIF(90:90,G27,91:91)-SUMIF(90:90,C27,91:91)+100</f>
        <v>100</v>
      </c>
      <c r="I27" s="2836"/>
      <c r="J27" s="3725">
        <f>SUMIF(90:90,I27,91:91)-SUMIF(90:90,C27,91:91)+100</f>
        <v>100</v>
      </c>
      <c r="K27" s="2856"/>
      <c r="L27" s="1975"/>
      <c r="M27" s="1928"/>
      <c r="N27" s="1928"/>
      <c r="O27" s="1928"/>
      <c r="P27" s="4554"/>
      <c r="Q27" s="1697" t="str">
        <f t="shared" si="11"/>
        <v>人流量</v>
      </c>
      <c r="R27" s="3632" t="s">
        <v>13</v>
      </c>
      <c r="S27" s="3155">
        <f>F27</f>
        <v>100</v>
      </c>
      <c r="T27" s="3632" t="s">
        <v>13</v>
      </c>
      <c r="U27" s="3155">
        <f>H27</f>
        <v>100</v>
      </c>
      <c r="V27" s="3632" t="s">
        <v>13</v>
      </c>
      <c r="W27" s="3155">
        <f>J27</f>
        <v>100</v>
      </c>
      <c r="X27" s="482"/>
      <c r="Y27" s="4556"/>
      <c r="Z27" s="28" t="str">
        <f>Q27</f>
        <v>人流量</v>
      </c>
      <c r="AA27" s="907">
        <f>D27/F27</f>
        <v>1</v>
      </c>
      <c r="AB27" s="907">
        <f>D27/H27</f>
        <v>1</v>
      </c>
      <c r="AC27" s="907">
        <f>D27/J27</f>
        <v>1</v>
      </c>
    </row>
    <row r="28" spans="1:29" ht="15">
      <c r="A28" s="254"/>
      <c r="B28" s="2788" t="s">
        <v>1690</v>
      </c>
      <c r="C28" s="2835"/>
      <c r="D28" s="2889">
        <v>100</v>
      </c>
      <c r="E28" s="2835"/>
      <c r="F28" s="3727">
        <f>SUMIF(92:92,E28,93:93)-SUMIF(92:92,C28,93:93)+100</f>
        <v>100</v>
      </c>
      <c r="G28" s="2835"/>
      <c r="H28" s="3724">
        <f>SUMIF(92:92,G28,93:93)-SUMIF(92:92,C28,93:93)+100</f>
        <v>100</v>
      </c>
      <c r="I28" s="2835"/>
      <c r="J28" s="3724">
        <f>SUMIF(92:92,I28,93:93)-SUMIF(92:92,C28,93:93)+100</f>
        <v>100</v>
      </c>
      <c r="K28" s="2857"/>
      <c r="L28" s="1979"/>
      <c r="M28" s="1974"/>
      <c r="N28" s="1974"/>
      <c r="O28" s="1974"/>
      <c r="P28" s="4554"/>
      <c r="Q28" s="1506" t="str">
        <f t="shared" si="11"/>
        <v>楼层</v>
      </c>
      <c r="R28" s="3734" t="s">
        <v>13</v>
      </c>
      <c r="S28" s="3156">
        <f t="shared" ref="S28:S46" si="12">F28</f>
        <v>100</v>
      </c>
      <c r="T28" s="3734" t="s">
        <v>13</v>
      </c>
      <c r="U28" s="3156">
        <f t="shared" ref="U28:U46" si="13">H28</f>
        <v>100</v>
      </c>
      <c r="V28" s="3734" t="s">
        <v>13</v>
      </c>
      <c r="W28" s="3156">
        <f t="shared" ref="W28:W46" si="14">J28</f>
        <v>100</v>
      </c>
      <c r="X28" s="909"/>
      <c r="Y28" s="4556"/>
      <c r="Z28" s="907" t="str">
        <f t="shared" ref="Z28:Z46" si="15">Q28</f>
        <v>楼层</v>
      </c>
      <c r="AA28" s="907">
        <f t="shared" si="3"/>
        <v>1</v>
      </c>
      <c r="AB28" s="907">
        <f t="shared" si="4"/>
        <v>1</v>
      </c>
      <c r="AC28" s="907">
        <f t="shared" si="5"/>
        <v>1</v>
      </c>
    </row>
    <row r="29" spans="1:29" ht="15">
      <c r="A29" s="254"/>
      <c r="B29" s="2799">
        <v>111</v>
      </c>
      <c r="C29" s="2816"/>
      <c r="D29" s="2889">
        <v>100</v>
      </c>
      <c r="E29" s="2816"/>
      <c r="F29" s="3727">
        <f>SUMIF(94:94,E29,95:95)-SUMIF(94:94,C29,95:95)+100</f>
        <v>100</v>
      </c>
      <c r="G29" s="2816"/>
      <c r="H29" s="3724">
        <f>SUMIF(94:94,G29,95:95)-SUMIF(94:94,C29,95:95)+100</f>
        <v>100</v>
      </c>
      <c r="I29" s="2816"/>
      <c r="J29" s="3724">
        <f>SUMIF(94:94,I29,95:95)-SUMIF(94:94,C29,95:95)+100</f>
        <v>100</v>
      </c>
      <c r="K29" s="2857"/>
      <c r="L29" s="1979"/>
      <c r="M29" s="1974"/>
      <c r="N29" s="1974"/>
      <c r="O29" s="1974"/>
      <c r="P29" s="4554"/>
      <c r="Q29" s="1506">
        <f t="shared" si="11"/>
        <v>111</v>
      </c>
      <c r="R29" s="3734" t="s">
        <v>13</v>
      </c>
      <c r="S29" s="3156">
        <f t="shared" si="12"/>
        <v>100</v>
      </c>
      <c r="T29" s="3734" t="s">
        <v>13</v>
      </c>
      <c r="U29" s="3156">
        <f t="shared" si="13"/>
        <v>100</v>
      </c>
      <c r="V29" s="3734" t="s">
        <v>13</v>
      </c>
      <c r="W29" s="3156">
        <f t="shared" si="14"/>
        <v>100</v>
      </c>
      <c r="X29" s="909"/>
      <c r="Y29" s="4556"/>
      <c r="Z29" s="907">
        <f t="shared" si="15"/>
        <v>111</v>
      </c>
      <c r="AA29" s="907">
        <f t="shared" si="3"/>
        <v>1</v>
      </c>
      <c r="AB29" s="907">
        <f t="shared" si="4"/>
        <v>1</v>
      </c>
      <c r="AC29" s="907">
        <f t="shared" si="5"/>
        <v>1</v>
      </c>
    </row>
    <row r="30" spans="1:29" ht="15">
      <c r="A30" s="254"/>
      <c r="B30" s="2799">
        <v>111</v>
      </c>
      <c r="C30" s="2816"/>
      <c r="D30" s="2889">
        <v>100</v>
      </c>
      <c r="E30" s="2816"/>
      <c r="F30" s="3727">
        <f>SUMIF(96:96,E30,97:97)-SUMIF(96:96,C30,97:97)+100</f>
        <v>100</v>
      </c>
      <c r="G30" s="2816"/>
      <c r="H30" s="3724">
        <f>SUMIF(96:96,G30,97:97)-SUMIF(96:96,C30,97:97)+100</f>
        <v>100</v>
      </c>
      <c r="I30" s="2816"/>
      <c r="J30" s="3724">
        <f>SUMIF(96:96,I30,97:97)-SUMIF(96:96,C30,97:97)+100</f>
        <v>100</v>
      </c>
      <c r="K30" s="2857"/>
      <c r="L30" s="1979"/>
      <c r="M30" s="1974"/>
      <c r="N30" s="1974"/>
      <c r="O30" s="1974"/>
      <c r="P30" s="4554"/>
      <c r="Q30" s="1506">
        <f t="shared" si="11"/>
        <v>111</v>
      </c>
      <c r="R30" s="3734" t="s">
        <v>13</v>
      </c>
      <c r="S30" s="3156">
        <f t="shared" si="12"/>
        <v>100</v>
      </c>
      <c r="T30" s="3734" t="s">
        <v>13</v>
      </c>
      <c r="U30" s="3156">
        <f t="shared" si="13"/>
        <v>100</v>
      </c>
      <c r="V30" s="3734" t="s">
        <v>13</v>
      </c>
      <c r="W30" s="3156">
        <f t="shared" si="14"/>
        <v>100</v>
      </c>
      <c r="X30" s="909"/>
      <c r="Y30" s="4556"/>
      <c r="Z30" s="907">
        <f t="shared" si="15"/>
        <v>111</v>
      </c>
      <c r="AA30" s="907">
        <f t="shared" si="3"/>
        <v>1</v>
      </c>
      <c r="AB30" s="907">
        <f t="shared" si="4"/>
        <v>1</v>
      </c>
      <c r="AC30" s="907">
        <f t="shared" si="5"/>
        <v>1</v>
      </c>
    </row>
    <row r="31" spans="1:29" ht="15.75" thickBot="1">
      <c r="A31" s="260"/>
      <c r="B31" s="2799">
        <v>111</v>
      </c>
      <c r="C31" s="2817"/>
      <c r="D31" s="2890">
        <v>100</v>
      </c>
      <c r="E31" s="2816"/>
      <c r="F31" s="3719">
        <f>SUMIF(98:98,E31,99:99)-SUMIF(98:98,C31,99:99)+100</f>
        <v>100</v>
      </c>
      <c r="G31" s="2816"/>
      <c r="H31" s="3726">
        <f>SUMIF(98:98,G31,99:99)-SUMIF(98:98,C31,99:99)+100</f>
        <v>100</v>
      </c>
      <c r="I31" s="2816"/>
      <c r="J31" s="3726">
        <f>SUMIF(98:98,I31,99:99)-SUMIF(98:98,C31,99:99)+100</f>
        <v>100</v>
      </c>
      <c r="K31" s="2857"/>
      <c r="L31" s="1979"/>
      <c r="M31" s="1974"/>
      <c r="N31" s="1974"/>
      <c r="O31" s="1974"/>
      <c r="P31" s="4554"/>
      <c r="Q31" s="1506">
        <f t="shared" si="11"/>
        <v>111</v>
      </c>
      <c r="R31" s="3734" t="s">
        <v>13</v>
      </c>
      <c r="S31" s="3156">
        <f t="shared" si="12"/>
        <v>100</v>
      </c>
      <c r="T31" s="3734" t="s">
        <v>13</v>
      </c>
      <c r="U31" s="3156">
        <f t="shared" si="13"/>
        <v>100</v>
      </c>
      <c r="V31" s="3734" t="s">
        <v>13</v>
      </c>
      <c r="W31" s="3156">
        <f t="shared" si="14"/>
        <v>100</v>
      </c>
      <c r="X31" s="909"/>
      <c r="Y31" s="4556"/>
      <c r="Z31" s="907">
        <f t="shared" si="15"/>
        <v>111</v>
      </c>
      <c r="AA31" s="907">
        <f t="shared" si="3"/>
        <v>1</v>
      </c>
      <c r="AB31" s="907">
        <f t="shared" si="4"/>
        <v>1</v>
      </c>
      <c r="AC31" s="907">
        <f t="shared" si="5"/>
        <v>1</v>
      </c>
    </row>
    <row r="32" spans="1:29" ht="15">
      <c r="A32" s="262" t="s">
        <v>1601</v>
      </c>
      <c r="B32" s="2791" t="s">
        <v>1691</v>
      </c>
      <c r="C32" s="2823"/>
      <c r="D32" s="2896">
        <v>100</v>
      </c>
      <c r="E32" s="2823"/>
      <c r="F32" s="3727">
        <f>SUMIF(100:100,E32,101:101)-SUMIF(100:100,C32,101:101)+100</f>
        <v>100</v>
      </c>
      <c r="G32" s="2823"/>
      <c r="H32" s="3724">
        <f>SUMIF(100:100,G32,101:101)-SUMIF(100:100,C32,101:101)+100</f>
        <v>100</v>
      </c>
      <c r="I32" s="2823"/>
      <c r="J32" s="3731">
        <f>SUMIF(100:100,I32,101:101)-SUMIF(100:100,C32,101:101)+100</f>
        <v>100</v>
      </c>
      <c r="K32" s="2856"/>
      <c r="L32" s="1979"/>
      <c r="M32" s="1974"/>
      <c r="N32" s="1974"/>
      <c r="O32" s="1974"/>
      <c r="P32" s="4557" t="s">
        <v>1603</v>
      </c>
      <c r="Q32" s="1506" t="str">
        <f t="shared" si="11"/>
        <v>商业类型</v>
      </c>
      <c r="R32" s="3734" t="s">
        <v>13</v>
      </c>
      <c r="S32" s="3156">
        <f t="shared" si="12"/>
        <v>100</v>
      </c>
      <c r="T32" s="3734" t="s">
        <v>13</v>
      </c>
      <c r="U32" s="3156">
        <f t="shared" si="13"/>
        <v>100</v>
      </c>
      <c r="V32" s="3734" t="s">
        <v>13</v>
      </c>
      <c r="W32" s="3156">
        <f t="shared" si="14"/>
        <v>100</v>
      </c>
      <c r="X32" s="909"/>
      <c r="Y32" s="4560" t="s">
        <v>1603</v>
      </c>
      <c r="Z32" s="907" t="str">
        <f t="shared" si="15"/>
        <v>商业类型</v>
      </c>
      <c r="AA32" s="907">
        <f t="shared" si="3"/>
        <v>1</v>
      </c>
      <c r="AB32" s="907">
        <f t="shared" si="4"/>
        <v>1</v>
      </c>
      <c r="AC32" s="907">
        <f t="shared" si="5"/>
        <v>1</v>
      </c>
    </row>
    <row r="33" spans="1:29" s="279" customFormat="1" ht="15">
      <c r="A33" s="277"/>
      <c r="B33" s="2788" t="s">
        <v>1604</v>
      </c>
      <c r="C33" s="2824"/>
      <c r="D33" s="2887">
        <v>100</v>
      </c>
      <c r="E33" s="2842"/>
      <c r="F33" s="3718" t="e">
        <f>LOOKUP(E33,103:103,104:104)-LOOKUP(C33,103:103,104:104)+100</f>
        <v>#N/A</v>
      </c>
      <c r="G33" s="2814"/>
      <c r="H33" s="3730" t="e">
        <f>LOOKUP(G33,103:103,104:104)-LOOKUP(C33,103:103,104:104)+100</f>
        <v>#N/A</v>
      </c>
      <c r="I33" s="2814"/>
      <c r="J33" s="3730" t="e">
        <f>LOOKUP(I33,103:103,104:104)-LOOKUP(C33,103:103,104:104)+100</f>
        <v>#N/A</v>
      </c>
      <c r="K33" s="2857"/>
      <c r="L33" s="1978"/>
      <c r="M33" s="1980"/>
      <c r="N33" s="1980"/>
      <c r="O33" s="1980"/>
      <c r="P33" s="4558"/>
      <c r="Q33" s="2863" t="str">
        <f t="shared" si="11"/>
        <v>项目建筑规模</v>
      </c>
      <c r="R33" s="3735" t="s">
        <v>13</v>
      </c>
      <c r="S33" s="3157" t="e">
        <f t="shared" si="12"/>
        <v>#N/A</v>
      </c>
      <c r="T33" s="3735" t="s">
        <v>13</v>
      </c>
      <c r="U33" s="3157" t="e">
        <f t="shared" si="13"/>
        <v>#N/A</v>
      </c>
      <c r="V33" s="3735" t="s">
        <v>13</v>
      </c>
      <c r="W33" s="3157" t="e">
        <f t="shared" si="14"/>
        <v>#N/A</v>
      </c>
      <c r="X33" s="484"/>
      <c r="Y33" s="4560"/>
      <c r="Z33" s="485" t="str">
        <f t="shared" si="15"/>
        <v>项目建筑规模</v>
      </c>
      <c r="AA33" s="907" t="e">
        <f t="shared" si="3"/>
        <v>#N/A</v>
      </c>
      <c r="AB33" s="907" t="e">
        <f t="shared" si="4"/>
        <v>#N/A</v>
      </c>
      <c r="AC33" s="907" t="e">
        <f t="shared" si="5"/>
        <v>#N/A</v>
      </c>
    </row>
    <row r="34" spans="1:29" ht="15">
      <c r="A34" s="280"/>
      <c r="B34" s="2788" t="s">
        <v>1605</v>
      </c>
      <c r="C34" s="2822"/>
      <c r="D34" s="2889">
        <v>100</v>
      </c>
      <c r="E34" s="2822"/>
      <c r="F34" s="3727">
        <f>SUMIF(105:105,E34,106:106)-SUMIF(105:105,C34,106:106)+100</f>
        <v>100</v>
      </c>
      <c r="G34" s="2822"/>
      <c r="H34" s="3724">
        <f>SUMIF(105:105,G34,106:106)-SUMIF(105:105,C34,106:106)+100</f>
        <v>100</v>
      </c>
      <c r="I34" s="2822"/>
      <c r="J34" s="3724">
        <f>SUMIF(105:105,I34,106:106)-SUMIF(105:105,C34,106:106)+100</f>
        <v>100</v>
      </c>
      <c r="K34" s="2856"/>
      <c r="L34" s="1979"/>
      <c r="M34" s="1974"/>
      <c r="N34" s="1974"/>
      <c r="O34" s="1974"/>
      <c r="P34" s="4558"/>
      <c r="Q34" s="1506" t="str">
        <f t="shared" si="11"/>
        <v>建筑结构</v>
      </c>
      <c r="R34" s="3734" t="s">
        <v>13</v>
      </c>
      <c r="S34" s="3156">
        <f t="shared" si="12"/>
        <v>100</v>
      </c>
      <c r="T34" s="3734" t="s">
        <v>13</v>
      </c>
      <c r="U34" s="3156">
        <f t="shared" si="13"/>
        <v>100</v>
      </c>
      <c r="V34" s="3734" t="s">
        <v>13</v>
      </c>
      <c r="W34" s="3156">
        <f t="shared" si="14"/>
        <v>100</v>
      </c>
      <c r="X34" s="909"/>
      <c r="Y34" s="4560"/>
      <c r="Z34" s="907" t="str">
        <f t="shared" si="15"/>
        <v>建筑结构</v>
      </c>
      <c r="AA34" s="907">
        <f t="shared" si="3"/>
        <v>1</v>
      </c>
      <c r="AB34" s="907">
        <f t="shared" si="4"/>
        <v>1</v>
      </c>
      <c r="AC34" s="907">
        <f t="shared" si="5"/>
        <v>1</v>
      </c>
    </row>
    <row r="35" spans="1:29" ht="15">
      <c r="A35" s="280"/>
      <c r="B35" s="2788" t="s">
        <v>1692</v>
      </c>
      <c r="C35" s="2825"/>
      <c r="D35" s="2889">
        <v>100</v>
      </c>
      <c r="E35" s="2825"/>
      <c r="F35" s="3727">
        <f>SUMIF(107:107,E35,108:108)-SUMIF(107:107,C35,108:108)+100</f>
        <v>100</v>
      </c>
      <c r="G35" s="2825"/>
      <c r="H35" s="3724">
        <f>SUMIF(107:107,G35,108:108)-SUMIF(107:107,C35,108:108)+100</f>
        <v>100</v>
      </c>
      <c r="I35" s="2825"/>
      <c r="J35" s="3724">
        <f>SUMIF(107:107,I35,108:108)-SUMIF(107:107,C35,108:108)+100</f>
        <v>100</v>
      </c>
      <c r="K35" s="2856"/>
      <c r="L35" s="1979"/>
      <c r="M35" s="1974"/>
      <c r="N35" s="1974"/>
      <c r="O35" s="1974"/>
      <c r="P35" s="4558"/>
      <c r="Q35" s="1506" t="str">
        <f t="shared" si="11"/>
        <v>公共部分装修</v>
      </c>
      <c r="R35" s="3734" t="s">
        <v>13</v>
      </c>
      <c r="S35" s="3156">
        <f t="shared" si="12"/>
        <v>100</v>
      </c>
      <c r="T35" s="3734" t="s">
        <v>13</v>
      </c>
      <c r="U35" s="3156">
        <f t="shared" si="13"/>
        <v>100</v>
      </c>
      <c r="V35" s="3734" t="s">
        <v>13</v>
      </c>
      <c r="W35" s="3156">
        <f t="shared" si="14"/>
        <v>100</v>
      </c>
      <c r="X35" s="909"/>
      <c r="Y35" s="4560"/>
      <c r="Z35" s="907" t="str">
        <f t="shared" si="15"/>
        <v>公共部分装修</v>
      </c>
      <c r="AA35" s="907">
        <f t="shared" si="3"/>
        <v>1</v>
      </c>
      <c r="AB35" s="907">
        <f t="shared" si="4"/>
        <v>1</v>
      </c>
      <c r="AC35" s="907">
        <f t="shared" si="5"/>
        <v>1</v>
      </c>
    </row>
    <row r="36" spans="1:29" ht="15">
      <c r="A36" s="280"/>
      <c r="B36" s="2788" t="s">
        <v>1693</v>
      </c>
      <c r="C36" s="2826"/>
      <c r="D36" s="2889">
        <v>100</v>
      </c>
      <c r="E36" s="2826"/>
      <c r="F36" s="3727" t="e">
        <f>LOOKUP(E36,110:110,111:111)-LOOKUP(C36,110:110,111:111)+100</f>
        <v>#N/A</v>
      </c>
      <c r="G36" s="2826"/>
      <c r="H36" s="3727" t="e">
        <f>LOOKUP(G36,110:110,111:111)-LOOKUP(C36,110:110,111:111)+100</f>
        <v>#N/A</v>
      </c>
      <c r="I36" s="2826"/>
      <c r="J36" s="3724" t="e">
        <f>LOOKUP(I36,110:110,111:111)-LOOKUP(C36,110:110,111:111)+100</f>
        <v>#N/A</v>
      </c>
      <c r="K36" s="2856"/>
      <c r="L36" s="1979"/>
      <c r="M36" s="1974"/>
      <c r="N36" s="1974"/>
      <c r="O36" s="1974"/>
      <c r="P36" s="4558"/>
      <c r="Q36" s="1506" t="str">
        <f t="shared" si="11"/>
        <v>成新度</v>
      </c>
      <c r="R36" s="3734" t="s">
        <v>13</v>
      </c>
      <c r="S36" s="3156" t="e">
        <f t="shared" si="12"/>
        <v>#N/A</v>
      </c>
      <c r="T36" s="3734" t="s">
        <v>13</v>
      </c>
      <c r="U36" s="3156" t="e">
        <f t="shared" si="13"/>
        <v>#N/A</v>
      </c>
      <c r="V36" s="3734" t="s">
        <v>13</v>
      </c>
      <c r="W36" s="3156" t="e">
        <f t="shared" si="14"/>
        <v>#N/A</v>
      </c>
      <c r="X36" s="909"/>
      <c r="Y36" s="4560"/>
      <c r="Z36" s="907" t="str">
        <f t="shared" si="15"/>
        <v>成新度</v>
      </c>
      <c r="AA36" s="907" t="e">
        <f t="shared" si="3"/>
        <v>#N/A</v>
      </c>
      <c r="AB36" s="907" t="e">
        <f t="shared" si="4"/>
        <v>#N/A</v>
      </c>
      <c r="AC36" s="907" t="e">
        <f t="shared" si="5"/>
        <v>#N/A</v>
      </c>
    </row>
    <row r="37" spans="1:29" s="46" customFormat="1" ht="15">
      <c r="A37" s="281"/>
      <c r="B37" s="2788" t="s">
        <v>1694</v>
      </c>
      <c r="C37" s="2825"/>
      <c r="D37" s="2887">
        <v>100</v>
      </c>
      <c r="E37" s="2825"/>
      <c r="F37" s="3727">
        <f>SUMIF(112:112,E37,113:113)-SUMIF(112:112,C37,113:113)+100</f>
        <v>100</v>
      </c>
      <c r="G37" s="2825"/>
      <c r="H37" s="3724">
        <f>SUMIF(112:112,G37,113:113)-SUMIF(112:112,C37,113:113)+100</f>
        <v>100</v>
      </c>
      <c r="I37" s="2825"/>
      <c r="J37" s="3724">
        <f>SUMIF(112:112,I37,113:113)-SUMIF(112:112,C37,113:113)+100</f>
        <v>100</v>
      </c>
      <c r="K37" s="2856"/>
      <c r="L37" s="1975"/>
      <c r="M37" s="1928"/>
      <c r="N37" s="1928"/>
      <c r="O37" s="1928"/>
      <c r="P37" s="4558"/>
      <c r="Q37" s="1697" t="str">
        <f t="shared" si="11"/>
        <v>市政基础设施</v>
      </c>
      <c r="R37" s="3632" t="s">
        <v>13</v>
      </c>
      <c r="S37" s="3155">
        <f t="shared" si="12"/>
        <v>100</v>
      </c>
      <c r="T37" s="3632" t="s">
        <v>13</v>
      </c>
      <c r="U37" s="3155">
        <f t="shared" si="13"/>
        <v>100</v>
      </c>
      <c r="V37" s="3632" t="s">
        <v>13</v>
      </c>
      <c r="W37" s="3155">
        <f t="shared" si="14"/>
        <v>100</v>
      </c>
      <c r="X37" s="482"/>
      <c r="Y37" s="4560"/>
      <c r="Z37" s="28" t="str">
        <f t="shared" si="15"/>
        <v>市政基础设施</v>
      </c>
      <c r="AA37" s="28">
        <f t="shared" si="3"/>
        <v>1</v>
      </c>
      <c r="AB37" s="28">
        <f t="shared" si="4"/>
        <v>1</v>
      </c>
      <c r="AC37" s="28">
        <f t="shared" si="5"/>
        <v>1</v>
      </c>
    </row>
    <row r="38" spans="1:29" ht="15">
      <c r="A38" s="280"/>
      <c r="B38" s="2788" t="s">
        <v>1695</v>
      </c>
      <c r="C38" s="2825"/>
      <c r="D38" s="2889">
        <v>100</v>
      </c>
      <c r="E38" s="2825"/>
      <c r="F38" s="3727">
        <f>SUMIF(114:114,E38,115:115)-SUMIF(114:114,C38,115:115)+100</f>
        <v>100</v>
      </c>
      <c r="G38" s="2825"/>
      <c r="H38" s="3724">
        <f>SUMIF(114:114,G38,115:115)-SUMIF(114:114,C38,115:115)+100</f>
        <v>100</v>
      </c>
      <c r="I38" s="2825"/>
      <c r="J38" s="3724">
        <f>SUMIF(114:114,I38,115:115)-SUMIF(114:114,C38,115:115)+100</f>
        <v>100</v>
      </c>
      <c r="K38" s="2856"/>
      <c r="L38" s="1979"/>
      <c r="M38" s="1974"/>
      <c r="N38" s="1974"/>
      <c r="O38" s="1974"/>
      <c r="P38" s="4558" t="s">
        <v>1603</v>
      </c>
      <c r="Q38" s="1506" t="str">
        <f t="shared" si="11"/>
        <v>业态</v>
      </c>
      <c r="R38" s="3734" t="s">
        <v>13</v>
      </c>
      <c r="S38" s="3156">
        <f t="shared" si="12"/>
        <v>100</v>
      </c>
      <c r="T38" s="3734" t="s">
        <v>13</v>
      </c>
      <c r="U38" s="3156">
        <f t="shared" si="13"/>
        <v>100</v>
      </c>
      <c r="V38" s="3734" t="s">
        <v>13</v>
      </c>
      <c r="W38" s="3156">
        <f t="shared" si="14"/>
        <v>100</v>
      </c>
      <c r="X38" s="909"/>
      <c r="Y38" s="4560" t="s">
        <v>1603</v>
      </c>
      <c r="Z38" s="907" t="str">
        <f t="shared" si="15"/>
        <v>业态</v>
      </c>
      <c r="AA38" s="907">
        <f t="shared" si="3"/>
        <v>1</v>
      </c>
      <c r="AB38" s="907">
        <f t="shared" si="4"/>
        <v>1</v>
      </c>
      <c r="AC38" s="907">
        <f t="shared" si="5"/>
        <v>1</v>
      </c>
    </row>
    <row r="39" spans="1:29" ht="15">
      <c r="A39" s="280"/>
      <c r="B39" s="2788" t="s">
        <v>1696</v>
      </c>
      <c r="C39" s="2825"/>
      <c r="D39" s="2889">
        <v>100</v>
      </c>
      <c r="E39" s="2825"/>
      <c r="F39" s="3727">
        <f>SUMIF(116:116,E39,117:117)-SUMIF(116:116,C39,117:117)+100</f>
        <v>100</v>
      </c>
      <c r="G39" s="2825"/>
      <c r="H39" s="3724">
        <f>SUMIF(116:116,G39,117:117)-SUMIF(116:116,C39,117:117)+100</f>
        <v>100</v>
      </c>
      <c r="I39" s="2825"/>
      <c r="J39" s="3724">
        <f>SUMIF(116:116,I39,117:117)-SUMIF(116:116,C39,117:117)+100</f>
        <v>100</v>
      </c>
      <c r="K39" s="2856"/>
      <c r="L39" s="1979"/>
      <c r="M39" s="1974"/>
      <c r="N39" s="1974"/>
      <c r="O39" s="1974"/>
      <c r="P39" s="4558"/>
      <c r="Q39" s="1506" t="str">
        <f t="shared" si="11"/>
        <v>层高</v>
      </c>
      <c r="R39" s="3734" t="s">
        <v>13</v>
      </c>
      <c r="S39" s="3156">
        <f t="shared" si="12"/>
        <v>100</v>
      </c>
      <c r="T39" s="3734" t="s">
        <v>13</v>
      </c>
      <c r="U39" s="3156">
        <f t="shared" si="13"/>
        <v>100</v>
      </c>
      <c r="V39" s="3734" t="s">
        <v>13</v>
      </c>
      <c r="W39" s="3156">
        <f t="shared" si="14"/>
        <v>100</v>
      </c>
      <c r="X39" s="909"/>
      <c r="Y39" s="4560"/>
      <c r="Z39" s="907" t="str">
        <f t="shared" si="15"/>
        <v>层高</v>
      </c>
      <c r="AA39" s="907">
        <f t="shared" si="3"/>
        <v>1</v>
      </c>
      <c r="AB39" s="907">
        <f t="shared" si="4"/>
        <v>1</v>
      </c>
      <c r="AC39" s="907">
        <f t="shared" si="5"/>
        <v>1</v>
      </c>
    </row>
    <row r="40" spans="1:29" ht="15">
      <c r="A40" s="280"/>
      <c r="B40" s="2788" t="s">
        <v>1697</v>
      </c>
      <c r="C40" s="2837"/>
      <c r="D40" s="2889">
        <v>100</v>
      </c>
      <c r="E40" s="2848"/>
      <c r="F40" s="3727">
        <f>SUMIF(118:118,E40,119:119)-SUMIF(118:118,C40,119:119)+100</f>
        <v>100</v>
      </c>
      <c r="G40" s="2848"/>
      <c r="H40" s="3724">
        <f>SUMIF(118:118,G40,119:119)-SUMIF(118:118,C40,119:119)+100</f>
        <v>100</v>
      </c>
      <c r="I40" s="2848"/>
      <c r="J40" s="3724">
        <f>SUMIF(118:118,I40,119:119)-SUMIF(118:118,C40,119:119)+100</f>
        <v>100</v>
      </c>
      <c r="K40" s="2857"/>
      <c r="L40" s="1979"/>
      <c r="M40" s="1974"/>
      <c r="N40" s="1974"/>
      <c r="O40" s="1974"/>
      <c r="P40" s="4558"/>
      <c r="Q40" s="1506" t="str">
        <f t="shared" si="11"/>
        <v>单套建筑面积</v>
      </c>
      <c r="R40" s="3734" t="s">
        <v>13</v>
      </c>
      <c r="S40" s="3156">
        <f t="shared" si="12"/>
        <v>100</v>
      </c>
      <c r="T40" s="3734" t="s">
        <v>13</v>
      </c>
      <c r="U40" s="3156">
        <f t="shared" si="13"/>
        <v>100</v>
      </c>
      <c r="V40" s="3734" t="s">
        <v>13</v>
      </c>
      <c r="W40" s="3156">
        <f t="shared" si="14"/>
        <v>100</v>
      </c>
      <c r="X40" s="909"/>
      <c r="Y40" s="4560"/>
      <c r="Z40" s="907" t="str">
        <f t="shared" si="15"/>
        <v>单套建筑面积</v>
      </c>
      <c r="AA40" s="907">
        <f t="shared" si="3"/>
        <v>1</v>
      </c>
      <c r="AB40" s="907">
        <f t="shared" si="4"/>
        <v>1</v>
      </c>
      <c r="AC40" s="907">
        <f t="shared" si="5"/>
        <v>1</v>
      </c>
    </row>
    <row r="41" spans="1:29" s="279" customFormat="1" ht="15">
      <c r="A41" s="277"/>
      <c r="B41" s="2838" t="s">
        <v>1698</v>
      </c>
      <c r="C41" s="2835"/>
      <c r="D41" s="2889">
        <v>100</v>
      </c>
      <c r="E41" s="2835"/>
      <c r="F41" s="3727">
        <f>SUMIF(120:120,E41,121:121)-SUMIF(120:120,C41,121:121)+100</f>
        <v>100</v>
      </c>
      <c r="G41" s="2835"/>
      <c r="H41" s="3724">
        <f>SUMIF(120:120,G41,121:121)-SUMIF(120:120,C41,121:121)+100</f>
        <v>100</v>
      </c>
      <c r="I41" s="2835"/>
      <c r="J41" s="3724">
        <f>SUMIF(120:120,I41,121:121)-SUMIF(120:120,C41,121:121)+100</f>
        <v>100</v>
      </c>
      <c r="K41" s="2856"/>
      <c r="L41" s="1978"/>
      <c r="M41" s="1980"/>
      <c r="N41" s="1980"/>
      <c r="O41" s="1980"/>
      <c r="P41" s="4558"/>
      <c r="Q41" s="2863" t="str">
        <f t="shared" si="11"/>
        <v>进深比</v>
      </c>
      <c r="R41" s="3735" t="s">
        <v>13</v>
      </c>
      <c r="S41" s="3157">
        <f t="shared" si="12"/>
        <v>100</v>
      </c>
      <c r="T41" s="3735" t="s">
        <v>13</v>
      </c>
      <c r="U41" s="3157">
        <f t="shared" si="13"/>
        <v>100</v>
      </c>
      <c r="V41" s="3735" t="s">
        <v>13</v>
      </c>
      <c r="W41" s="3157">
        <f t="shared" si="14"/>
        <v>100</v>
      </c>
      <c r="X41" s="484"/>
      <c r="Y41" s="4560"/>
      <c r="Z41" s="485" t="str">
        <f t="shared" si="15"/>
        <v>进深比</v>
      </c>
      <c r="AA41" s="907">
        <f t="shared" si="3"/>
        <v>1</v>
      </c>
      <c r="AB41" s="907">
        <f t="shared" si="4"/>
        <v>1</v>
      </c>
      <c r="AC41" s="907">
        <f t="shared" si="5"/>
        <v>1</v>
      </c>
    </row>
    <row r="42" spans="1:29" ht="15">
      <c r="A42" s="280"/>
      <c r="B42" s="2788" t="s">
        <v>1699</v>
      </c>
      <c r="C42" s="2825"/>
      <c r="D42" s="2889">
        <v>100</v>
      </c>
      <c r="E42" s="2825"/>
      <c r="F42" s="3727">
        <f>SUMIF(122:122,E42,123:123)-SUMIF(122:122,C42,123:123)+100</f>
        <v>100</v>
      </c>
      <c r="G42" s="2825"/>
      <c r="H42" s="3724">
        <f>SUMIF(122:122,G42,123:123)-SUMIF(122:122,C42,123:123)+100</f>
        <v>100</v>
      </c>
      <c r="I42" s="2825"/>
      <c r="J42" s="3724">
        <f>SUMIF(122:122,I42,123:123)-SUMIF(122:122,C42,123:123)+100</f>
        <v>100</v>
      </c>
      <c r="K42" s="2856"/>
      <c r="L42" s="1979"/>
      <c r="M42" s="1974"/>
      <c r="N42" s="1974"/>
      <c r="O42" s="1974"/>
      <c r="P42" s="4558"/>
      <c r="Q42" s="1506" t="str">
        <f t="shared" si="11"/>
        <v>内部装修</v>
      </c>
      <c r="R42" s="3734" t="s">
        <v>13</v>
      </c>
      <c r="S42" s="3156">
        <f t="shared" si="12"/>
        <v>100</v>
      </c>
      <c r="T42" s="3734" t="s">
        <v>13</v>
      </c>
      <c r="U42" s="3156">
        <f t="shared" si="13"/>
        <v>100</v>
      </c>
      <c r="V42" s="3734" t="s">
        <v>13</v>
      </c>
      <c r="W42" s="3156">
        <f t="shared" si="14"/>
        <v>100</v>
      </c>
      <c r="X42" s="909"/>
      <c r="Y42" s="4560"/>
      <c r="Z42" s="907" t="str">
        <f t="shared" si="15"/>
        <v>内部装修</v>
      </c>
      <c r="AA42" s="907">
        <f t="shared" si="3"/>
        <v>1</v>
      </c>
      <c r="AB42" s="907">
        <f t="shared" si="4"/>
        <v>1</v>
      </c>
      <c r="AC42" s="907">
        <f t="shared" si="5"/>
        <v>1</v>
      </c>
    </row>
    <row r="43" spans="1:29" ht="15">
      <c r="A43" s="280"/>
      <c r="B43" s="2788" t="s">
        <v>1614</v>
      </c>
      <c r="C43" s="2825"/>
      <c r="D43" s="2889">
        <v>100</v>
      </c>
      <c r="E43" s="2825"/>
      <c r="F43" s="3727">
        <f>SUMIF(124:124,E43,125:125)-SUMIF(124:124,C43,125:125)+100</f>
        <v>100</v>
      </c>
      <c r="G43" s="2825"/>
      <c r="H43" s="3724">
        <f>SUMIF(124:124,G43,125:125)-SUMIF(124:124,C43,125:125)+100</f>
        <v>100</v>
      </c>
      <c r="I43" s="2825"/>
      <c r="J43" s="3724">
        <f>SUMIF(124:124,I43,125:125)-SUMIF(124:124,C43,125:125)+100</f>
        <v>100</v>
      </c>
      <c r="K43" s="2856"/>
      <c r="L43" s="1979"/>
      <c r="M43" s="1974"/>
      <c r="N43" s="1974"/>
      <c r="O43" s="1974"/>
      <c r="P43" s="4558"/>
      <c r="Q43" s="1506" t="str">
        <f t="shared" si="11"/>
        <v>内部装修维护情况</v>
      </c>
      <c r="R43" s="3734" t="s">
        <v>13</v>
      </c>
      <c r="S43" s="3156">
        <f t="shared" si="12"/>
        <v>100</v>
      </c>
      <c r="T43" s="3734" t="s">
        <v>13</v>
      </c>
      <c r="U43" s="3156">
        <f t="shared" si="13"/>
        <v>100</v>
      </c>
      <c r="V43" s="3734" t="s">
        <v>13</v>
      </c>
      <c r="W43" s="3156">
        <f t="shared" si="14"/>
        <v>100</v>
      </c>
      <c r="X43" s="909"/>
      <c r="Y43" s="4560"/>
      <c r="Z43" s="907" t="str">
        <f t="shared" si="15"/>
        <v>内部装修维护情况</v>
      </c>
      <c r="AA43" s="907">
        <f t="shared" si="3"/>
        <v>1</v>
      </c>
      <c r="AB43" s="907">
        <f t="shared" si="4"/>
        <v>1</v>
      </c>
      <c r="AC43" s="907">
        <f t="shared" si="5"/>
        <v>1</v>
      </c>
    </row>
    <row r="44" spans="1:29" s="46" customFormat="1" ht="15">
      <c r="A44" s="281"/>
      <c r="B44" s="2799">
        <v>111</v>
      </c>
      <c r="C44" s="2824"/>
      <c r="D44" s="2887">
        <v>100</v>
      </c>
      <c r="E44" s="2816"/>
      <c r="F44" s="3718">
        <f>SUMIF(126:126,E44,127:127)-SUMIF(126:126,C44,127:127)+100</f>
        <v>100</v>
      </c>
      <c r="G44" s="2816"/>
      <c r="H44" s="3730">
        <f>SUMIF(126:126,G44,127:127)-SUMIF(126:126,C44,127:127)+100</f>
        <v>100</v>
      </c>
      <c r="I44" s="2816"/>
      <c r="J44" s="3730">
        <f>SUMIF(126:126,I44,127:127)-SUMIF(126:126,C44,127:127)+100</f>
        <v>100</v>
      </c>
      <c r="K44" s="2857"/>
      <c r="L44" s="1975"/>
      <c r="M44" s="1928"/>
      <c r="N44" s="1928"/>
      <c r="O44" s="1928"/>
      <c r="P44" s="4558"/>
      <c r="Q44" s="1697">
        <f t="shared" si="11"/>
        <v>111</v>
      </c>
      <c r="R44" s="3632" t="s">
        <v>13</v>
      </c>
      <c r="S44" s="3155">
        <f t="shared" si="12"/>
        <v>100</v>
      </c>
      <c r="T44" s="3632" t="s">
        <v>13</v>
      </c>
      <c r="U44" s="3155">
        <f t="shared" si="13"/>
        <v>100</v>
      </c>
      <c r="V44" s="3632" t="s">
        <v>13</v>
      </c>
      <c r="W44" s="3155">
        <f t="shared" si="14"/>
        <v>100</v>
      </c>
      <c r="X44" s="482"/>
      <c r="Y44" s="4560"/>
      <c r="Z44" s="28">
        <f t="shared" si="15"/>
        <v>111</v>
      </c>
      <c r="AA44" s="28">
        <f t="shared" si="3"/>
        <v>1</v>
      </c>
      <c r="AB44" s="28">
        <f t="shared" si="4"/>
        <v>1</v>
      </c>
      <c r="AC44" s="28">
        <f t="shared" si="5"/>
        <v>1</v>
      </c>
    </row>
    <row r="45" spans="1:29" ht="1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57"/>
      <c r="L45" s="1979"/>
      <c r="M45" s="1974"/>
      <c r="N45" s="1974"/>
      <c r="O45" s="1974"/>
      <c r="P45" s="4558"/>
      <c r="Q45" s="1506">
        <f t="shared" si="11"/>
        <v>111</v>
      </c>
      <c r="R45" s="3734" t="s">
        <v>13</v>
      </c>
      <c r="S45" s="3156">
        <f t="shared" si="12"/>
        <v>100</v>
      </c>
      <c r="T45" s="3734" t="s">
        <v>13</v>
      </c>
      <c r="U45" s="3156">
        <f t="shared" si="13"/>
        <v>100</v>
      </c>
      <c r="V45" s="3734" t="s">
        <v>13</v>
      </c>
      <c r="W45" s="3156">
        <f t="shared" si="14"/>
        <v>100</v>
      </c>
      <c r="X45" s="909"/>
      <c r="Y45" s="4560"/>
      <c r="Z45" s="907">
        <f t="shared" si="15"/>
        <v>111</v>
      </c>
      <c r="AA45" s="907">
        <f t="shared" si="3"/>
        <v>1</v>
      </c>
      <c r="AB45" s="907">
        <f t="shared" si="4"/>
        <v>1</v>
      </c>
      <c r="AC45" s="907">
        <f t="shared" si="5"/>
        <v>1</v>
      </c>
    </row>
    <row r="46" spans="1:29" ht="15.75" thickBot="1">
      <c r="A46" s="285"/>
      <c r="B46" s="2793">
        <v>111</v>
      </c>
      <c r="C46" s="2817"/>
      <c r="D46" s="2890">
        <v>100</v>
      </c>
      <c r="E46" s="2816"/>
      <c r="F46" s="3719">
        <f>SUMIF(130:130,E46,131:131)-SUMIF(130:130,C46,131:131)+100</f>
        <v>100</v>
      </c>
      <c r="G46" s="2816"/>
      <c r="H46" s="3726">
        <f>SUMIF(130:130,G46,131:131)-SUMIF(130:130,C46,131:131)+100</f>
        <v>100</v>
      </c>
      <c r="I46" s="2816"/>
      <c r="J46" s="3726">
        <f>SUMIF(130:130,I46,131:131)-SUMIF(130:130,C46,131:131)+100</f>
        <v>100</v>
      </c>
      <c r="K46" s="2857"/>
      <c r="L46" s="1979"/>
      <c r="M46" s="1974"/>
      <c r="N46" s="1974"/>
      <c r="O46" s="1974"/>
      <c r="P46" s="4559"/>
      <c r="Q46" s="1506">
        <f t="shared" si="11"/>
        <v>111</v>
      </c>
      <c r="R46" s="3734" t="s">
        <v>13</v>
      </c>
      <c r="S46" s="3156">
        <f t="shared" si="12"/>
        <v>100</v>
      </c>
      <c r="T46" s="3734" t="s">
        <v>13</v>
      </c>
      <c r="U46" s="3156">
        <f t="shared" si="13"/>
        <v>100</v>
      </c>
      <c r="V46" s="3734" t="s">
        <v>13</v>
      </c>
      <c r="W46" s="3156">
        <f t="shared" si="14"/>
        <v>100</v>
      </c>
      <c r="X46" s="909"/>
      <c r="Y46" s="4561"/>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1"/>
      <c r="L47" s="1981"/>
      <c r="M47" s="1974"/>
      <c r="N47" s="1974"/>
      <c r="O47" s="1974"/>
      <c r="P47" s="4562" t="str">
        <f>A47</f>
        <v>成交单价（元/平方米）</v>
      </c>
      <c r="Q47" s="4562"/>
      <c r="R47" s="4563">
        <f>E47</f>
        <v>0</v>
      </c>
      <c r="S47" s="4563"/>
      <c r="T47" s="4563">
        <f>G47</f>
        <v>0</v>
      </c>
      <c r="U47" s="4563"/>
      <c r="V47" s="4563">
        <f>I47</f>
        <v>0</v>
      </c>
      <c r="W47" s="4563"/>
      <c r="X47" s="265"/>
      <c r="Y47" s="486"/>
      <c r="Z47" s="265"/>
      <c r="AA47" s="265"/>
      <c r="AB47" s="265"/>
      <c r="AC47" s="265"/>
    </row>
    <row r="48" spans="1:29" ht="15.75" thickBot="1">
      <c r="A48" s="289" t="s">
        <v>1700</v>
      </c>
      <c r="B48" s="290"/>
      <c r="C48" s="3732" t="e">
        <f>R49</f>
        <v>#DIV/0!</v>
      </c>
      <c r="D48" s="3845" t="s">
        <v>2042</v>
      </c>
      <c r="E48" s="3743" t="e">
        <f>R48</f>
        <v>#DIV/0!</v>
      </c>
      <c r="F48" s="2800"/>
      <c r="G48" s="3732" t="e">
        <f>T48</f>
        <v>#DIV/0!</v>
      </c>
      <c r="H48" s="2800"/>
      <c r="I48" s="3743" t="e">
        <f>V48</f>
        <v>#DIV/0!</v>
      </c>
      <c r="J48" s="2800"/>
      <c r="K48" s="2854">
        <f>F48+H48+J48</f>
        <v>0</v>
      </c>
      <c r="L48" s="1981"/>
      <c r="M48" s="1974"/>
      <c r="N48" s="1974"/>
      <c r="O48" s="1974"/>
      <c r="P48" s="4562" t="str">
        <f>A48</f>
        <v>比较价值（元/平方米）</v>
      </c>
      <c r="Q48" s="4562"/>
      <c r="R48" s="4563" t="e">
        <f>IF(F1="售价",ROUND(PRODUCT(R47,AA7:AA46),0),ROUND(PRODUCT(R47,AA7:AA46),1))</f>
        <v>#DIV/0!</v>
      </c>
      <c r="S48" s="4563"/>
      <c r="T48" s="4563" t="e">
        <f>IF(F1="售价",ROUND(PRODUCT(T47,AB7:AB46),0),ROUND(PRODUCT(T47,AB7:AB46),1))</f>
        <v>#DIV/0!</v>
      </c>
      <c r="U48" s="4563"/>
      <c r="V48" s="4563" t="e">
        <f>IF(F1="售价",ROUND(PRODUCT(V47,AC7:AC46),0),ROUND(PRODUCT(V47,AC7:AC46),1))</f>
        <v>#DIV/0!</v>
      </c>
      <c r="W48" s="4563"/>
      <c r="X48" s="265"/>
      <c r="Y48" s="265"/>
      <c r="Z48" s="265"/>
      <c r="AA48" s="265"/>
      <c r="AB48" s="265"/>
      <c r="AC48" s="265"/>
    </row>
    <row r="49" spans="1:29" ht="15.75" thickBot="1">
      <c r="A49" s="291" t="s">
        <v>1701</v>
      </c>
      <c r="B49" s="292"/>
      <c r="C49" s="3744" t="e">
        <f>R49</f>
        <v>#DIV/0!</v>
      </c>
      <c r="D49" s="241"/>
      <c r="E49" s="241"/>
      <c r="F49" s="241"/>
      <c r="G49" s="241"/>
      <c r="H49" s="241"/>
      <c r="I49" s="241"/>
      <c r="J49" s="241"/>
      <c r="K49" s="487"/>
      <c r="L49" s="1981"/>
      <c r="M49" s="1974"/>
      <c r="N49" s="1974"/>
      <c r="O49" s="1974"/>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3874</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3">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498.23</v>
      </c>
      <c r="E3" s="3846" t="s">
        <v>3476</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30" t="s">
        <v>1677</v>
      </c>
      <c r="D4" s="4531"/>
      <c r="E4" s="4532" t="s">
        <v>1678</v>
      </c>
      <c r="F4" s="4533"/>
      <c r="G4" s="4530" t="s">
        <v>1679</v>
      </c>
      <c r="H4" s="4531"/>
      <c r="I4" s="4530" t="s">
        <v>1680</v>
      </c>
      <c r="J4" s="4531"/>
      <c r="K4" s="393" t="s">
        <v>1681</v>
      </c>
      <c r="L4" s="592"/>
      <c r="M4" s="593"/>
      <c r="N4" s="593"/>
      <c r="O4" s="593"/>
      <c r="P4" s="4615" t="s">
        <v>1682</v>
      </c>
      <c r="Q4" s="4616"/>
      <c r="R4" s="4601" t="s">
        <v>1678</v>
      </c>
      <c r="S4" s="4602"/>
      <c r="T4" s="4601" t="s">
        <v>1679</v>
      </c>
      <c r="U4" s="4602"/>
      <c r="V4" s="4543" t="s">
        <v>1680</v>
      </c>
      <c r="W4" s="4543"/>
      <c r="X4" s="909"/>
      <c r="Y4" s="4620" t="s">
        <v>1682</v>
      </c>
      <c r="Z4" s="4621"/>
      <c r="AA4" s="4600" t="s">
        <v>1678</v>
      </c>
      <c r="AB4" s="4510" t="s">
        <v>1679</v>
      </c>
      <c r="AC4" s="4600" t="s">
        <v>1680</v>
      </c>
    </row>
    <row r="5" spans="1:29" ht="15">
      <c r="A5" s="238"/>
      <c r="B5" s="239"/>
      <c r="C5" s="4628" t="s">
        <v>1580</v>
      </c>
      <c r="D5" s="4629"/>
      <c r="E5" s="4626" t="s">
        <v>1581</v>
      </c>
      <c r="F5" s="4627"/>
      <c r="G5" s="4628" t="s">
        <v>1582</v>
      </c>
      <c r="H5" s="4629"/>
      <c r="I5" s="4628" t="s">
        <v>1583</v>
      </c>
      <c r="J5" s="4629"/>
      <c r="K5" s="393"/>
      <c r="L5" s="592"/>
      <c r="M5" s="593"/>
      <c r="N5" s="593"/>
      <c r="O5" s="593"/>
      <c r="P5" s="4617"/>
      <c r="Q5" s="4537"/>
      <c r="R5" s="4516"/>
      <c r="S5" s="4517"/>
      <c r="T5" s="4516"/>
      <c r="U5" s="4517"/>
      <c r="V5" s="4543"/>
      <c r="W5" s="4543"/>
      <c r="X5" s="909"/>
      <c r="Y5" s="4548"/>
      <c r="Z5" s="4549"/>
      <c r="AA5" s="4510"/>
      <c r="AB5" s="4510"/>
      <c r="AC5" s="4510"/>
    </row>
    <row r="6" spans="1:29" ht="15.75" thickBot="1">
      <c r="A6" s="240"/>
      <c r="B6" s="241"/>
      <c r="C6" s="4521" t="s">
        <v>1584</v>
      </c>
      <c r="D6" s="4522"/>
      <c r="E6" s="4523" t="s">
        <v>1584</v>
      </c>
      <c r="F6" s="4524"/>
      <c r="G6" s="4521" t="s">
        <v>1584</v>
      </c>
      <c r="H6" s="4522"/>
      <c r="I6" s="4521" t="s">
        <v>1584</v>
      </c>
      <c r="J6" s="4522"/>
      <c r="K6" s="393" t="s">
        <v>1585</v>
      </c>
      <c r="L6" s="592"/>
      <c r="M6" s="593"/>
      <c r="N6" s="593"/>
      <c r="O6" s="593"/>
      <c r="P6" s="4618"/>
      <c r="Q6" s="4539"/>
      <c r="R6" s="4516"/>
      <c r="S6" s="4517"/>
      <c r="T6" s="4540"/>
      <c r="U6" s="4541"/>
      <c r="V6" s="4543"/>
      <c r="W6" s="4543"/>
      <c r="X6" s="909"/>
      <c r="Y6" s="4550"/>
      <c r="Z6" s="4551"/>
      <c r="AA6" s="4511"/>
      <c r="AB6" s="4511"/>
      <c r="AC6" s="4511"/>
    </row>
    <row r="7" spans="1:29" s="46" customFormat="1" ht="15.75" thickBot="1">
      <c r="A7" s="242" t="s">
        <v>1586</v>
      </c>
      <c r="B7" s="243"/>
      <c r="C7" s="244">
        <f>'数据-取费表'!B2</f>
        <v>46097</v>
      </c>
      <c r="D7" s="2897">
        <v>100</v>
      </c>
      <c r="E7" s="245"/>
      <c r="F7" s="3746">
        <f>SUMIF(52:52,YEAR(E7)&amp;"-"&amp;MONTH(E7),53:53)</f>
        <v>0</v>
      </c>
      <c r="G7" s="245"/>
      <c r="H7" s="3752">
        <f>SUMIF(52:52,YEAR(G7)&amp;"-"&amp;MONTH(G7),53:53)</f>
        <v>0</v>
      </c>
      <c r="I7" s="245"/>
      <c r="J7" s="3752">
        <f>SUMIF(52:52,YEAR(I7)&amp;"-"&amp;MONTH(I7),53:53)</f>
        <v>0</v>
      </c>
      <c r="K7" s="22"/>
      <c r="L7" s="594"/>
      <c r="M7" s="595"/>
      <c r="N7" s="595"/>
      <c r="O7" s="595"/>
      <c r="P7" s="4619" t="s">
        <v>1587</v>
      </c>
      <c r="Q7" s="4552"/>
      <c r="R7" s="3758" t="s">
        <v>13</v>
      </c>
      <c r="S7" s="3541">
        <f t="shared" ref="S7:S15" si="0">F7</f>
        <v>0</v>
      </c>
      <c r="T7" s="3758" t="s">
        <v>13</v>
      </c>
      <c r="U7" s="3541">
        <f t="shared" ref="U7:U15" si="1">H7</f>
        <v>0</v>
      </c>
      <c r="V7" s="3758" t="s">
        <v>13</v>
      </c>
      <c r="W7" s="3541">
        <f t="shared" ref="W7:W15" si="2">J7</f>
        <v>0</v>
      </c>
      <c r="X7" s="482"/>
      <c r="Y7" s="4512" t="s">
        <v>1587</v>
      </c>
      <c r="Z7" s="4513"/>
      <c r="AA7" s="28" t="e">
        <f>D7/F7</f>
        <v>#DIV/0!</v>
      </c>
      <c r="AB7" s="28" t="e">
        <f>D7/H7</f>
        <v>#DIV/0!</v>
      </c>
      <c r="AC7" s="28" t="e">
        <f>D7/J7</f>
        <v>#DIV/0!</v>
      </c>
    </row>
    <row r="8" spans="1:29" s="46" customFormat="1" ht="15.75" thickBot="1">
      <c r="A8" s="242" t="s">
        <v>1588</v>
      </c>
      <c r="B8" s="243"/>
      <c r="C8" s="246"/>
      <c r="D8" s="2897">
        <v>100</v>
      </c>
      <c r="E8" s="246"/>
      <c r="F8" s="3746">
        <f>SUMIF(55:55,E8,56:56)-SUMIF(55:55,C8,56:56)+100</f>
        <v>100</v>
      </c>
      <c r="G8" s="246"/>
      <c r="H8" s="3752">
        <f>SUMIF(55:55,G8,56:56)-SUMIF(55:55,C8,56:56)+100</f>
        <v>100</v>
      </c>
      <c r="I8" s="246"/>
      <c r="J8" s="3752">
        <f>SUMIF(55:55,I8,56:56)-SUMIF(55:55,C8,56:56)+100</f>
        <v>100</v>
      </c>
      <c r="K8" s="22"/>
      <c r="L8" s="594"/>
      <c r="M8" s="595"/>
      <c r="N8" s="595"/>
      <c r="O8" s="595"/>
      <c r="P8" s="4619" t="s">
        <v>1590</v>
      </c>
      <c r="Q8" s="4545"/>
      <c r="R8" s="3758" t="s">
        <v>13</v>
      </c>
      <c r="S8" s="3541">
        <f t="shared" si="0"/>
        <v>100</v>
      </c>
      <c r="T8" s="3758" t="s">
        <v>13</v>
      </c>
      <c r="U8" s="3541">
        <f t="shared" si="1"/>
        <v>100</v>
      </c>
      <c r="V8" s="3758" t="s">
        <v>13</v>
      </c>
      <c r="W8" s="3541">
        <f t="shared" si="2"/>
        <v>100</v>
      </c>
      <c r="X8" s="482"/>
      <c r="Y8" s="4512" t="s">
        <v>1590</v>
      </c>
      <c r="Z8" s="4513"/>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62" t="s">
        <v>1593</v>
      </c>
      <c r="Q9" s="1697" t="str">
        <f t="shared" ref="Q9:Q15" si="6">B9</f>
        <v>用途</v>
      </c>
      <c r="R9" s="3758" t="s">
        <v>13</v>
      </c>
      <c r="S9" s="3541">
        <f t="shared" si="0"/>
        <v>100</v>
      </c>
      <c r="T9" s="3758" t="s">
        <v>13</v>
      </c>
      <c r="U9" s="3541">
        <f t="shared" si="1"/>
        <v>100</v>
      </c>
      <c r="V9" s="3758" t="s">
        <v>13</v>
      </c>
      <c r="W9" s="3541">
        <f t="shared" si="2"/>
        <v>100</v>
      </c>
      <c r="X9" s="482"/>
      <c r="Y9" s="4526"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62"/>
      <c r="Q10" s="1697" t="str">
        <f t="shared" si="6"/>
        <v>土地使用年限（年）</v>
      </c>
      <c r="R10" s="3758" t="s">
        <v>13</v>
      </c>
      <c r="S10" s="3541">
        <f t="shared" si="0"/>
        <v>100</v>
      </c>
      <c r="T10" s="3758" t="s">
        <v>13</v>
      </c>
      <c r="U10" s="3541">
        <f t="shared" si="1"/>
        <v>100</v>
      </c>
      <c r="V10" s="3758" t="s">
        <v>13</v>
      </c>
      <c r="W10" s="3541">
        <f t="shared" si="2"/>
        <v>100</v>
      </c>
      <c r="X10" s="482"/>
      <c r="Y10" s="4526"/>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2"/>
      <c r="Q11" s="1697" t="str">
        <f t="shared" si="6"/>
        <v>容积率</v>
      </c>
      <c r="R11" s="3758" t="s">
        <v>13</v>
      </c>
      <c r="S11" s="3541">
        <f t="shared" si="0"/>
        <v>100</v>
      </c>
      <c r="T11" s="3758" t="s">
        <v>13</v>
      </c>
      <c r="U11" s="3541">
        <f t="shared" si="1"/>
        <v>100</v>
      </c>
      <c r="V11" s="3758" t="s">
        <v>13</v>
      </c>
      <c r="W11" s="3541">
        <f t="shared" si="2"/>
        <v>100</v>
      </c>
      <c r="X11" s="482"/>
      <c r="Y11" s="4526"/>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62"/>
      <c r="Q12" s="1697">
        <f t="shared" si="6"/>
        <v>111</v>
      </c>
      <c r="R12" s="3758" t="s">
        <v>13</v>
      </c>
      <c r="S12" s="3541">
        <f t="shared" si="0"/>
        <v>100</v>
      </c>
      <c r="T12" s="3758" t="s">
        <v>13</v>
      </c>
      <c r="U12" s="3541">
        <f t="shared" si="1"/>
        <v>100</v>
      </c>
      <c r="V12" s="3758" t="s">
        <v>13</v>
      </c>
      <c r="W12" s="3541">
        <f t="shared" si="2"/>
        <v>100</v>
      </c>
      <c r="X12" s="482"/>
      <c r="Y12" s="4526"/>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50">
        <f>SUMIF(66:66,G13,67:67)-SUMIF(66:66,C13,67:67)+100</f>
        <v>100</v>
      </c>
      <c r="I13" s="278"/>
      <c r="J13" s="3750">
        <f>SUMIF(66:66,I13,67:67)-SUMIF(66:66,C13,67:67)+100</f>
        <v>100</v>
      </c>
      <c r="K13" s="395"/>
      <c r="L13" s="602"/>
      <c r="M13" s="593"/>
      <c r="N13" s="593"/>
      <c r="O13" s="601"/>
      <c r="P13" s="4562"/>
      <c r="Q13" s="1697">
        <f t="shared" si="6"/>
        <v>111</v>
      </c>
      <c r="R13" s="3758" t="s">
        <v>13</v>
      </c>
      <c r="S13" s="3541">
        <f t="shared" si="0"/>
        <v>100</v>
      </c>
      <c r="T13" s="3758" t="s">
        <v>13</v>
      </c>
      <c r="U13" s="3541">
        <f t="shared" si="1"/>
        <v>100</v>
      </c>
      <c r="V13" s="3758" t="s">
        <v>13</v>
      </c>
      <c r="W13" s="3541">
        <f t="shared" si="2"/>
        <v>100</v>
      </c>
      <c r="X13" s="482"/>
      <c r="Y13" s="4526"/>
      <c r="Z13" s="28">
        <f t="shared" si="7"/>
        <v>111</v>
      </c>
      <c r="AA13" s="28">
        <f t="shared" si="3"/>
        <v>1</v>
      </c>
      <c r="AB13" s="28">
        <f t="shared" si="4"/>
        <v>1</v>
      </c>
      <c r="AC13" s="28">
        <f t="shared" si="5"/>
        <v>1</v>
      </c>
    </row>
    <row r="14" spans="1:29" ht="15.75" thickBot="1">
      <c r="A14" s="260"/>
      <c r="B14" s="1361">
        <v>111</v>
      </c>
      <c r="C14" s="261"/>
      <c r="D14" s="2902">
        <v>100</v>
      </c>
      <c r="E14" s="261"/>
      <c r="F14" s="3747">
        <f>SUMIF(68:68,E14,69:69)-SUMIF(68:68,C14,69:69)+100</f>
        <v>100</v>
      </c>
      <c r="G14" s="1422"/>
      <c r="H14" s="3747">
        <f>SUMIF(68:68,G14,69:69)-SUMIF(68:68,C14,69:69)+100</f>
        <v>100</v>
      </c>
      <c r="I14" s="278"/>
      <c r="J14" s="3747">
        <f>SUMIF(68:68,I14,69:69)-SUMIF(68:68,C14,69:69)+100</f>
        <v>100</v>
      </c>
      <c r="K14" s="395"/>
      <c r="L14" s="602"/>
      <c r="M14" s="593"/>
      <c r="N14" s="593"/>
      <c r="O14" s="601"/>
      <c r="P14" s="4562"/>
      <c r="Q14" s="1697">
        <f t="shared" si="6"/>
        <v>111</v>
      </c>
      <c r="R14" s="3758" t="s">
        <v>13</v>
      </c>
      <c r="S14" s="3541">
        <f t="shared" si="0"/>
        <v>100</v>
      </c>
      <c r="T14" s="3758" t="s">
        <v>13</v>
      </c>
      <c r="U14" s="3541">
        <f t="shared" si="1"/>
        <v>100</v>
      </c>
      <c r="V14" s="3758" t="s">
        <v>13</v>
      </c>
      <c r="W14" s="3541">
        <f t="shared" si="2"/>
        <v>100</v>
      </c>
      <c r="X14" s="482"/>
      <c r="Y14" s="4526"/>
      <c r="Z14" s="28">
        <f t="shared" si="7"/>
        <v>111</v>
      </c>
      <c r="AA14" s="28">
        <f t="shared" si="3"/>
        <v>1</v>
      </c>
      <c r="AB14" s="28">
        <f t="shared" si="4"/>
        <v>1</v>
      </c>
      <c r="AC14" s="28">
        <f t="shared" si="5"/>
        <v>1</v>
      </c>
    </row>
    <row r="15" spans="1:29" ht="57">
      <c r="A15" s="262" t="s">
        <v>1597</v>
      </c>
      <c r="B15" s="32" t="s">
        <v>1734</v>
      </c>
      <c r="C15" s="1423" t="str">
        <f>估价对象房地状况!G3</f>
        <v>估价对象位于XX开发区，园区建设成熟度XX，产业集聚程度XX</v>
      </c>
      <c r="D15" s="2903">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30" t="s">
        <v>1598</v>
      </c>
      <c r="Q15" s="1506" t="str">
        <f t="shared" si="6"/>
        <v>产业集聚程度</v>
      </c>
      <c r="R15" s="3759" t="s">
        <v>13</v>
      </c>
      <c r="S15" s="3761">
        <f t="shared" si="0"/>
        <v>100</v>
      </c>
      <c r="T15" s="3759" t="s">
        <v>13</v>
      </c>
      <c r="U15" s="3761">
        <f t="shared" si="1"/>
        <v>100</v>
      </c>
      <c r="V15" s="3759" t="s">
        <v>13</v>
      </c>
      <c r="W15" s="3761">
        <f t="shared" si="2"/>
        <v>100</v>
      </c>
      <c r="X15" s="909"/>
      <c r="Y15" s="4555" t="s">
        <v>1598</v>
      </c>
      <c r="Z15" s="907" t="str">
        <f t="shared" si="7"/>
        <v>产业集聚程度</v>
      </c>
      <c r="AA15" s="907">
        <f t="shared" si="3"/>
        <v>1</v>
      </c>
      <c r="AB15" s="907">
        <f t="shared" si="4"/>
        <v>1</v>
      </c>
      <c r="AC15" s="907">
        <f t="shared" si="5"/>
        <v>1</v>
      </c>
    </row>
    <row r="16" spans="1:29" ht="15">
      <c r="A16" s="254"/>
      <c r="B16" s="265"/>
      <c r="C16" s="266"/>
      <c r="D16" s="2904"/>
      <c r="E16" s="266"/>
      <c r="F16" s="3755"/>
      <c r="G16" s="266"/>
      <c r="H16" s="268"/>
      <c r="I16" s="266"/>
      <c r="J16" s="267"/>
      <c r="K16" s="397"/>
      <c r="L16" s="602"/>
      <c r="M16" s="593"/>
      <c r="N16" s="593"/>
      <c r="O16" s="601"/>
      <c r="P16" s="4631"/>
      <c r="Q16" s="1506"/>
      <c r="R16" s="3759"/>
      <c r="S16" s="3761"/>
      <c r="T16" s="3759"/>
      <c r="U16" s="3761"/>
      <c r="V16" s="3759"/>
      <c r="W16" s="3761"/>
      <c r="X16" s="909"/>
      <c r="Y16" s="4556"/>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905">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31"/>
      <c r="Q17" s="1506" t="str">
        <f>B17</f>
        <v>交通便捷度</v>
      </c>
      <c r="R17" s="3759" t="s">
        <v>13</v>
      </c>
      <c r="S17" s="3761">
        <f>F17</f>
        <v>100</v>
      </c>
      <c r="T17" s="3759" t="s">
        <v>13</v>
      </c>
      <c r="U17" s="3761">
        <f>H17</f>
        <v>100</v>
      </c>
      <c r="V17" s="3759" t="s">
        <v>13</v>
      </c>
      <c r="W17" s="3761">
        <f>J17</f>
        <v>100</v>
      </c>
      <c r="X17" s="909"/>
      <c r="Y17" s="4556"/>
      <c r="Z17" s="907" t="str">
        <f>Q17</f>
        <v>交通便捷度</v>
      </c>
      <c r="AA17" s="907">
        <f t="shared" si="3"/>
        <v>1</v>
      </c>
      <c r="AB17" s="907">
        <f t="shared" si="4"/>
        <v>1</v>
      </c>
      <c r="AC17" s="907">
        <f t="shared" si="5"/>
        <v>1</v>
      </c>
    </row>
    <row r="18" spans="1:29" ht="15">
      <c r="A18" s="254"/>
      <c r="B18" s="272"/>
      <c r="C18" s="1365"/>
      <c r="D18" s="2905"/>
      <c r="E18" s="1367"/>
      <c r="F18" s="3756"/>
      <c r="G18" s="1366"/>
      <c r="H18" s="267"/>
      <c r="I18" s="1367"/>
      <c r="J18" s="267"/>
      <c r="K18" s="397"/>
      <c r="L18" s="602"/>
      <c r="M18" s="593"/>
      <c r="N18" s="593"/>
      <c r="O18" s="601"/>
      <c r="P18" s="4631"/>
      <c r="Q18" s="1506"/>
      <c r="R18" s="3759"/>
      <c r="S18" s="3761"/>
      <c r="T18" s="3759"/>
      <c r="U18" s="3761"/>
      <c r="V18" s="3759"/>
      <c r="W18" s="3761"/>
      <c r="X18" s="909"/>
      <c r="Y18" s="4556"/>
      <c r="Z18" s="907"/>
      <c r="AA18" s="907">
        <v>1</v>
      </c>
      <c r="AB18" s="907">
        <v>1</v>
      </c>
      <c r="AC18" s="907">
        <v>1</v>
      </c>
    </row>
    <row r="19" spans="1:29" ht="42.75">
      <c r="A19" s="254"/>
      <c r="B19" s="269" t="s">
        <v>1719</v>
      </c>
      <c r="C19" s="1364" t="str">
        <f>估价对象房地状况!G5</f>
        <v>估价对象所在区域公共配套设施齐备情况</v>
      </c>
      <c r="D19" s="2906">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31"/>
      <c r="Q19" s="1506" t="str">
        <f>B19</f>
        <v>公共配套设施</v>
      </c>
      <c r="R19" s="3759" t="s">
        <v>13</v>
      </c>
      <c r="S19" s="3761">
        <f>F19</f>
        <v>100</v>
      </c>
      <c r="T19" s="3759" t="s">
        <v>13</v>
      </c>
      <c r="U19" s="3761">
        <f>H19</f>
        <v>100</v>
      </c>
      <c r="V19" s="3759" t="s">
        <v>13</v>
      </c>
      <c r="W19" s="3761">
        <f>J19</f>
        <v>100</v>
      </c>
      <c r="X19" s="909"/>
      <c r="Y19" s="4556"/>
      <c r="Z19" s="907" t="str">
        <f>Q19</f>
        <v>公共配套设施</v>
      </c>
      <c r="AA19" s="907">
        <f t="shared" si="3"/>
        <v>1</v>
      </c>
      <c r="AB19" s="907">
        <f t="shared" si="4"/>
        <v>1</v>
      </c>
      <c r="AC19" s="907">
        <f t="shared" si="5"/>
        <v>1</v>
      </c>
    </row>
    <row r="20" spans="1:29" ht="15">
      <c r="A20" s="254"/>
      <c r="B20" s="272"/>
      <c r="C20" s="266"/>
      <c r="D20" s="2904"/>
      <c r="E20" s="1363"/>
      <c r="F20" s="3755"/>
      <c r="G20" s="1362"/>
      <c r="H20" s="267"/>
      <c r="I20" s="1363"/>
      <c r="J20" s="267"/>
      <c r="K20" s="397"/>
      <c r="L20" s="602"/>
      <c r="M20" s="593"/>
      <c r="N20" s="593"/>
      <c r="O20" s="601"/>
      <c r="P20" s="4631"/>
      <c r="Q20" s="1506"/>
      <c r="R20" s="3759"/>
      <c r="S20" s="3761"/>
      <c r="T20" s="3759"/>
      <c r="U20" s="3761"/>
      <c r="V20" s="3759"/>
      <c r="W20" s="3761"/>
      <c r="X20" s="909"/>
      <c r="Y20" s="4556"/>
      <c r="Z20" s="907"/>
      <c r="AA20" s="907">
        <v>1</v>
      </c>
      <c r="AB20" s="907">
        <v>1</v>
      </c>
      <c r="AC20" s="907">
        <v>1</v>
      </c>
    </row>
    <row r="21" spans="1:29" ht="28.5">
      <c r="A21" s="254"/>
      <c r="B21" s="759" t="s">
        <v>1720</v>
      </c>
      <c r="C21" s="1364" t="str">
        <f>估价对象房地状况!G6</f>
        <v>估价对象所在区域基础设施水平</v>
      </c>
      <c r="D21" s="2905">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31"/>
      <c r="Q21" s="1506" t="str">
        <f>B21</f>
        <v>基础设施水平</v>
      </c>
      <c r="R21" s="3759" t="s">
        <v>13</v>
      </c>
      <c r="S21" s="3761">
        <f>F21</f>
        <v>100</v>
      </c>
      <c r="T21" s="3759" t="s">
        <v>13</v>
      </c>
      <c r="U21" s="3761">
        <f>H21</f>
        <v>100</v>
      </c>
      <c r="V21" s="3759" t="s">
        <v>13</v>
      </c>
      <c r="W21" s="3761">
        <f>J21</f>
        <v>100</v>
      </c>
      <c r="X21" s="909"/>
      <c r="Y21" s="4556"/>
      <c r="Z21" s="907" t="str">
        <f>Q21</f>
        <v>基础设施水平</v>
      </c>
      <c r="AA21" s="907">
        <f t="shared" ref="AA21" si="8">D21/F21</f>
        <v>1</v>
      </c>
      <c r="AB21" s="907">
        <f t="shared" ref="AB21" si="9">D21/H21</f>
        <v>1</v>
      </c>
      <c r="AC21" s="907">
        <f t="shared" ref="AC21" si="10">D21/J21</f>
        <v>1</v>
      </c>
    </row>
    <row r="22" spans="1:29" ht="15">
      <c r="A22" s="254"/>
      <c r="B22" s="759"/>
      <c r="C22" s="1365"/>
      <c r="D22" s="2904"/>
      <c r="E22" s="266"/>
      <c r="F22" s="3755"/>
      <c r="G22" s="266"/>
      <c r="H22" s="267"/>
      <c r="I22" s="266"/>
      <c r="J22" s="267"/>
      <c r="K22" s="758"/>
      <c r="L22" s="602"/>
      <c r="M22" s="593"/>
      <c r="N22" s="593"/>
      <c r="O22" s="601"/>
      <c r="P22" s="4631"/>
      <c r="Q22" s="1506"/>
      <c r="R22" s="3759"/>
      <c r="S22" s="3761"/>
      <c r="T22" s="3759"/>
      <c r="U22" s="3761"/>
      <c r="V22" s="3759"/>
      <c r="W22" s="3761"/>
      <c r="X22" s="909"/>
      <c r="Y22" s="4556"/>
      <c r="Z22" s="907"/>
      <c r="AA22" s="907">
        <v>1</v>
      </c>
      <c r="AB22" s="907">
        <v>1</v>
      </c>
      <c r="AC22" s="907">
        <v>1</v>
      </c>
    </row>
    <row r="23" spans="1:29" ht="71.25">
      <c r="A23" s="254"/>
      <c r="B23" s="269" t="s">
        <v>1721</v>
      </c>
      <c r="C23" s="1364" t="str">
        <f>估价对象房地状况!G7</f>
        <v>该园区内是否有污染型企业，绿化情况，卫生条件，整体环境状况判断</v>
      </c>
      <c r="D23" s="2905">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31"/>
      <c r="Q23" s="1506" t="str">
        <f>B23</f>
        <v>环境质量</v>
      </c>
      <c r="R23" s="3759" t="s">
        <v>13</v>
      </c>
      <c r="S23" s="3761">
        <f>F23</f>
        <v>100</v>
      </c>
      <c r="T23" s="3759" t="s">
        <v>13</v>
      </c>
      <c r="U23" s="3761">
        <f>H23</f>
        <v>100</v>
      </c>
      <c r="V23" s="3759" t="s">
        <v>13</v>
      </c>
      <c r="W23" s="3761">
        <f>J23</f>
        <v>100</v>
      </c>
      <c r="X23" s="909"/>
      <c r="Y23" s="4556"/>
      <c r="Z23" s="907" t="str">
        <f>Q23</f>
        <v>环境质量</v>
      </c>
      <c r="AA23" s="907">
        <f t="shared" si="3"/>
        <v>1</v>
      </c>
      <c r="AB23" s="907">
        <f t="shared" si="4"/>
        <v>1</v>
      </c>
      <c r="AC23" s="907">
        <f t="shared" si="5"/>
        <v>1</v>
      </c>
    </row>
    <row r="24" spans="1:29" ht="15">
      <c r="A24" s="254"/>
      <c r="B24" s="759"/>
      <c r="C24" s="266"/>
      <c r="D24" s="2904"/>
      <c r="E24" s="1363"/>
      <c r="F24" s="3755"/>
      <c r="G24" s="1362"/>
      <c r="H24" s="267"/>
      <c r="I24" s="1363"/>
      <c r="J24" s="267"/>
      <c r="K24" s="397"/>
      <c r="L24" s="602"/>
      <c r="M24" s="593"/>
      <c r="N24" s="593"/>
      <c r="O24" s="601"/>
      <c r="P24" s="4631"/>
      <c r="Q24" s="1506"/>
      <c r="R24" s="3759"/>
      <c r="S24" s="3761"/>
      <c r="T24" s="3759"/>
      <c r="U24" s="3761"/>
      <c r="V24" s="3759"/>
      <c r="W24" s="3761"/>
      <c r="X24" s="909"/>
      <c r="Y24" s="4556"/>
      <c r="Z24" s="907"/>
      <c r="AA24" s="907">
        <v>1</v>
      </c>
      <c r="AB24" s="907">
        <v>1</v>
      </c>
      <c r="AC24" s="907">
        <v>1</v>
      </c>
    </row>
    <row r="25" spans="1:29" ht="15">
      <c r="A25" s="238"/>
      <c r="B25" s="761">
        <v>111</v>
      </c>
      <c r="C25" s="259">
        <v>111</v>
      </c>
      <c r="D25" s="2901">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31"/>
      <c r="Q25" s="1506">
        <f>B25</f>
        <v>111</v>
      </c>
      <c r="R25" s="3759" t="s">
        <v>13</v>
      </c>
      <c r="S25" s="3761">
        <f>F25</f>
        <v>100</v>
      </c>
      <c r="T25" s="3759" t="s">
        <v>13</v>
      </c>
      <c r="U25" s="3761">
        <f>H25</f>
        <v>100</v>
      </c>
      <c r="V25" s="3759" t="s">
        <v>13</v>
      </c>
      <c r="W25" s="3761">
        <f>J25</f>
        <v>100</v>
      </c>
      <c r="X25" s="909"/>
      <c r="Y25" s="4556"/>
      <c r="Z25" s="907">
        <f>Q25</f>
        <v>111</v>
      </c>
      <c r="AA25" s="907">
        <f t="shared" si="3"/>
        <v>1</v>
      </c>
      <c r="AB25" s="907">
        <f t="shared" si="4"/>
        <v>1</v>
      </c>
      <c r="AC25" s="907">
        <f t="shared" si="5"/>
        <v>1</v>
      </c>
    </row>
    <row r="26" spans="1:29" ht="15">
      <c r="A26" s="254"/>
      <c r="B26" s="761">
        <v>111</v>
      </c>
      <c r="C26" s="259">
        <v>111</v>
      </c>
      <c r="D26" s="2901">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31"/>
      <c r="Q26" s="1506">
        <f t="shared" ref="Q26:Q40" si="11">B26</f>
        <v>111</v>
      </c>
      <c r="R26" s="3759" t="s">
        <v>13</v>
      </c>
      <c r="S26" s="3761">
        <f>F26</f>
        <v>100</v>
      </c>
      <c r="T26" s="3759" t="s">
        <v>13</v>
      </c>
      <c r="U26" s="3761">
        <f>H26</f>
        <v>100</v>
      </c>
      <c r="V26" s="3759" t="s">
        <v>13</v>
      </c>
      <c r="W26" s="3761">
        <f>J26</f>
        <v>100</v>
      </c>
      <c r="X26" s="909"/>
      <c r="Y26" s="4556"/>
      <c r="Z26" s="907">
        <f>Q26</f>
        <v>111</v>
      </c>
      <c r="AA26" s="907">
        <f t="shared" si="3"/>
        <v>1</v>
      </c>
      <c r="AB26" s="907">
        <f t="shared" si="4"/>
        <v>1</v>
      </c>
      <c r="AC26" s="907">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1"/>
      <c r="Q27" s="1697">
        <f t="shared" si="11"/>
        <v>111</v>
      </c>
      <c r="R27" s="3758" t="s">
        <v>13</v>
      </c>
      <c r="S27" s="3541">
        <f>F27</f>
        <v>100</v>
      </c>
      <c r="T27" s="3758" t="s">
        <v>13</v>
      </c>
      <c r="U27" s="3541">
        <f>H27</f>
        <v>100</v>
      </c>
      <c r="V27" s="3758" t="s">
        <v>13</v>
      </c>
      <c r="W27" s="3541">
        <f>J27</f>
        <v>100</v>
      </c>
      <c r="X27" s="482"/>
      <c r="Y27" s="4556"/>
      <c r="Z27" s="28">
        <f>Q27</f>
        <v>111</v>
      </c>
      <c r="AA27" s="907">
        <f>D27/F27</f>
        <v>1</v>
      </c>
      <c r="AB27" s="907">
        <f>D27/H27</f>
        <v>1</v>
      </c>
      <c r="AC27" s="907">
        <f>D27/J27</f>
        <v>1</v>
      </c>
    </row>
    <row r="28" spans="1:29" ht="15.75" thickBot="1">
      <c r="A28" s="260"/>
      <c r="B28" s="761">
        <v>111</v>
      </c>
      <c r="C28" s="261">
        <v>111</v>
      </c>
      <c r="D28" s="2902">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31"/>
      <c r="Q28" s="1506">
        <f t="shared" si="11"/>
        <v>111</v>
      </c>
      <c r="R28" s="3759" t="s">
        <v>13</v>
      </c>
      <c r="S28" s="3761">
        <f t="shared" ref="S28:S40" si="12">F28</f>
        <v>100</v>
      </c>
      <c r="T28" s="3759" t="s">
        <v>13</v>
      </c>
      <c r="U28" s="3761">
        <f t="shared" ref="U28:U40" si="13">H28</f>
        <v>100</v>
      </c>
      <c r="V28" s="3759" t="s">
        <v>13</v>
      </c>
      <c r="W28" s="3761">
        <f t="shared" ref="W28:W40" si="14">J28</f>
        <v>100</v>
      </c>
      <c r="X28" s="909"/>
      <c r="Y28" s="4556"/>
      <c r="Z28" s="907">
        <f t="shared" ref="Z28:Z40" si="15">Q28</f>
        <v>111</v>
      </c>
      <c r="AA28" s="907">
        <f t="shared" si="3"/>
        <v>1</v>
      </c>
      <c r="AB28" s="907">
        <f t="shared" si="4"/>
        <v>1</v>
      </c>
      <c r="AC28" s="907">
        <f t="shared" si="5"/>
        <v>1</v>
      </c>
    </row>
    <row r="29" spans="1:29" ht="28.5">
      <c r="A29" s="276" t="s">
        <v>1601</v>
      </c>
      <c r="B29" s="34" t="s">
        <v>1724</v>
      </c>
      <c r="C29" s="1419"/>
      <c r="D29" s="2908">
        <v>100</v>
      </c>
      <c r="E29" s="1419"/>
      <c r="F29" s="908">
        <f>SUMIF(88:88,E29,89:89)-SUMIF(88:88,C29,89:89)+100</f>
        <v>100</v>
      </c>
      <c r="G29" s="1419"/>
      <c r="H29" s="3750">
        <f>SUMIF(88:88,G29,89:89)-SUMIF(88:88,C29,89:89)+100</f>
        <v>100</v>
      </c>
      <c r="I29" s="1419"/>
      <c r="J29" s="3753">
        <f>SUMIF(88:88,I29,89:89)-SUMIF(88:88,C29,89:89)+100</f>
        <v>100</v>
      </c>
      <c r="K29" s="394"/>
      <c r="L29" s="602"/>
      <c r="M29" s="593"/>
      <c r="N29" s="593"/>
      <c r="O29" s="601"/>
      <c r="P29" s="4632" t="s">
        <v>1603</v>
      </c>
      <c r="Q29" s="1506" t="str">
        <f t="shared" si="11"/>
        <v>建筑类型</v>
      </c>
      <c r="R29" s="3759" t="s">
        <v>13</v>
      </c>
      <c r="S29" s="3761">
        <f t="shared" si="12"/>
        <v>100</v>
      </c>
      <c r="T29" s="3759" t="s">
        <v>13</v>
      </c>
      <c r="U29" s="3761">
        <f t="shared" si="13"/>
        <v>100</v>
      </c>
      <c r="V29" s="3759" t="s">
        <v>13</v>
      </c>
      <c r="W29" s="3761">
        <f t="shared" si="14"/>
        <v>100</v>
      </c>
      <c r="X29" s="909"/>
      <c r="Y29" s="4560" t="s">
        <v>1603</v>
      </c>
      <c r="Z29" s="907" t="str">
        <f t="shared" si="15"/>
        <v>建筑类型</v>
      </c>
      <c r="AA29" s="907">
        <f t="shared" si="3"/>
        <v>1</v>
      </c>
      <c r="AB29" s="907">
        <f t="shared" si="4"/>
        <v>1</v>
      </c>
      <c r="AC29" s="907">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3"/>
      <c r="Q30" s="2863" t="str">
        <f t="shared" si="11"/>
        <v>项目建筑规模</v>
      </c>
      <c r="R30" s="3760" t="s">
        <v>13</v>
      </c>
      <c r="S30" s="3762" t="e">
        <f t="shared" si="12"/>
        <v>#N/A</v>
      </c>
      <c r="T30" s="3760" t="s">
        <v>13</v>
      </c>
      <c r="U30" s="3762" t="e">
        <f t="shared" si="13"/>
        <v>#N/A</v>
      </c>
      <c r="V30" s="3760" t="s">
        <v>13</v>
      </c>
      <c r="W30" s="3762" t="e">
        <f t="shared" si="14"/>
        <v>#N/A</v>
      </c>
      <c r="X30" s="484"/>
      <c r="Y30" s="4560"/>
      <c r="Z30" s="485" t="str">
        <f t="shared" si="15"/>
        <v>项目建筑规模</v>
      </c>
      <c r="AA30" s="907" t="e">
        <f t="shared" si="3"/>
        <v>#N/A</v>
      </c>
      <c r="AB30" s="907" t="e">
        <f t="shared" si="4"/>
        <v>#N/A</v>
      </c>
      <c r="AC30" s="907" t="e">
        <f t="shared" si="5"/>
        <v>#N/A</v>
      </c>
    </row>
    <row r="31" spans="1:29" ht="15">
      <c r="A31" s="280"/>
      <c r="B31" s="252" t="s">
        <v>1605</v>
      </c>
      <c r="C31" s="275"/>
      <c r="D31" s="2901">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33"/>
      <c r="Q31" s="1506" t="str">
        <f t="shared" si="11"/>
        <v>建筑结构</v>
      </c>
      <c r="R31" s="3759" t="s">
        <v>13</v>
      </c>
      <c r="S31" s="3761">
        <f t="shared" si="12"/>
        <v>100</v>
      </c>
      <c r="T31" s="3759" t="s">
        <v>13</v>
      </c>
      <c r="U31" s="3761">
        <f t="shared" si="13"/>
        <v>100</v>
      </c>
      <c r="V31" s="3759" t="s">
        <v>13</v>
      </c>
      <c r="W31" s="3761">
        <f t="shared" si="14"/>
        <v>100</v>
      </c>
      <c r="X31" s="909"/>
      <c r="Y31" s="4560"/>
      <c r="Z31" s="907" t="str">
        <f t="shared" si="15"/>
        <v>建筑结构</v>
      </c>
      <c r="AA31" s="907">
        <f t="shared" si="3"/>
        <v>1</v>
      </c>
      <c r="AB31" s="907">
        <f t="shared" si="4"/>
        <v>1</v>
      </c>
      <c r="AC31" s="907">
        <f t="shared" si="5"/>
        <v>1</v>
      </c>
    </row>
    <row r="32" spans="1:29" ht="15">
      <c r="A32" s="280"/>
      <c r="B32" s="252" t="s">
        <v>1692</v>
      </c>
      <c r="C32" s="275"/>
      <c r="D32" s="2901">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33"/>
      <c r="Q32" s="1506" t="str">
        <f t="shared" si="11"/>
        <v>公共部分装修</v>
      </c>
      <c r="R32" s="3759" t="s">
        <v>13</v>
      </c>
      <c r="S32" s="3761">
        <f t="shared" si="12"/>
        <v>100</v>
      </c>
      <c r="T32" s="3759" t="s">
        <v>13</v>
      </c>
      <c r="U32" s="3761">
        <f t="shared" si="13"/>
        <v>100</v>
      </c>
      <c r="V32" s="3759" t="s">
        <v>13</v>
      </c>
      <c r="W32" s="3761">
        <f t="shared" si="14"/>
        <v>100</v>
      </c>
      <c r="X32" s="909"/>
      <c r="Y32" s="4560"/>
      <c r="Z32" s="907" t="str">
        <f t="shared" si="15"/>
        <v>公共部分装修</v>
      </c>
      <c r="AA32" s="907">
        <f t="shared" si="3"/>
        <v>1</v>
      </c>
      <c r="AB32" s="907">
        <f t="shared" si="4"/>
        <v>1</v>
      </c>
      <c r="AC32" s="907">
        <f t="shared" si="5"/>
        <v>1</v>
      </c>
    </row>
    <row r="33" spans="1:29" ht="15">
      <c r="A33" s="280"/>
      <c r="B33" s="252" t="s">
        <v>1693</v>
      </c>
      <c r="C33" s="278"/>
      <c r="D33" s="2901">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33"/>
      <c r="Q33" s="1506" t="str">
        <f t="shared" si="11"/>
        <v>成新度</v>
      </c>
      <c r="R33" s="3759" t="s">
        <v>13</v>
      </c>
      <c r="S33" s="3761" t="e">
        <f t="shared" si="12"/>
        <v>#N/A</v>
      </c>
      <c r="T33" s="3759" t="s">
        <v>13</v>
      </c>
      <c r="U33" s="3761" t="e">
        <f t="shared" si="13"/>
        <v>#N/A</v>
      </c>
      <c r="V33" s="3759" t="s">
        <v>13</v>
      </c>
      <c r="W33" s="3761" t="e">
        <f t="shared" si="14"/>
        <v>#N/A</v>
      </c>
      <c r="X33" s="909"/>
      <c r="Y33" s="4560"/>
      <c r="Z33" s="907" t="str">
        <f t="shared" si="15"/>
        <v>成新度</v>
      </c>
      <c r="AA33" s="907" t="e">
        <f t="shared" si="3"/>
        <v>#N/A</v>
      </c>
      <c r="AB33" s="907" t="e">
        <f t="shared" si="4"/>
        <v>#N/A</v>
      </c>
      <c r="AC33" s="907" t="e">
        <f t="shared" si="5"/>
        <v>#N/A</v>
      </c>
    </row>
    <row r="34" spans="1:29" s="46" customFormat="1" ht="15">
      <c r="A34" s="281"/>
      <c r="B34" s="252" t="s">
        <v>1726</v>
      </c>
      <c r="C34" s="275"/>
      <c r="D34" s="2899">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33"/>
      <c r="Q34" s="1697" t="str">
        <f t="shared" si="11"/>
        <v>物业管理</v>
      </c>
      <c r="R34" s="3758" t="s">
        <v>13</v>
      </c>
      <c r="S34" s="3541">
        <f t="shared" si="12"/>
        <v>100</v>
      </c>
      <c r="T34" s="3758" t="s">
        <v>13</v>
      </c>
      <c r="U34" s="3541">
        <f t="shared" si="13"/>
        <v>100</v>
      </c>
      <c r="V34" s="3758" t="s">
        <v>13</v>
      </c>
      <c r="W34" s="3541">
        <f t="shared" si="14"/>
        <v>100</v>
      </c>
      <c r="X34" s="482"/>
      <c r="Y34" s="4560"/>
      <c r="Z34" s="28" t="str">
        <f t="shared" si="15"/>
        <v>物业管理</v>
      </c>
      <c r="AA34" s="28">
        <f t="shared" si="3"/>
        <v>1</v>
      </c>
      <c r="AB34" s="28">
        <f t="shared" si="4"/>
        <v>1</v>
      </c>
      <c r="AC34" s="28">
        <f t="shared" si="5"/>
        <v>1</v>
      </c>
    </row>
    <row r="35" spans="1:29" ht="15">
      <c r="A35" s="280"/>
      <c r="B35" s="252" t="s">
        <v>1694</v>
      </c>
      <c r="C35" s="275"/>
      <c r="D35" s="2901">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33" t="s">
        <v>1603</v>
      </c>
      <c r="Q35" s="1506" t="str">
        <f t="shared" si="11"/>
        <v>市政基础设施</v>
      </c>
      <c r="R35" s="3759" t="s">
        <v>13</v>
      </c>
      <c r="S35" s="3761">
        <f t="shared" si="12"/>
        <v>100</v>
      </c>
      <c r="T35" s="3759" t="s">
        <v>13</v>
      </c>
      <c r="U35" s="3761">
        <f t="shared" si="13"/>
        <v>100</v>
      </c>
      <c r="V35" s="3759" t="s">
        <v>13</v>
      </c>
      <c r="W35" s="3761">
        <f t="shared" si="14"/>
        <v>100</v>
      </c>
      <c r="X35" s="909"/>
      <c r="Y35" s="4560" t="s">
        <v>1603</v>
      </c>
      <c r="Z35" s="907" t="str">
        <f t="shared" si="15"/>
        <v>市政基础设施</v>
      </c>
      <c r="AA35" s="907">
        <f t="shared" si="3"/>
        <v>1</v>
      </c>
      <c r="AB35" s="907">
        <f t="shared" si="4"/>
        <v>1</v>
      </c>
      <c r="AC35" s="907">
        <f t="shared" si="5"/>
        <v>1</v>
      </c>
    </row>
    <row r="36" spans="1:29" ht="15">
      <c r="A36" s="280"/>
      <c r="B36" s="252" t="s">
        <v>1699</v>
      </c>
      <c r="C36" s="275"/>
      <c r="D36" s="2901">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33"/>
      <c r="Q36" s="1506" t="str">
        <f t="shared" si="11"/>
        <v>内部装修</v>
      </c>
      <c r="R36" s="3759" t="s">
        <v>13</v>
      </c>
      <c r="S36" s="3761">
        <f t="shared" si="12"/>
        <v>100</v>
      </c>
      <c r="T36" s="3759" t="s">
        <v>13</v>
      </c>
      <c r="U36" s="3761">
        <f t="shared" si="13"/>
        <v>100</v>
      </c>
      <c r="V36" s="3759" t="s">
        <v>13</v>
      </c>
      <c r="W36" s="3761">
        <f t="shared" si="14"/>
        <v>100</v>
      </c>
      <c r="X36" s="909"/>
      <c r="Y36" s="4560"/>
      <c r="Z36" s="907" t="str">
        <f t="shared" si="15"/>
        <v>内部装修</v>
      </c>
      <c r="AA36" s="907">
        <f t="shared" si="3"/>
        <v>1</v>
      </c>
      <c r="AB36" s="907">
        <f t="shared" si="4"/>
        <v>1</v>
      </c>
      <c r="AC36" s="907">
        <f t="shared" si="5"/>
        <v>1</v>
      </c>
    </row>
    <row r="37" spans="1:29" ht="15">
      <c r="A37" s="280"/>
      <c r="B37" s="252" t="s">
        <v>1735</v>
      </c>
      <c r="C37" s="398"/>
      <c r="D37" s="2901">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33"/>
      <c r="Q37" s="1506" t="str">
        <f t="shared" si="11"/>
        <v>内部装修状况</v>
      </c>
      <c r="R37" s="3759" t="s">
        <v>13</v>
      </c>
      <c r="S37" s="3761">
        <f t="shared" si="12"/>
        <v>100</v>
      </c>
      <c r="T37" s="3759" t="s">
        <v>13</v>
      </c>
      <c r="U37" s="3761">
        <f t="shared" si="13"/>
        <v>100</v>
      </c>
      <c r="V37" s="3759" t="s">
        <v>13</v>
      </c>
      <c r="W37" s="3761">
        <f t="shared" si="14"/>
        <v>100</v>
      </c>
      <c r="X37" s="909"/>
      <c r="Y37" s="4560"/>
      <c r="Z37" s="907" t="str">
        <f t="shared" si="15"/>
        <v>内部装修状况</v>
      </c>
      <c r="AA37" s="907">
        <f t="shared" si="3"/>
        <v>1</v>
      </c>
      <c r="AB37" s="907">
        <f t="shared" si="4"/>
        <v>1</v>
      </c>
      <c r="AC37" s="907">
        <f t="shared" si="5"/>
        <v>1</v>
      </c>
    </row>
    <row r="38" spans="1:29" s="279" customFormat="1" ht="15">
      <c r="A38" s="277"/>
      <c r="B38" s="761">
        <v>111</v>
      </c>
      <c r="C38" s="278"/>
      <c r="D38" s="2901">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33"/>
      <c r="Q38" s="2863">
        <f t="shared" si="11"/>
        <v>111</v>
      </c>
      <c r="R38" s="3760" t="s">
        <v>13</v>
      </c>
      <c r="S38" s="3762">
        <f t="shared" si="12"/>
        <v>100</v>
      </c>
      <c r="T38" s="3760" t="s">
        <v>13</v>
      </c>
      <c r="U38" s="3762">
        <f t="shared" si="13"/>
        <v>100</v>
      </c>
      <c r="V38" s="3760" t="s">
        <v>13</v>
      </c>
      <c r="W38" s="3762">
        <f t="shared" si="14"/>
        <v>100</v>
      </c>
      <c r="X38" s="484"/>
      <c r="Y38" s="4560"/>
      <c r="Z38" s="485">
        <f t="shared" si="15"/>
        <v>111</v>
      </c>
      <c r="AA38" s="907">
        <f t="shared" si="3"/>
        <v>1</v>
      </c>
      <c r="AB38" s="907">
        <f t="shared" si="4"/>
        <v>1</v>
      </c>
      <c r="AC38" s="907">
        <f t="shared" si="5"/>
        <v>1</v>
      </c>
    </row>
    <row r="39" spans="1:29" ht="15">
      <c r="A39" s="280"/>
      <c r="B39" s="761">
        <v>111</v>
      </c>
      <c r="C39" s="278"/>
      <c r="D39" s="2901">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33"/>
      <c r="Q39" s="1506">
        <f t="shared" si="11"/>
        <v>111</v>
      </c>
      <c r="R39" s="3759" t="s">
        <v>13</v>
      </c>
      <c r="S39" s="3761">
        <f t="shared" si="12"/>
        <v>100</v>
      </c>
      <c r="T39" s="3759" t="s">
        <v>13</v>
      </c>
      <c r="U39" s="3761">
        <f t="shared" si="13"/>
        <v>100</v>
      </c>
      <c r="V39" s="3759" t="s">
        <v>13</v>
      </c>
      <c r="W39" s="3761">
        <f t="shared" si="14"/>
        <v>100</v>
      </c>
      <c r="X39" s="909"/>
      <c r="Y39" s="4560"/>
      <c r="Z39" s="907">
        <f t="shared" si="15"/>
        <v>111</v>
      </c>
      <c r="AA39" s="907">
        <f t="shared" si="3"/>
        <v>1</v>
      </c>
      <c r="AB39" s="907">
        <f t="shared" si="4"/>
        <v>1</v>
      </c>
      <c r="AC39" s="907">
        <f t="shared" si="5"/>
        <v>1</v>
      </c>
    </row>
    <row r="40" spans="1:29" ht="15.75" thickBot="1">
      <c r="A40" s="285"/>
      <c r="B40" s="1361">
        <v>111</v>
      </c>
      <c r="C40" s="261"/>
      <c r="D40" s="2902">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34"/>
      <c r="Q40" s="1506">
        <f t="shared" si="11"/>
        <v>111</v>
      </c>
      <c r="R40" s="3759" t="s">
        <v>13</v>
      </c>
      <c r="S40" s="3761">
        <f t="shared" si="12"/>
        <v>100</v>
      </c>
      <c r="T40" s="3759" t="s">
        <v>13</v>
      </c>
      <c r="U40" s="3761">
        <f t="shared" si="13"/>
        <v>100</v>
      </c>
      <c r="V40" s="3759" t="s">
        <v>13</v>
      </c>
      <c r="W40" s="3761">
        <f t="shared" si="14"/>
        <v>100</v>
      </c>
      <c r="X40" s="909"/>
      <c r="Y40" s="4561"/>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1"/>
      <c r="L41" s="605"/>
      <c r="M41" s="593"/>
      <c r="N41" s="593"/>
      <c r="O41" s="593"/>
      <c r="P41" s="4562" t="str">
        <f>A41</f>
        <v>成交单价（元/平方米）</v>
      </c>
      <c r="Q41" s="4562"/>
      <c r="R41" s="4563">
        <f>E41</f>
        <v>0</v>
      </c>
      <c r="S41" s="4563"/>
      <c r="T41" s="4563">
        <f>G41</f>
        <v>0</v>
      </c>
      <c r="U41" s="4563"/>
      <c r="V41" s="4563">
        <f>I41</f>
        <v>0</v>
      </c>
      <c r="W41" s="4563"/>
      <c r="X41" s="265"/>
      <c r="Y41" s="486"/>
      <c r="Z41" s="265"/>
      <c r="AA41" s="265"/>
      <c r="AB41" s="265"/>
      <c r="AC41" s="265"/>
    </row>
    <row r="42" spans="1:29" ht="15.75" thickBot="1">
      <c r="A42" s="289" t="s">
        <v>1700</v>
      </c>
      <c r="B42" s="290"/>
      <c r="C42" s="3732" t="e">
        <f>R43</f>
        <v>#DIV/0!</v>
      </c>
      <c r="D42" s="3845" t="s">
        <v>2042</v>
      </c>
      <c r="E42" s="2884" t="e">
        <f>R42</f>
        <v>#DIV/0!</v>
      </c>
      <c r="F42" s="2800"/>
      <c r="G42" s="2883" t="e">
        <f>T42</f>
        <v>#DIV/0!</v>
      </c>
      <c r="H42" s="2800"/>
      <c r="I42" s="2884" t="e">
        <f>V42</f>
        <v>#DIV/0!</v>
      </c>
      <c r="J42" s="2800"/>
      <c r="K42" s="2854">
        <f>F42+H42+J42</f>
        <v>0</v>
      </c>
      <c r="L42" s="605"/>
      <c r="M42" s="593"/>
      <c r="N42" s="593"/>
      <c r="O42" s="593"/>
      <c r="P42" s="4562" t="str">
        <f>A42</f>
        <v>比较价值（元/平方米）</v>
      </c>
      <c r="Q42" s="4562"/>
      <c r="R42" s="4563" t="e">
        <f>IF(F1="售价",ROUND(PRODUCT(R41,AA7:AA40),0),ROUND(PRODUCT(R41,AA7:AA40),1))</f>
        <v>#DIV/0!</v>
      </c>
      <c r="S42" s="4563"/>
      <c r="T42" s="4563" t="e">
        <f>IF(F1="售价",ROUND(PRODUCT(T41,AB7:AB40),0),ROUND(PRODUCT(T41,AB7:AB40),1))</f>
        <v>#DIV/0!</v>
      </c>
      <c r="U42" s="4563"/>
      <c r="V42" s="4563" t="e">
        <f>IF(F1="售价",ROUND(PRODUCT(V41,AC7:AC40),0),ROUND(PRODUCT(V41,AC7:AC40),1))</f>
        <v>#DIV/0!</v>
      </c>
      <c r="W42" s="4563"/>
      <c r="X42" s="265"/>
      <c r="Y42" s="265"/>
      <c r="Z42" s="265"/>
      <c r="AA42" s="265"/>
      <c r="AB42" s="265"/>
      <c r="AC42" s="265"/>
    </row>
    <row r="43" spans="1:29" ht="15.75" thickBot="1">
      <c r="A43" s="291" t="s">
        <v>1701</v>
      </c>
      <c r="B43" s="292"/>
      <c r="C43" s="3744" t="e">
        <f>R43</f>
        <v>#DIV/0!</v>
      </c>
      <c r="D43" s="241"/>
      <c r="E43" s="241"/>
      <c r="F43" s="241"/>
      <c r="G43" s="241"/>
      <c r="H43" s="241"/>
      <c r="I43" s="241"/>
      <c r="J43" s="241"/>
      <c r="K43" s="487"/>
      <c r="L43" s="605"/>
      <c r="M43" s="593"/>
      <c r="N43" s="593"/>
      <c r="O43" s="593"/>
      <c r="P43" s="4622" t="str">
        <f>A43</f>
        <v>估价对象XX用房的比较价值（楼面单价，元/平方米）</v>
      </c>
      <c r="Q43" s="4623"/>
      <c r="R43" s="4624" t="e">
        <f>IF(F1="售价",ROUND(IF(D42="简单平均",AVERAGE(R42:V42),R42*F42+T42*H42+V42*J42),0),ROUND(IF(D42="简单平均",AVERAGE(R42:V42),R42*F42+T42*H42+V42*J42),1))</f>
        <v>#DIV/0!</v>
      </c>
      <c r="S43" s="4624"/>
      <c r="T43" s="4624"/>
      <c r="U43" s="4624"/>
      <c r="V43" s="4624"/>
      <c r="W43" s="4624"/>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3875</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6" t="s">
        <v>3476</v>
      </c>
      <c r="H3" s="3847">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530" t="s">
        <v>1677</v>
      </c>
      <c r="D4" s="4531"/>
      <c r="E4" s="4532" t="s">
        <v>1678</v>
      </c>
      <c r="F4" s="4533"/>
      <c r="G4" s="4530" t="s">
        <v>1679</v>
      </c>
      <c r="H4" s="4531"/>
      <c r="I4" s="4530" t="s">
        <v>1680</v>
      </c>
      <c r="J4" s="4531"/>
      <c r="K4" s="393" t="s">
        <v>1681</v>
      </c>
      <c r="L4" s="1973"/>
      <c r="M4" s="1974"/>
      <c r="N4" s="1974"/>
      <c r="O4" s="1974"/>
      <c r="P4" s="4636" t="s">
        <v>1682</v>
      </c>
      <c r="Q4" s="4637"/>
      <c r="R4" s="4620" t="s">
        <v>1678</v>
      </c>
      <c r="S4" s="4621"/>
      <c r="T4" s="4620" t="s">
        <v>1679</v>
      </c>
      <c r="U4" s="4621"/>
      <c r="V4" s="4625" t="s">
        <v>1680</v>
      </c>
      <c r="W4" s="4625"/>
      <c r="X4" s="909"/>
      <c r="Y4" s="4620" t="s">
        <v>1682</v>
      </c>
      <c r="Z4" s="4621"/>
      <c r="AA4" s="4600" t="s">
        <v>1678</v>
      </c>
      <c r="AB4" s="4510" t="s">
        <v>1679</v>
      </c>
      <c r="AC4" s="4600" t="s">
        <v>1680</v>
      </c>
    </row>
    <row r="5" spans="1:29" ht="15">
      <c r="A5" s="238"/>
      <c r="B5" s="239"/>
      <c r="C5" s="4628" t="s">
        <v>1580</v>
      </c>
      <c r="D5" s="4629"/>
      <c r="E5" s="4626" t="s">
        <v>1581</v>
      </c>
      <c r="F5" s="4627"/>
      <c r="G5" s="4628" t="s">
        <v>1582</v>
      </c>
      <c r="H5" s="4629"/>
      <c r="I5" s="4628" t="s">
        <v>1583</v>
      </c>
      <c r="J5" s="4629"/>
      <c r="K5" s="393"/>
      <c r="L5" s="1973"/>
      <c r="M5" s="1974"/>
      <c r="N5" s="1974"/>
      <c r="O5" s="1974"/>
      <c r="P5" s="4638"/>
      <c r="Q5" s="4639"/>
      <c r="R5" s="4548"/>
      <c r="S5" s="4549"/>
      <c r="T5" s="4548"/>
      <c r="U5" s="4549"/>
      <c r="V5" s="4625"/>
      <c r="W5" s="4625"/>
      <c r="X5" s="909"/>
      <c r="Y5" s="4548"/>
      <c r="Z5" s="4549"/>
      <c r="AA5" s="4510"/>
      <c r="AB5" s="4510"/>
      <c r="AC5" s="4510"/>
    </row>
    <row r="6" spans="1:29" ht="15.75" thickBot="1">
      <c r="A6" s="240"/>
      <c r="B6" s="241"/>
      <c r="C6" s="4521" t="s">
        <v>1584</v>
      </c>
      <c r="D6" s="4522"/>
      <c r="E6" s="4523" t="s">
        <v>1584</v>
      </c>
      <c r="F6" s="4524"/>
      <c r="G6" s="4521" t="s">
        <v>1584</v>
      </c>
      <c r="H6" s="4522"/>
      <c r="I6" s="4521" t="s">
        <v>1584</v>
      </c>
      <c r="J6" s="4522"/>
      <c r="K6" s="393" t="s">
        <v>1585</v>
      </c>
      <c r="L6" s="1973"/>
      <c r="M6" s="1974"/>
      <c r="N6" s="1974"/>
      <c r="O6" s="1974"/>
      <c r="P6" s="4640"/>
      <c r="Q6" s="4641"/>
      <c r="R6" s="4548"/>
      <c r="S6" s="4549"/>
      <c r="T6" s="4550"/>
      <c r="U6" s="4551"/>
      <c r="V6" s="4625"/>
      <c r="W6" s="4625"/>
      <c r="X6" s="909"/>
      <c r="Y6" s="4550"/>
      <c r="Z6" s="4551"/>
      <c r="AA6" s="4511"/>
      <c r="AB6" s="4511"/>
      <c r="AC6" s="4511"/>
    </row>
    <row r="7" spans="1:29" s="46" customFormat="1" ht="15.75" thickBot="1">
      <c r="A7" s="242" t="s">
        <v>1586</v>
      </c>
      <c r="B7" s="243"/>
      <c r="C7" s="244">
        <f>'数据-取费表'!B2</f>
        <v>46097</v>
      </c>
      <c r="D7" s="2897">
        <v>100</v>
      </c>
      <c r="E7" s="245"/>
      <c r="F7" s="3746">
        <f>SUMIF(48:48,YEAR(E7)&amp;"-"&amp;MONTH(E7),49:49)</f>
        <v>0</v>
      </c>
      <c r="G7" s="245"/>
      <c r="H7" s="3752">
        <f>SUMIF(48:48,YEAR(G7)&amp;"-"&amp;MONTH(G7),49:49)</f>
        <v>0</v>
      </c>
      <c r="I7" s="245"/>
      <c r="J7" s="3752">
        <f>SUMIF(48:48,YEAR(I7)&amp;"-"&amp;MONTH(I7),49:49)</f>
        <v>0</v>
      </c>
      <c r="K7" s="22"/>
      <c r="L7" s="1975"/>
      <c r="M7" s="1928"/>
      <c r="N7" s="1928"/>
      <c r="O7" s="1928"/>
      <c r="P7" s="4512" t="s">
        <v>1587</v>
      </c>
      <c r="Q7" s="4642"/>
      <c r="R7" s="3765" t="s">
        <v>13</v>
      </c>
      <c r="S7" s="3768">
        <f t="shared" ref="S7:S14" si="0">F7</f>
        <v>0</v>
      </c>
      <c r="T7" s="3765" t="s">
        <v>13</v>
      </c>
      <c r="U7" s="3768">
        <f t="shared" ref="U7:U14" si="1">H7</f>
        <v>0</v>
      </c>
      <c r="V7" s="3765" t="s">
        <v>13</v>
      </c>
      <c r="W7" s="3768">
        <f t="shared" ref="W7:W14" si="2">J7</f>
        <v>0</v>
      </c>
      <c r="X7" s="482"/>
      <c r="Y7" s="4512" t="s">
        <v>1587</v>
      </c>
      <c r="Z7" s="4513"/>
      <c r="AA7" s="28" t="e">
        <f>D7/F7</f>
        <v>#DIV/0!</v>
      </c>
      <c r="AB7" s="28" t="e">
        <f>D7/H7</f>
        <v>#DIV/0!</v>
      </c>
      <c r="AC7" s="28" t="e">
        <f>D7/J7</f>
        <v>#DIV/0!</v>
      </c>
    </row>
    <row r="8" spans="1:29" s="46" customFormat="1" ht="15.75" thickBot="1">
      <c r="A8" s="242" t="s">
        <v>1588</v>
      </c>
      <c r="B8" s="243"/>
      <c r="C8" s="246"/>
      <c r="D8" s="2897">
        <v>100</v>
      </c>
      <c r="E8" s="246"/>
      <c r="F8" s="3746">
        <f>SUMIF(51:51,E8,52:52)-SUMIF(51:51,C8,52:52)+100</f>
        <v>100</v>
      </c>
      <c r="G8" s="246"/>
      <c r="H8" s="3752">
        <f>SUMIF(51:51,G8,52:52)-SUMIF(51:51,C8,52:52)+100</f>
        <v>100</v>
      </c>
      <c r="I8" s="246"/>
      <c r="J8" s="3752">
        <f>SUMIF(51:51,I8,52:52)-SUMIF(51:51,C8,52:52)+100</f>
        <v>100</v>
      </c>
      <c r="K8" s="22"/>
      <c r="L8" s="1975"/>
      <c r="M8" s="1928"/>
      <c r="N8" s="1928"/>
      <c r="O8" s="1928"/>
      <c r="P8" s="4512" t="s">
        <v>1590</v>
      </c>
      <c r="Q8" s="4513"/>
      <c r="R8" s="3765" t="s">
        <v>13</v>
      </c>
      <c r="S8" s="3768">
        <f t="shared" si="0"/>
        <v>100</v>
      </c>
      <c r="T8" s="3765" t="s">
        <v>13</v>
      </c>
      <c r="U8" s="3768">
        <f t="shared" si="1"/>
        <v>100</v>
      </c>
      <c r="V8" s="3765" t="s">
        <v>13</v>
      </c>
      <c r="W8" s="3768">
        <f t="shared" si="2"/>
        <v>100</v>
      </c>
      <c r="X8" s="482"/>
      <c r="Y8" s="4512" t="s">
        <v>1590</v>
      </c>
      <c r="Z8" s="4513"/>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35" t="s">
        <v>1593</v>
      </c>
      <c r="Q9" s="389" t="str">
        <f t="shared" ref="Q9:Q14" si="6">B9</f>
        <v>用途</v>
      </c>
      <c r="R9" s="3765" t="s">
        <v>13</v>
      </c>
      <c r="S9" s="3768">
        <f t="shared" si="0"/>
        <v>100</v>
      </c>
      <c r="T9" s="3765" t="s">
        <v>13</v>
      </c>
      <c r="U9" s="3768">
        <f t="shared" si="1"/>
        <v>100</v>
      </c>
      <c r="V9" s="3765" t="s">
        <v>13</v>
      </c>
      <c r="W9" s="3768">
        <f t="shared" si="2"/>
        <v>100</v>
      </c>
      <c r="X9" s="482"/>
      <c r="Y9" s="4526"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35"/>
      <c r="Q10" s="389" t="str">
        <f t="shared" si="6"/>
        <v>土地使用年限（年）</v>
      </c>
      <c r="R10" s="3765" t="s">
        <v>13</v>
      </c>
      <c r="S10" s="3768">
        <f t="shared" si="0"/>
        <v>100</v>
      </c>
      <c r="T10" s="3765" t="s">
        <v>13</v>
      </c>
      <c r="U10" s="3768">
        <f t="shared" si="1"/>
        <v>100</v>
      </c>
      <c r="V10" s="3765" t="s">
        <v>13</v>
      </c>
      <c r="W10" s="3768">
        <f t="shared" si="2"/>
        <v>100</v>
      </c>
      <c r="X10" s="482"/>
      <c r="Y10" s="4526"/>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35"/>
      <c r="Q11" s="389">
        <f t="shared" si="6"/>
        <v>111</v>
      </c>
      <c r="R11" s="3765" t="s">
        <v>13</v>
      </c>
      <c r="S11" s="3768">
        <f t="shared" si="0"/>
        <v>100</v>
      </c>
      <c r="T11" s="3765" t="s">
        <v>13</v>
      </c>
      <c r="U11" s="3768">
        <f t="shared" si="1"/>
        <v>100</v>
      </c>
      <c r="V11" s="3765" t="s">
        <v>13</v>
      </c>
      <c r="W11" s="3768">
        <f t="shared" si="2"/>
        <v>100</v>
      </c>
      <c r="X11" s="482"/>
      <c r="Y11" s="4526"/>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35"/>
      <c r="Q12" s="389">
        <f t="shared" si="6"/>
        <v>111</v>
      </c>
      <c r="R12" s="3765" t="s">
        <v>13</v>
      </c>
      <c r="S12" s="3768">
        <f t="shared" si="0"/>
        <v>100</v>
      </c>
      <c r="T12" s="3765" t="s">
        <v>13</v>
      </c>
      <c r="U12" s="3768">
        <f t="shared" si="1"/>
        <v>100</v>
      </c>
      <c r="V12" s="3765" t="s">
        <v>13</v>
      </c>
      <c r="W12" s="3768">
        <f t="shared" si="2"/>
        <v>100</v>
      </c>
      <c r="X12" s="482"/>
      <c r="Y12" s="4526"/>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50">
        <f>SUMIF(61:61,G13,62:62)-SUMIF(61:61,C13,62:62)+100</f>
        <v>100</v>
      </c>
      <c r="I13" s="258"/>
      <c r="J13" s="3750">
        <f>SUMIF(61:61,I13,62:62)-SUMIF(61:61,C13,62:62)+100</f>
        <v>100</v>
      </c>
      <c r="K13" s="395"/>
      <c r="L13" s="1979"/>
      <c r="M13" s="1974"/>
      <c r="N13" s="1974"/>
      <c r="O13" s="1974"/>
      <c r="P13" s="4635"/>
      <c r="Q13" s="389">
        <f t="shared" si="6"/>
        <v>111</v>
      </c>
      <c r="R13" s="3765" t="s">
        <v>13</v>
      </c>
      <c r="S13" s="3768">
        <f t="shared" si="0"/>
        <v>100</v>
      </c>
      <c r="T13" s="3765" t="s">
        <v>13</v>
      </c>
      <c r="U13" s="3768">
        <f t="shared" si="1"/>
        <v>100</v>
      </c>
      <c r="V13" s="3765" t="s">
        <v>13</v>
      </c>
      <c r="W13" s="3768">
        <f t="shared" si="2"/>
        <v>100</v>
      </c>
      <c r="X13" s="482"/>
      <c r="Y13" s="4526"/>
      <c r="Z13" s="28">
        <f t="shared" si="7"/>
        <v>111</v>
      </c>
      <c r="AA13" s="28">
        <f t="shared" si="3"/>
        <v>1</v>
      </c>
      <c r="AB13" s="28">
        <f t="shared" si="4"/>
        <v>1</v>
      </c>
      <c r="AC13" s="28">
        <f t="shared" si="5"/>
        <v>1</v>
      </c>
    </row>
    <row r="14" spans="1:29" ht="85.5">
      <c r="A14" s="235" t="s">
        <v>1597</v>
      </c>
      <c r="B14" s="403" t="s">
        <v>1740</v>
      </c>
      <c r="C14" s="1423" t="str">
        <f>IF(B1="工业",估价对象房地状况!G4,估价对象房地状况!C6)</f>
        <v>估价对象周边道路状况、公共交通通达情况、停车便捷程度，综合评价交通便捷度较好</v>
      </c>
      <c r="D14" s="2903">
        <v>100</v>
      </c>
      <c r="E14" s="263"/>
      <c r="F14" s="3754">
        <f>SUMIF(63:63,E15,64:64)-SUMIF(63:63,C15,64:64)+100</f>
        <v>100</v>
      </c>
      <c r="G14" s="264"/>
      <c r="H14" s="3748">
        <f>SUMIF(63:63,G15,64:64)-SUMIF(63:63,C15,64:64)+100</f>
        <v>100</v>
      </c>
      <c r="I14" s="263"/>
      <c r="J14" s="3748">
        <f>SUMIF(63:63,I15,64:64)-SUMIF(63:63,C15,64:64)+100</f>
        <v>100</v>
      </c>
      <c r="K14" s="396"/>
      <c r="L14" s="1979"/>
      <c r="M14" s="1974"/>
      <c r="N14" s="1974"/>
      <c r="O14" s="1974"/>
      <c r="P14" s="4555" t="s">
        <v>1598</v>
      </c>
      <c r="Q14" s="906" t="str">
        <f t="shared" si="6"/>
        <v>交通便捷度</v>
      </c>
      <c r="R14" s="3766" t="s">
        <v>13</v>
      </c>
      <c r="S14" s="3769">
        <f t="shared" si="0"/>
        <v>100</v>
      </c>
      <c r="T14" s="3766" t="s">
        <v>13</v>
      </c>
      <c r="U14" s="3769">
        <f t="shared" si="1"/>
        <v>100</v>
      </c>
      <c r="V14" s="3766" t="s">
        <v>13</v>
      </c>
      <c r="W14" s="3769">
        <f t="shared" si="2"/>
        <v>100</v>
      </c>
      <c r="X14" s="909"/>
      <c r="Y14" s="4555" t="s">
        <v>1598</v>
      </c>
      <c r="Z14" s="907" t="str">
        <f t="shared" si="7"/>
        <v>交通便捷度</v>
      </c>
      <c r="AA14" s="907">
        <f t="shared" si="3"/>
        <v>1</v>
      </c>
      <c r="AB14" s="907">
        <f t="shared" si="4"/>
        <v>1</v>
      </c>
      <c r="AC14" s="907">
        <f t="shared" si="5"/>
        <v>1</v>
      </c>
    </row>
    <row r="15" spans="1:29" ht="15">
      <c r="A15" s="238"/>
      <c r="B15" s="419"/>
      <c r="C15" s="266"/>
      <c r="D15" s="2904"/>
      <c r="E15" s="266"/>
      <c r="F15" s="3755"/>
      <c r="G15" s="266"/>
      <c r="H15" s="268"/>
      <c r="I15" s="266"/>
      <c r="J15" s="267"/>
      <c r="K15" s="397"/>
      <c r="L15" s="1979"/>
      <c r="M15" s="1974"/>
      <c r="N15" s="1974"/>
      <c r="O15" s="1974"/>
      <c r="P15" s="4556"/>
      <c r="Q15" s="906"/>
      <c r="R15" s="3766"/>
      <c r="S15" s="3769"/>
      <c r="T15" s="3766"/>
      <c r="U15" s="3769"/>
      <c r="V15" s="3766"/>
      <c r="W15" s="3769"/>
      <c r="X15" s="909"/>
      <c r="Y15" s="4556"/>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6">
        <v>100</v>
      </c>
      <c r="E16" s="273"/>
      <c r="F16" s="3757">
        <f>SUMIF(65:65,E17,66:66)-SUMIF(65:65,C17,66:66)+100</f>
        <v>100</v>
      </c>
      <c r="G16" s="274"/>
      <c r="H16" s="3749">
        <f>SUMIF(65:65,G17,66:66)-SUMIF(65:65,C17,66:66)+100</f>
        <v>100</v>
      </c>
      <c r="I16" s="273"/>
      <c r="J16" s="3749">
        <f>SUMIF(65:65,I17,66:66)-SUMIF(65:65,C17,66:66)+100</f>
        <v>100</v>
      </c>
      <c r="K16" s="396"/>
      <c r="L16" s="1979"/>
      <c r="M16" s="1974"/>
      <c r="N16" s="1974"/>
      <c r="O16" s="1974"/>
      <c r="P16" s="4556"/>
      <c r="Q16" s="906" t="str">
        <f>B16</f>
        <v>公共配套设施</v>
      </c>
      <c r="R16" s="3766" t="s">
        <v>13</v>
      </c>
      <c r="S16" s="3769">
        <f>F16</f>
        <v>100</v>
      </c>
      <c r="T16" s="3766" t="s">
        <v>13</v>
      </c>
      <c r="U16" s="3769">
        <f>H16</f>
        <v>100</v>
      </c>
      <c r="V16" s="3766" t="s">
        <v>13</v>
      </c>
      <c r="W16" s="3769">
        <f>J16</f>
        <v>100</v>
      </c>
      <c r="X16" s="909"/>
      <c r="Y16" s="4556"/>
      <c r="Z16" s="907" t="str">
        <f>Q16</f>
        <v>公共配套设施</v>
      </c>
      <c r="AA16" s="907">
        <f t="shared" si="3"/>
        <v>1</v>
      </c>
      <c r="AB16" s="907">
        <f t="shared" si="4"/>
        <v>1</v>
      </c>
      <c r="AC16" s="907">
        <f t="shared" si="5"/>
        <v>1</v>
      </c>
    </row>
    <row r="17" spans="1:29" ht="15">
      <c r="A17" s="238"/>
      <c r="B17" s="406"/>
      <c r="C17" s="1365"/>
      <c r="D17" s="2904"/>
      <c r="E17" s="266"/>
      <c r="F17" s="3755"/>
      <c r="G17" s="266"/>
      <c r="H17" s="267"/>
      <c r="I17" s="266"/>
      <c r="J17" s="267"/>
      <c r="K17" s="397"/>
      <c r="L17" s="1979"/>
      <c r="M17" s="1974"/>
      <c r="N17" s="1974"/>
      <c r="O17" s="1974"/>
      <c r="P17" s="4556"/>
      <c r="Q17" s="906"/>
      <c r="R17" s="3766"/>
      <c r="S17" s="3769"/>
      <c r="T17" s="3766"/>
      <c r="U17" s="3769"/>
      <c r="V17" s="3766"/>
      <c r="W17" s="3769"/>
      <c r="X17" s="909"/>
      <c r="Y17" s="4556"/>
      <c r="Z17" s="907"/>
      <c r="AA17" s="907">
        <v>1</v>
      </c>
      <c r="AB17" s="907">
        <v>1</v>
      </c>
      <c r="AC17" s="907">
        <v>1</v>
      </c>
    </row>
    <row r="18" spans="1:29" ht="28.5">
      <c r="A18" s="238"/>
      <c r="B18" s="407" t="s">
        <v>1720</v>
      </c>
      <c r="C18" s="1364" t="str">
        <f>IF(B1="工业",估价对象房地状况!G6,估价对象房地状况!C8)</f>
        <v>估价对象所在区域基础设施水平</v>
      </c>
      <c r="D18" s="2905">
        <v>100</v>
      </c>
      <c r="E18" s="270"/>
      <c r="F18" s="3757">
        <f>SUMIF(67:67,E19,68:68)-SUMIF(67:67,C19,68:68)+100</f>
        <v>100</v>
      </c>
      <c r="G18" s="271"/>
      <c r="H18" s="3749">
        <f>SUMIF(67:67,G19,68:68)-SUMIF(67:67,C19,68:68)+100</f>
        <v>100</v>
      </c>
      <c r="I18" s="270"/>
      <c r="J18" s="3749">
        <f>SUMIF(67:67,I19,68:68)-SUMIF(67:67,C19,68:68)+100</f>
        <v>100</v>
      </c>
      <c r="K18" s="396"/>
      <c r="L18" s="1979"/>
      <c r="M18" s="1974"/>
      <c r="N18" s="1974"/>
      <c r="O18" s="1974"/>
      <c r="P18" s="4556"/>
      <c r="Q18" s="906" t="str">
        <f>B18</f>
        <v>基础设施水平</v>
      </c>
      <c r="R18" s="3766" t="s">
        <v>13</v>
      </c>
      <c r="S18" s="3769">
        <f>F18</f>
        <v>100</v>
      </c>
      <c r="T18" s="3766" t="s">
        <v>13</v>
      </c>
      <c r="U18" s="3769">
        <f>H18</f>
        <v>100</v>
      </c>
      <c r="V18" s="3766" t="s">
        <v>13</v>
      </c>
      <c r="W18" s="3769">
        <f>J18</f>
        <v>100</v>
      </c>
      <c r="X18" s="909"/>
      <c r="Y18" s="4556"/>
      <c r="Z18" s="907" t="str">
        <f>Q18</f>
        <v>基础设施水平</v>
      </c>
      <c r="AA18" s="907">
        <f t="shared" ref="AA18" si="8">D18/F18</f>
        <v>1</v>
      </c>
      <c r="AB18" s="907">
        <f t="shared" ref="AB18" si="9">D18/H18</f>
        <v>1</v>
      </c>
      <c r="AC18" s="907">
        <f t="shared" ref="AC18" si="10">D18/J18</f>
        <v>1</v>
      </c>
    </row>
    <row r="19" spans="1:29" ht="15">
      <c r="A19" s="238"/>
      <c r="B19" s="407"/>
      <c r="C19" s="1365"/>
      <c r="D19" s="2905"/>
      <c r="E19" s="1365"/>
      <c r="F19" s="3756"/>
      <c r="G19" s="1365"/>
      <c r="H19" s="267"/>
      <c r="I19" s="266"/>
      <c r="J19" s="267"/>
      <c r="K19" s="758"/>
      <c r="L19" s="1979"/>
      <c r="M19" s="1974"/>
      <c r="N19" s="1974"/>
      <c r="O19" s="1974"/>
      <c r="P19" s="4556"/>
      <c r="Q19" s="906"/>
      <c r="R19" s="3766"/>
      <c r="S19" s="3769"/>
      <c r="T19" s="3766"/>
      <c r="U19" s="3769"/>
      <c r="V19" s="3766"/>
      <c r="W19" s="3769"/>
      <c r="X19" s="909"/>
      <c r="Y19" s="4556"/>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6">
        <v>100</v>
      </c>
      <c r="E20" s="273"/>
      <c r="F20" s="3757">
        <f>SUMIF(69:69,E21,70:70)-SUMIF(69:69,C21,70:70)+100</f>
        <v>100</v>
      </c>
      <c r="G20" s="274"/>
      <c r="H20" s="268">
        <f>SUMIF(69:69,G21,70:70)-SUMIF(69:69,C21,70:70)+100</f>
        <v>100</v>
      </c>
      <c r="I20" s="270"/>
      <c r="J20" s="268">
        <f>SUMIF(69:69,I21,70:70)-SUMIF(69:69,C21,70:70)+100</f>
        <v>100</v>
      </c>
      <c r="K20" s="396"/>
      <c r="L20" s="1979"/>
      <c r="M20" s="1974"/>
      <c r="N20" s="1974"/>
      <c r="O20" s="1974"/>
      <c r="P20" s="4556"/>
      <c r="Q20" s="906" t="str">
        <f>B20</f>
        <v>自然及人文环境</v>
      </c>
      <c r="R20" s="3766" t="s">
        <v>13</v>
      </c>
      <c r="S20" s="3769">
        <f>F20</f>
        <v>100</v>
      </c>
      <c r="T20" s="3766" t="s">
        <v>13</v>
      </c>
      <c r="U20" s="3769">
        <f>H20</f>
        <v>100</v>
      </c>
      <c r="V20" s="3766" t="s">
        <v>13</v>
      </c>
      <c r="W20" s="3769">
        <f>J20</f>
        <v>100</v>
      </c>
      <c r="X20" s="909"/>
      <c r="Y20" s="4556"/>
      <c r="Z20" s="907" t="str">
        <f>Q20</f>
        <v>自然及人文环境</v>
      </c>
      <c r="AA20" s="907">
        <f t="shared" si="3"/>
        <v>1</v>
      </c>
      <c r="AB20" s="907">
        <f t="shared" si="4"/>
        <v>1</v>
      </c>
      <c r="AC20" s="907">
        <f t="shared" si="5"/>
        <v>1</v>
      </c>
    </row>
    <row r="21" spans="1:29" ht="15">
      <c r="A21" s="238"/>
      <c r="B21" s="406"/>
      <c r="C21" s="266"/>
      <c r="D21" s="2904"/>
      <c r="E21" s="266"/>
      <c r="F21" s="3755"/>
      <c r="G21" s="266"/>
      <c r="H21" s="267"/>
      <c r="I21" s="266"/>
      <c r="J21" s="267"/>
      <c r="K21" s="397"/>
      <c r="L21" s="1979"/>
      <c r="M21" s="1974"/>
      <c r="N21" s="1974"/>
      <c r="O21" s="1974"/>
      <c r="P21" s="4556"/>
      <c r="Q21" s="906"/>
      <c r="R21" s="3766"/>
      <c r="S21" s="3769"/>
      <c r="T21" s="3766"/>
      <c r="U21" s="3769"/>
      <c r="V21" s="3766"/>
      <c r="W21" s="3769"/>
      <c r="X21" s="909"/>
      <c r="Y21" s="4556"/>
      <c r="Z21" s="907"/>
      <c r="AA21" s="907">
        <v>1</v>
      </c>
      <c r="AB21" s="907">
        <v>1</v>
      </c>
      <c r="AC21" s="907">
        <v>1</v>
      </c>
    </row>
    <row r="22" spans="1:29" ht="15">
      <c r="A22" s="238"/>
      <c r="B22" s="405" t="s">
        <v>1742</v>
      </c>
      <c r="C22" s="398"/>
      <c r="D22" s="2905">
        <v>100</v>
      </c>
      <c r="E22" s="398"/>
      <c r="F22" s="908">
        <f>SUMIF(71:71,E22,72:72)-SUMIF(71:71,C22,72:72)+100</f>
        <v>100</v>
      </c>
      <c r="G22" s="398"/>
      <c r="H22" s="3750">
        <f>SUMIF(71:71,G22,72:72)-SUMIF(71:71,C22,72:72)+100</f>
        <v>100</v>
      </c>
      <c r="I22" s="398"/>
      <c r="J22" s="3750">
        <f>SUMIF(71:71,I22,72:72)-SUMIF(71:71,C22,72:72)+100</f>
        <v>100</v>
      </c>
      <c r="K22" s="394"/>
      <c r="L22" s="1979"/>
      <c r="M22" s="1974"/>
      <c r="N22" s="1974"/>
      <c r="O22" s="1974"/>
      <c r="P22" s="4556"/>
      <c r="Q22" s="906" t="str">
        <f>B22</f>
        <v>楼层</v>
      </c>
      <c r="R22" s="3766" t="s">
        <v>13</v>
      </c>
      <c r="S22" s="3769">
        <f>F22</f>
        <v>100</v>
      </c>
      <c r="T22" s="3766" t="s">
        <v>13</v>
      </c>
      <c r="U22" s="3769">
        <f>H22</f>
        <v>100</v>
      </c>
      <c r="V22" s="3766" t="s">
        <v>13</v>
      </c>
      <c r="W22" s="3769">
        <f>J22</f>
        <v>100</v>
      </c>
      <c r="X22" s="909"/>
      <c r="Y22" s="4556"/>
      <c r="Z22" s="907" t="str">
        <f>Q22</f>
        <v>楼层</v>
      </c>
      <c r="AA22" s="907">
        <f t="shared" si="3"/>
        <v>1</v>
      </c>
      <c r="AB22" s="907">
        <f t="shared" si="4"/>
        <v>1</v>
      </c>
      <c r="AC22" s="907">
        <f t="shared" si="5"/>
        <v>1</v>
      </c>
    </row>
    <row r="23" spans="1:29" ht="15">
      <c r="A23" s="238"/>
      <c r="B23" s="311">
        <v>111</v>
      </c>
      <c r="C23" s="258"/>
      <c r="D23" s="2901">
        <v>100</v>
      </c>
      <c r="E23" s="258"/>
      <c r="F23" s="908">
        <f>SUMIF(73:73,E23,74:74)-SUMIF(73:73,C23,74:74)+100</f>
        <v>100</v>
      </c>
      <c r="G23" s="258"/>
      <c r="H23" s="3750">
        <f>SUMIF(73:73,G23,74:74)-SUMIF(73:73,C23,74:74)+100</f>
        <v>100</v>
      </c>
      <c r="I23" s="258"/>
      <c r="J23" s="3750">
        <f>SUMIF(73:73,I23,74:74)-SUMIF(73:73,C23,74:74)+100</f>
        <v>100</v>
      </c>
      <c r="K23" s="395"/>
      <c r="L23" s="1979"/>
      <c r="M23" s="1974"/>
      <c r="N23" s="1974"/>
      <c r="O23" s="1974"/>
      <c r="P23" s="4556"/>
      <c r="Q23" s="906">
        <f>B23</f>
        <v>111</v>
      </c>
      <c r="R23" s="3766" t="s">
        <v>13</v>
      </c>
      <c r="S23" s="3769">
        <f>F23</f>
        <v>100</v>
      </c>
      <c r="T23" s="3766" t="s">
        <v>13</v>
      </c>
      <c r="U23" s="3769">
        <f>H23</f>
        <v>100</v>
      </c>
      <c r="V23" s="3766" t="s">
        <v>13</v>
      </c>
      <c r="W23" s="3769">
        <f>J23</f>
        <v>100</v>
      </c>
      <c r="X23" s="909"/>
      <c r="Y23" s="4556"/>
      <c r="Z23" s="907">
        <f>Q23</f>
        <v>111</v>
      </c>
      <c r="AA23" s="907">
        <f t="shared" si="3"/>
        <v>1</v>
      </c>
      <c r="AB23" s="907">
        <f t="shared" si="4"/>
        <v>1</v>
      </c>
      <c r="AC23" s="907">
        <f t="shared" si="5"/>
        <v>1</v>
      </c>
    </row>
    <row r="24" spans="1:29" ht="15">
      <c r="A24" s="238"/>
      <c r="B24" s="311">
        <v>111</v>
      </c>
      <c r="C24" s="258"/>
      <c r="D24" s="2901">
        <v>100</v>
      </c>
      <c r="E24" s="258"/>
      <c r="F24" s="908">
        <f>SUMIF(75:75,E24,76:76)-SUMIF(75:75,C24,76:76)+100</f>
        <v>100</v>
      </c>
      <c r="G24" s="258"/>
      <c r="H24" s="3750">
        <f>SUMIF(75:75,G24,76:76)-SUMIF(75:75,C24,76:76)+100</f>
        <v>100</v>
      </c>
      <c r="I24" s="258"/>
      <c r="J24" s="3750">
        <f>SUMIF(75:75,I24,76:76)-SUMIF(75:75,C24,76:76)+100</f>
        <v>100</v>
      </c>
      <c r="K24" s="395"/>
      <c r="L24" s="1979"/>
      <c r="M24" s="1974"/>
      <c r="N24" s="1974"/>
      <c r="O24" s="1974"/>
      <c r="P24" s="4556"/>
      <c r="Q24" s="906">
        <f t="shared" ref="Q24:Q36" si="11">B24</f>
        <v>111</v>
      </c>
      <c r="R24" s="3766" t="s">
        <v>13</v>
      </c>
      <c r="S24" s="3769">
        <f>F24</f>
        <v>100</v>
      </c>
      <c r="T24" s="3766" t="s">
        <v>13</v>
      </c>
      <c r="U24" s="3769">
        <f>H24</f>
        <v>100</v>
      </c>
      <c r="V24" s="3766" t="s">
        <v>13</v>
      </c>
      <c r="W24" s="3769">
        <f>J24</f>
        <v>100</v>
      </c>
      <c r="X24" s="909"/>
      <c r="Y24" s="4556"/>
      <c r="Z24" s="907">
        <f>Q24</f>
        <v>111</v>
      </c>
      <c r="AA24" s="907">
        <f t="shared" si="3"/>
        <v>1</v>
      </c>
      <c r="AB24" s="907">
        <f t="shared" si="4"/>
        <v>1</v>
      </c>
      <c r="AC24" s="907">
        <f t="shared" si="5"/>
        <v>1</v>
      </c>
    </row>
    <row r="25" spans="1:29" s="46" customFormat="1" ht="15.75" thickBot="1">
      <c r="A25" s="306"/>
      <c r="B25" s="409">
        <v>111</v>
      </c>
      <c r="C25" s="261"/>
      <c r="D25" s="2909">
        <v>100</v>
      </c>
      <c r="E25" s="402"/>
      <c r="F25" s="3763">
        <f>SUMIF(77:77,E25,78:78)-SUMIF(77:77,C25,78:78)+100</f>
        <v>100</v>
      </c>
      <c r="G25" s="402"/>
      <c r="H25" s="3764">
        <f>SUMIF(77:77,G25,78:78)-SUMIF(77:77,C25,78:78)+100</f>
        <v>100</v>
      </c>
      <c r="I25" s="402"/>
      <c r="J25" s="3764">
        <f>SUMIF(77:77,I25,78:78)-SUMIF(77:77,C25,78:78)+100</f>
        <v>100</v>
      </c>
      <c r="K25" s="395"/>
      <c r="L25" s="1975"/>
      <c r="M25" s="1928"/>
      <c r="N25" s="1928"/>
      <c r="O25" s="1928"/>
      <c r="P25" s="4556"/>
      <c r="Q25" s="389">
        <f t="shared" si="11"/>
        <v>111</v>
      </c>
      <c r="R25" s="3765" t="s">
        <v>13</v>
      </c>
      <c r="S25" s="3768">
        <f>F25</f>
        <v>100</v>
      </c>
      <c r="T25" s="3765" t="s">
        <v>13</v>
      </c>
      <c r="U25" s="3768">
        <f>H25</f>
        <v>100</v>
      </c>
      <c r="V25" s="3765" t="s">
        <v>13</v>
      </c>
      <c r="W25" s="3768">
        <f>J25</f>
        <v>100</v>
      </c>
      <c r="X25" s="482"/>
      <c r="Y25" s="4556"/>
      <c r="Z25" s="28">
        <f>Q25</f>
        <v>111</v>
      </c>
      <c r="AA25" s="907">
        <f>D25/F25</f>
        <v>1</v>
      </c>
      <c r="AB25" s="907">
        <f>D25/H25</f>
        <v>1</v>
      </c>
      <c r="AC25" s="907">
        <f>D25/J25</f>
        <v>1</v>
      </c>
    </row>
    <row r="26" spans="1:29" ht="28.5">
      <c r="A26" s="420" t="s">
        <v>1601</v>
      </c>
      <c r="B26" s="33" t="s">
        <v>1743</v>
      </c>
      <c r="C26" s="1424" t="str">
        <f>B1</f>
        <v>车库</v>
      </c>
      <c r="D26" s="2904">
        <v>100</v>
      </c>
      <c r="E26" s="266"/>
      <c r="F26" s="3755">
        <f>SUMIF(79:79,E26,80:80)-SUMIF(79:79,C26,80:80)+100</f>
        <v>0</v>
      </c>
      <c r="G26" s="266"/>
      <c r="H26" s="267">
        <f>SUMIF(79:79,G26,80:80)-SUMIF(79:79,C26,80:80)+100</f>
        <v>0</v>
      </c>
      <c r="I26" s="266"/>
      <c r="J26" s="267">
        <f>SUMIF(79:79,I26,80:80)-SUMIF(79:79,C26,80:80)+100</f>
        <v>0</v>
      </c>
      <c r="K26" s="394"/>
      <c r="L26" s="1979"/>
      <c r="M26" s="1974"/>
      <c r="N26" s="1974"/>
      <c r="O26" s="1974"/>
      <c r="P26" s="4643" t="s">
        <v>1603</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60"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9">
        <v>100</v>
      </c>
      <c r="E27" s="423"/>
      <c r="F27" s="908">
        <f>SUMIF(81:81,E27,82:82)-SUMIF(81:81,C27,82:82)+100</f>
        <v>100</v>
      </c>
      <c r="G27" s="423"/>
      <c r="H27" s="3750">
        <f>SUMIF(81:81,G27,82:82)-SUMIF(81:81,C27,82:82)+100</f>
        <v>100</v>
      </c>
      <c r="I27" s="423"/>
      <c r="J27" s="3750">
        <f>SUMIF(81:81,I27,82:82)-SUMIF(81:81,C27,82:82)+100</f>
        <v>100</v>
      </c>
      <c r="K27" s="395"/>
      <c r="L27" s="1978"/>
      <c r="M27" s="1980"/>
      <c r="N27" s="1980"/>
      <c r="O27" s="1980"/>
      <c r="P27" s="4560"/>
      <c r="Q27" s="483" t="str">
        <f t="shared" si="11"/>
        <v>项目停车位配比</v>
      </c>
      <c r="R27" s="3767" t="s">
        <v>13</v>
      </c>
      <c r="S27" s="3770">
        <f t="shared" si="12"/>
        <v>100</v>
      </c>
      <c r="T27" s="3767" t="s">
        <v>13</v>
      </c>
      <c r="U27" s="3770">
        <f t="shared" si="13"/>
        <v>100</v>
      </c>
      <c r="V27" s="3767" t="s">
        <v>13</v>
      </c>
      <c r="W27" s="3770">
        <f t="shared" si="14"/>
        <v>100</v>
      </c>
      <c r="X27" s="484"/>
      <c r="Y27" s="4560"/>
      <c r="Z27" s="485" t="str">
        <f t="shared" si="15"/>
        <v>项目停车位配比</v>
      </c>
      <c r="AA27" s="907">
        <f t="shared" si="3"/>
        <v>1</v>
      </c>
      <c r="AB27" s="907">
        <f t="shared" si="4"/>
        <v>1</v>
      </c>
      <c r="AC27" s="907">
        <f t="shared" si="5"/>
        <v>1</v>
      </c>
    </row>
    <row r="28" spans="1:29" ht="15">
      <c r="A28" s="424"/>
      <c r="B28" s="422" t="s">
        <v>1745</v>
      </c>
      <c r="C28" s="275"/>
      <c r="D28" s="2901">
        <v>100</v>
      </c>
      <c r="E28" s="275"/>
      <c r="F28" s="908">
        <f>SUMIF(83:83,E28,84:84)-SUMIF(83:83,C28,84:84)+100</f>
        <v>100</v>
      </c>
      <c r="G28" s="275"/>
      <c r="H28" s="3750">
        <f>SUMIF(83:83,G28,84:84)-SUMIF(83:83,C28,84:84)+100</f>
        <v>100</v>
      </c>
      <c r="I28" s="275"/>
      <c r="J28" s="3750">
        <f>SUMIF(83:83,I28,84:84)-SUMIF(83:83,C28,84:84)+100</f>
        <v>100</v>
      </c>
      <c r="K28" s="394"/>
      <c r="L28" s="1979"/>
      <c r="M28" s="1974"/>
      <c r="N28" s="1974"/>
      <c r="O28" s="1974"/>
      <c r="P28" s="4560"/>
      <c r="Q28" s="906" t="str">
        <f t="shared" si="11"/>
        <v>公共部分装修</v>
      </c>
      <c r="R28" s="3766" t="s">
        <v>13</v>
      </c>
      <c r="S28" s="3769">
        <f t="shared" si="12"/>
        <v>100</v>
      </c>
      <c r="T28" s="3766" t="s">
        <v>13</v>
      </c>
      <c r="U28" s="3769">
        <f t="shared" si="13"/>
        <v>100</v>
      </c>
      <c r="V28" s="3766" t="s">
        <v>13</v>
      </c>
      <c r="W28" s="3769">
        <f t="shared" si="14"/>
        <v>100</v>
      </c>
      <c r="X28" s="909"/>
      <c r="Y28" s="4560"/>
      <c r="Z28" s="907" t="str">
        <f t="shared" si="15"/>
        <v>公共部分装修</v>
      </c>
      <c r="AA28" s="907">
        <f t="shared" si="3"/>
        <v>1</v>
      </c>
      <c r="AB28" s="907">
        <f t="shared" si="4"/>
        <v>1</v>
      </c>
      <c r="AC28" s="907">
        <f t="shared" si="5"/>
        <v>1</v>
      </c>
    </row>
    <row r="29" spans="1:29" ht="15">
      <c r="A29" s="424"/>
      <c r="B29" s="422" t="s">
        <v>1746</v>
      </c>
      <c r="C29" s="282"/>
      <c r="D29" s="2901">
        <v>100</v>
      </c>
      <c r="E29" s="282"/>
      <c r="F29" s="908" t="e">
        <f>LOOKUP(E29,86:86,87:87)-LOOKUP(C29,86:86,87:87)+100</f>
        <v>#N/A</v>
      </c>
      <c r="G29" s="282"/>
      <c r="H29" s="908" t="e">
        <f>LOOKUP(G29,86:86,87:87)-LOOKUP(C29,86:86,87:87)+100</f>
        <v>#N/A</v>
      </c>
      <c r="I29" s="282"/>
      <c r="J29" s="3750" t="e">
        <f>LOOKUP(I29,86:86,87:87)-LOOKUP(C29,86:86,87:87)+100</f>
        <v>#N/A</v>
      </c>
      <c r="K29" s="394"/>
      <c r="L29" s="1979"/>
      <c r="M29" s="1974"/>
      <c r="N29" s="1974"/>
      <c r="O29" s="1974"/>
      <c r="P29" s="4560"/>
      <c r="Q29" s="906" t="str">
        <f t="shared" si="11"/>
        <v>成新率</v>
      </c>
      <c r="R29" s="3766" t="s">
        <v>13</v>
      </c>
      <c r="S29" s="3769" t="e">
        <f t="shared" si="12"/>
        <v>#N/A</v>
      </c>
      <c r="T29" s="3766" t="s">
        <v>13</v>
      </c>
      <c r="U29" s="3769" t="e">
        <f t="shared" si="13"/>
        <v>#N/A</v>
      </c>
      <c r="V29" s="3766" t="s">
        <v>13</v>
      </c>
      <c r="W29" s="3769" t="e">
        <f t="shared" si="14"/>
        <v>#N/A</v>
      </c>
      <c r="X29" s="909"/>
      <c r="Y29" s="4560"/>
      <c r="Z29" s="907" t="str">
        <f t="shared" si="15"/>
        <v>成新率</v>
      </c>
      <c r="AA29" s="907" t="e">
        <f t="shared" si="3"/>
        <v>#N/A</v>
      </c>
      <c r="AB29" s="907" t="e">
        <f t="shared" si="4"/>
        <v>#N/A</v>
      </c>
      <c r="AC29" s="907" t="e">
        <f t="shared" si="5"/>
        <v>#N/A</v>
      </c>
    </row>
    <row r="30" spans="1:29" ht="15">
      <c r="A30" s="424"/>
      <c r="B30" s="422" t="s">
        <v>1747</v>
      </c>
      <c r="C30" s="425"/>
      <c r="D30" s="2901">
        <v>100</v>
      </c>
      <c r="E30" s="425"/>
      <c r="F30" s="908">
        <f>SUMIF(88:88,E30,89:89)-SUMIF(88:88,C30,89:89)+100</f>
        <v>100</v>
      </c>
      <c r="G30" s="425"/>
      <c r="H30" s="3750">
        <f>SUMIF(88:88,E30,89:89)-SUMIF(88:88,C30,89:89)+100</f>
        <v>100</v>
      </c>
      <c r="I30" s="425"/>
      <c r="J30" s="3750">
        <f>SUMIF(88:88,E30,89:89)-SUMIF(88:88,C30,89:89)+100</f>
        <v>100</v>
      </c>
      <c r="K30" s="394"/>
      <c r="L30" s="1979"/>
      <c r="M30" s="1974"/>
      <c r="N30" s="1974"/>
      <c r="O30" s="1974"/>
      <c r="P30" s="4560"/>
      <c r="Q30" s="906" t="str">
        <f t="shared" si="11"/>
        <v>物业等级</v>
      </c>
      <c r="R30" s="3766" t="s">
        <v>13</v>
      </c>
      <c r="S30" s="3769">
        <f t="shared" si="12"/>
        <v>100</v>
      </c>
      <c r="T30" s="3766" t="s">
        <v>13</v>
      </c>
      <c r="U30" s="3769">
        <f t="shared" si="13"/>
        <v>100</v>
      </c>
      <c r="V30" s="3766" t="s">
        <v>13</v>
      </c>
      <c r="W30" s="3769">
        <f t="shared" si="14"/>
        <v>100</v>
      </c>
      <c r="X30" s="909"/>
      <c r="Y30" s="4560"/>
      <c r="Z30" s="907" t="str">
        <f t="shared" si="15"/>
        <v>物业等级</v>
      </c>
      <c r="AA30" s="907">
        <f t="shared" si="3"/>
        <v>1</v>
      </c>
      <c r="AB30" s="907">
        <f t="shared" si="4"/>
        <v>1</v>
      </c>
      <c r="AC30" s="907">
        <f t="shared" si="5"/>
        <v>1</v>
      </c>
    </row>
    <row r="31" spans="1:29" s="46" customFormat="1" ht="15">
      <c r="A31" s="426"/>
      <c r="B31" s="422" t="s">
        <v>1748</v>
      </c>
      <c r="C31" s="278"/>
      <c r="D31" s="2899">
        <v>100</v>
      </c>
      <c r="E31" s="278"/>
      <c r="F31" s="908" t="e">
        <f>LOOKUP(E31,91:91,92:92)-LOOKUP(C31,91:91,92:92)+100</f>
        <v>#N/A</v>
      </c>
      <c r="G31" s="278"/>
      <c r="H31" s="3750" t="e">
        <f>LOOKUP(G31,91:91,92:92)-LOOKUP(C31,91:91,92:92)+100</f>
        <v>#N/A</v>
      </c>
      <c r="I31" s="278"/>
      <c r="J31" s="3750" t="e">
        <f>LOOKUP(I31,91:91,92:92)-LOOKUP(C31,91:91,92:92)+100</f>
        <v>#N/A</v>
      </c>
      <c r="K31" s="394"/>
      <c r="L31" s="1975"/>
      <c r="M31" s="1928"/>
      <c r="N31" s="1928"/>
      <c r="O31" s="1928"/>
      <c r="P31" s="4560"/>
      <c r="Q31" s="389" t="str">
        <f t="shared" si="11"/>
        <v>停车位面积</v>
      </c>
      <c r="R31" s="3765" t="s">
        <v>13</v>
      </c>
      <c r="S31" s="3768" t="e">
        <f t="shared" si="12"/>
        <v>#N/A</v>
      </c>
      <c r="T31" s="3765" t="s">
        <v>13</v>
      </c>
      <c r="U31" s="3768" t="e">
        <f t="shared" si="13"/>
        <v>#N/A</v>
      </c>
      <c r="V31" s="3765" t="s">
        <v>13</v>
      </c>
      <c r="W31" s="3768" t="e">
        <f t="shared" si="14"/>
        <v>#N/A</v>
      </c>
      <c r="X31" s="482"/>
      <c r="Y31" s="4560"/>
      <c r="Z31" s="28" t="str">
        <f t="shared" si="15"/>
        <v>停车位面积</v>
      </c>
      <c r="AA31" s="28" t="e">
        <f t="shared" si="3"/>
        <v>#N/A</v>
      </c>
      <c r="AB31" s="28" t="e">
        <f t="shared" si="4"/>
        <v>#N/A</v>
      </c>
      <c r="AC31" s="28" t="e">
        <f t="shared" si="5"/>
        <v>#N/A</v>
      </c>
    </row>
    <row r="32" spans="1:29" ht="15">
      <c r="A32" s="424"/>
      <c r="B32" s="422" t="s">
        <v>1749</v>
      </c>
      <c r="C32" s="275"/>
      <c r="D32" s="2901">
        <v>100</v>
      </c>
      <c r="E32" s="275"/>
      <c r="F32" s="908">
        <f>SUMIF(93:93,E32,94:94)-SUMIF(93:93,C32,94:94)+100</f>
        <v>100</v>
      </c>
      <c r="G32" s="275"/>
      <c r="H32" s="3750">
        <f>SUMIF(93:93,G32,94:94)-SUMIF(93:93,C32,94:94)+100</f>
        <v>100</v>
      </c>
      <c r="I32" s="275"/>
      <c r="J32" s="3750">
        <f>SUMIF(93:93,I32,94:94)-SUMIF(93:93,C32,94:94)+100</f>
        <v>100</v>
      </c>
      <c r="K32" s="394"/>
      <c r="L32" s="1979"/>
      <c r="M32" s="1974"/>
      <c r="N32" s="1974"/>
      <c r="O32" s="1974"/>
      <c r="P32" s="4560" t="s">
        <v>1603</v>
      </c>
      <c r="Q32" s="906" t="str">
        <f t="shared" si="11"/>
        <v>车位类型</v>
      </c>
      <c r="R32" s="3766" t="s">
        <v>13</v>
      </c>
      <c r="S32" s="3769">
        <f t="shared" si="12"/>
        <v>100</v>
      </c>
      <c r="T32" s="3766" t="s">
        <v>13</v>
      </c>
      <c r="U32" s="3769">
        <f t="shared" si="13"/>
        <v>100</v>
      </c>
      <c r="V32" s="3766" t="s">
        <v>13</v>
      </c>
      <c r="W32" s="3769">
        <f t="shared" si="14"/>
        <v>100</v>
      </c>
      <c r="X32" s="909"/>
      <c r="Y32" s="4560" t="s">
        <v>1603</v>
      </c>
      <c r="Z32" s="907" t="str">
        <f t="shared" si="15"/>
        <v>车位类型</v>
      </c>
      <c r="AA32" s="907">
        <f t="shared" si="3"/>
        <v>1</v>
      </c>
      <c r="AB32" s="907">
        <f t="shared" si="4"/>
        <v>1</v>
      </c>
      <c r="AC32" s="907">
        <f t="shared" si="5"/>
        <v>1</v>
      </c>
    </row>
    <row r="33" spans="1:29" ht="15">
      <c r="A33" s="424"/>
      <c r="B33" s="422" t="s">
        <v>1750</v>
      </c>
      <c r="C33" s="275"/>
      <c r="D33" s="2901">
        <v>100</v>
      </c>
      <c r="E33" s="275"/>
      <c r="F33" s="908">
        <f>SUMIF(95:95,E33,96:96)-SUMIF(95:95,C33,96:96)+100</f>
        <v>100</v>
      </c>
      <c r="G33" s="275"/>
      <c r="H33" s="3750">
        <f>SUMIF(95:95,G33,96:96)-SUMIF(95:95,C33,96:96)+100</f>
        <v>100</v>
      </c>
      <c r="I33" s="275"/>
      <c r="J33" s="3750">
        <f>SUMIF(95:95,I33,96:96)-SUMIF(95:95,C33,96:96)+100</f>
        <v>100</v>
      </c>
      <c r="K33" s="394"/>
      <c r="L33" s="1979"/>
      <c r="M33" s="1974"/>
      <c r="N33" s="1974"/>
      <c r="O33" s="1974"/>
      <c r="P33" s="4560"/>
      <c r="Q33" s="906" t="str">
        <f t="shared" si="11"/>
        <v>是否直接入户</v>
      </c>
      <c r="R33" s="3766" t="s">
        <v>13</v>
      </c>
      <c r="S33" s="3769">
        <f t="shared" si="12"/>
        <v>100</v>
      </c>
      <c r="T33" s="3766" t="s">
        <v>13</v>
      </c>
      <c r="U33" s="3769">
        <f t="shared" si="13"/>
        <v>100</v>
      </c>
      <c r="V33" s="3766" t="s">
        <v>13</v>
      </c>
      <c r="W33" s="3769">
        <f t="shared" si="14"/>
        <v>100</v>
      </c>
      <c r="X33" s="909"/>
      <c r="Y33" s="4560"/>
      <c r="Z33" s="907" t="str">
        <f t="shared" si="15"/>
        <v>是否直接入户</v>
      </c>
      <c r="AA33" s="907">
        <f t="shared" si="3"/>
        <v>1</v>
      </c>
      <c r="AB33" s="907">
        <f t="shared" si="4"/>
        <v>1</v>
      </c>
      <c r="AC33" s="907">
        <f t="shared" si="5"/>
        <v>1</v>
      </c>
    </row>
    <row r="34" spans="1:29" ht="15">
      <c r="A34" s="424"/>
      <c r="B34" s="311">
        <v>111</v>
      </c>
      <c r="C34" s="258"/>
      <c r="D34" s="2901">
        <v>100</v>
      </c>
      <c r="E34" s="258"/>
      <c r="F34" s="908">
        <f>SUMIF(97:97,E34,98:98)-SUMIF(97:97,C34,98:98)+100</f>
        <v>100</v>
      </c>
      <c r="G34" s="258"/>
      <c r="H34" s="3750">
        <f>SUMIF(97:97,G34,98:98)-SUMIF(97:97,C34,98:98)+100</f>
        <v>100</v>
      </c>
      <c r="I34" s="258"/>
      <c r="J34" s="3750">
        <f>SUMIF(97:97,I34,98:98)-SUMIF(97:97,C34,98:98)+100</f>
        <v>100</v>
      </c>
      <c r="K34" s="395"/>
      <c r="L34" s="1979"/>
      <c r="M34" s="1974"/>
      <c r="N34" s="1974"/>
      <c r="O34" s="1974"/>
      <c r="P34" s="4560"/>
      <c r="Q34" s="906">
        <f t="shared" si="11"/>
        <v>111</v>
      </c>
      <c r="R34" s="3766" t="s">
        <v>13</v>
      </c>
      <c r="S34" s="3769">
        <f t="shared" si="12"/>
        <v>100</v>
      </c>
      <c r="T34" s="3766" t="s">
        <v>13</v>
      </c>
      <c r="U34" s="3769">
        <f t="shared" si="13"/>
        <v>100</v>
      </c>
      <c r="V34" s="3766" t="s">
        <v>13</v>
      </c>
      <c r="W34" s="3769">
        <f t="shared" si="14"/>
        <v>100</v>
      </c>
      <c r="X34" s="909"/>
      <c r="Y34" s="4560"/>
      <c r="Z34" s="907">
        <f t="shared" si="15"/>
        <v>111</v>
      </c>
      <c r="AA34" s="907">
        <f t="shared" si="3"/>
        <v>1</v>
      </c>
      <c r="AB34" s="907">
        <f t="shared" si="4"/>
        <v>1</v>
      </c>
      <c r="AC34" s="907">
        <f t="shared" si="5"/>
        <v>1</v>
      </c>
    </row>
    <row r="35" spans="1:29" s="279" customFormat="1" ht="15">
      <c r="A35" s="421"/>
      <c r="B35" s="311">
        <v>111</v>
      </c>
      <c r="C35" s="258"/>
      <c r="D35" s="2901">
        <v>100</v>
      </c>
      <c r="E35" s="258"/>
      <c r="F35" s="908">
        <f>SUMIF(99:99,E35,100:100)-SUMIF(99:99,C35,100:100)+100</f>
        <v>100</v>
      </c>
      <c r="G35" s="258"/>
      <c r="H35" s="3750">
        <f>SUMIF(99:99,G35,100:100)-SUMIF(99:99,C35,100:100)+100</f>
        <v>100</v>
      </c>
      <c r="I35" s="258"/>
      <c r="J35" s="3750">
        <f>SUMIF(99:99,I35,100:100)-SUMIF(99:99,C35,100:100)+100</f>
        <v>100</v>
      </c>
      <c r="K35" s="395"/>
      <c r="L35" s="1978"/>
      <c r="M35" s="1980"/>
      <c r="N35" s="1980"/>
      <c r="O35" s="1980"/>
      <c r="P35" s="4560"/>
      <c r="Q35" s="483">
        <f t="shared" si="11"/>
        <v>111</v>
      </c>
      <c r="R35" s="3767" t="s">
        <v>13</v>
      </c>
      <c r="S35" s="3770">
        <f t="shared" si="12"/>
        <v>100</v>
      </c>
      <c r="T35" s="3767" t="s">
        <v>13</v>
      </c>
      <c r="U35" s="3770">
        <f t="shared" si="13"/>
        <v>100</v>
      </c>
      <c r="V35" s="3767" t="s">
        <v>13</v>
      </c>
      <c r="W35" s="3770">
        <f t="shared" si="14"/>
        <v>100</v>
      </c>
      <c r="X35" s="484"/>
      <c r="Y35" s="4560"/>
      <c r="Z35" s="485">
        <f t="shared" si="15"/>
        <v>111</v>
      </c>
      <c r="AA35" s="907">
        <f t="shared" si="3"/>
        <v>1</v>
      </c>
      <c r="AB35" s="907">
        <f t="shared" si="4"/>
        <v>1</v>
      </c>
      <c r="AC35" s="907">
        <f t="shared" si="5"/>
        <v>1</v>
      </c>
    </row>
    <row r="36" spans="1:29" ht="15.75" thickBot="1">
      <c r="A36" s="427"/>
      <c r="B36" s="409">
        <v>111</v>
      </c>
      <c r="C36" s="259"/>
      <c r="D36" s="2901">
        <v>100</v>
      </c>
      <c r="E36" s="258"/>
      <c r="F36" s="908">
        <f>SUMIF(101:101,E36,102:102)-SUMIF(101:101,C36,102:102)+100</f>
        <v>100</v>
      </c>
      <c r="G36" s="258"/>
      <c r="H36" s="3750">
        <f>SUMIF(101:101,G36,102:102)-SUMIF(101:101,C36,102:102)+100</f>
        <v>100</v>
      </c>
      <c r="I36" s="258"/>
      <c r="J36" s="3750">
        <f>SUMIF(101:101,I36,102:102)-SUMIF(101:101,C36,102:102)+100</f>
        <v>100</v>
      </c>
      <c r="K36" s="395"/>
      <c r="L36" s="1979"/>
      <c r="M36" s="1974"/>
      <c r="N36" s="1974"/>
      <c r="O36" s="1974"/>
      <c r="P36" s="4560"/>
      <c r="Q36" s="906">
        <f t="shared" si="11"/>
        <v>111</v>
      </c>
      <c r="R36" s="3766" t="s">
        <v>13</v>
      </c>
      <c r="S36" s="3769">
        <f t="shared" si="12"/>
        <v>100</v>
      </c>
      <c r="T36" s="3766" t="s">
        <v>13</v>
      </c>
      <c r="U36" s="3769">
        <f t="shared" si="13"/>
        <v>100</v>
      </c>
      <c r="V36" s="3766" t="s">
        <v>13</v>
      </c>
      <c r="W36" s="3769">
        <f t="shared" si="14"/>
        <v>100</v>
      </c>
      <c r="X36" s="909"/>
      <c r="Y36" s="4560"/>
      <c r="Z36" s="907">
        <f t="shared" si="15"/>
        <v>111</v>
      </c>
      <c r="AA36" s="907">
        <f t="shared" si="3"/>
        <v>1</v>
      </c>
      <c r="AB36" s="907">
        <f t="shared" si="4"/>
        <v>1</v>
      </c>
      <c r="AC36" s="907">
        <f t="shared" si="5"/>
        <v>1</v>
      </c>
    </row>
    <row r="37" spans="1:29" ht="15">
      <c r="A37" s="286" t="s">
        <v>1751</v>
      </c>
      <c r="B37" s="1425" t="s">
        <v>3240</v>
      </c>
      <c r="C37" s="765" t="s">
        <v>0</v>
      </c>
      <c r="D37" s="288"/>
      <c r="E37" s="3204"/>
      <c r="F37" s="3152"/>
      <c r="G37" s="3205"/>
      <c r="H37" s="3153"/>
      <c r="I37" s="3204"/>
      <c r="J37" s="3153"/>
      <c r="K37" s="3206"/>
      <c r="L37" s="1981"/>
      <c r="M37" s="1974"/>
      <c r="N37" s="1974"/>
      <c r="O37" s="1974"/>
      <c r="P37" s="4635" t="str">
        <f>A37</f>
        <v>成交单价</v>
      </c>
      <c r="Q37" s="4635"/>
      <c r="R37" s="4625">
        <f>E37</f>
        <v>0</v>
      </c>
      <c r="S37" s="4625"/>
      <c r="T37" s="4625">
        <f>G37</f>
        <v>0</v>
      </c>
      <c r="U37" s="4625"/>
      <c r="V37" s="4625">
        <f>I37</f>
        <v>0</v>
      </c>
      <c r="W37" s="4625"/>
      <c r="X37" s="265"/>
      <c r="Y37" s="486"/>
      <c r="Z37" s="265"/>
      <c r="AA37" s="265"/>
      <c r="AB37" s="265"/>
      <c r="AC37" s="265"/>
    </row>
    <row r="38" spans="1:29" ht="15.75" thickBot="1">
      <c r="A38" s="289" t="s">
        <v>1752</v>
      </c>
      <c r="B38" s="290" t="str">
        <f>B37</f>
        <v>元/平方米</v>
      </c>
      <c r="C38" s="3732" t="e">
        <f>R39</f>
        <v>#DIV/0!</v>
      </c>
      <c r="D38" s="3845" t="s">
        <v>2042</v>
      </c>
      <c r="E38" s="3743" t="e">
        <f>R38</f>
        <v>#DIV/0!</v>
      </c>
      <c r="F38" s="2800"/>
      <c r="G38" s="3732" t="e">
        <f>T38</f>
        <v>#DIV/0!</v>
      </c>
      <c r="H38" s="2800"/>
      <c r="I38" s="3743" t="e">
        <f>V38</f>
        <v>#DIV/0!</v>
      </c>
      <c r="J38" s="2800"/>
      <c r="K38" s="2854">
        <f>F38+H38+J38</f>
        <v>0</v>
      </c>
      <c r="L38" s="1981"/>
      <c r="M38" s="1974"/>
      <c r="N38" s="1974"/>
      <c r="O38" s="1974"/>
      <c r="P38" s="4635" t="str">
        <f>A38</f>
        <v>比较价值（元/平方米）</v>
      </c>
      <c r="Q38" s="4635"/>
      <c r="R38" s="4625" t="e">
        <f>IF(F1="售价",ROUND(PRODUCT(R37,AA7:AA36),0),ROUND(PRODUCT(R37,AA7:AA36),1))</f>
        <v>#DIV/0!</v>
      </c>
      <c r="S38" s="4625"/>
      <c r="T38" s="4625" t="e">
        <f>IF(F1="售价",ROUND(PRODUCT(T37,AB7:AB36),0),ROUND(PRODUCT(T37,AB7:AB36),1))</f>
        <v>#DIV/0!</v>
      </c>
      <c r="U38" s="4625"/>
      <c r="V38" s="4625" t="e">
        <f>IF(F1="售价",ROUND(PRODUCT(V37,AC7:AC36),0),ROUND(PRODUCT(V37,AC7:AC36),1))</f>
        <v>#DIV/0!</v>
      </c>
      <c r="W38" s="4625"/>
      <c r="X38" s="265"/>
      <c r="Y38" s="265"/>
      <c r="Z38" s="265"/>
      <c r="AA38" s="265"/>
      <c r="AB38" s="265"/>
      <c r="AC38" s="265"/>
    </row>
    <row r="39" spans="1:29" ht="15.75" thickBot="1">
      <c r="A39" s="291" t="s">
        <v>1753</v>
      </c>
      <c r="B39" s="292"/>
      <c r="C39" s="3744" t="e">
        <f>R39</f>
        <v>#DIV/0!</v>
      </c>
      <c r="D39" s="241"/>
      <c r="E39" s="241"/>
      <c r="F39" s="241"/>
      <c r="G39" s="241"/>
      <c r="H39" s="241"/>
      <c r="I39" s="241"/>
      <c r="J39" s="241"/>
      <c r="K39" s="399"/>
      <c r="L39" s="1981"/>
      <c r="M39" s="1974"/>
      <c r="N39" s="1974"/>
      <c r="O39" s="1974"/>
      <c r="P39" s="4644" t="str">
        <f>A39</f>
        <v>估价对象XX用房的比较价值（楼面单价，元/平方米）</v>
      </c>
      <c r="Q39" s="4645"/>
      <c r="R39" s="4646" t="e">
        <f>IF(F1="售价",ROUND(IF(D38="简单平均",AVERAGE(R38:W38),R38*F38+T38*H38+V38*J38),0),ROUND(IF(D38="简单平均",AVERAGE(R38:V38),R38*F38+T38*H38+V38*J38),1))</f>
        <v>#DIV/0!</v>
      </c>
      <c r="S39" s="4646"/>
      <c r="T39" s="4646"/>
      <c r="U39" s="4646"/>
      <c r="V39" s="4646"/>
      <c r="W39" s="4646"/>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3876</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3221</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3">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6" t="s">
        <v>3476</v>
      </c>
      <c r="F3" s="3847">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30" t="s">
        <v>1677</v>
      </c>
      <c r="D4" s="4531"/>
      <c r="E4" s="4532" t="s">
        <v>1678</v>
      </c>
      <c r="F4" s="4533"/>
      <c r="G4" s="4530" t="s">
        <v>1679</v>
      </c>
      <c r="H4" s="4531"/>
      <c r="I4" s="4530" t="s">
        <v>1680</v>
      </c>
      <c r="J4" s="4531"/>
      <c r="K4" s="393" t="s">
        <v>1681</v>
      </c>
      <c r="L4" s="1973"/>
      <c r="M4" s="1974"/>
      <c r="N4" s="1974"/>
      <c r="O4" s="1974"/>
      <c r="P4" s="4636" t="s">
        <v>1682</v>
      </c>
      <c r="Q4" s="4637"/>
      <c r="R4" s="4620" t="s">
        <v>1678</v>
      </c>
      <c r="S4" s="4621"/>
      <c r="T4" s="4620" t="s">
        <v>1679</v>
      </c>
      <c r="U4" s="4621"/>
      <c r="V4" s="4625" t="s">
        <v>1680</v>
      </c>
      <c r="W4" s="4625"/>
      <c r="X4" s="909"/>
      <c r="Y4" s="4620" t="s">
        <v>1682</v>
      </c>
      <c r="Z4" s="4621"/>
      <c r="AA4" s="4600" t="s">
        <v>1678</v>
      </c>
      <c r="AB4" s="4510" t="s">
        <v>1679</v>
      </c>
      <c r="AC4" s="4600" t="s">
        <v>1680</v>
      </c>
    </row>
    <row r="5" spans="1:29" ht="15">
      <c r="A5" s="238"/>
      <c r="B5" s="239"/>
      <c r="C5" s="4628" t="s">
        <v>1580</v>
      </c>
      <c r="D5" s="4629"/>
      <c r="E5" s="4626" t="s">
        <v>1581</v>
      </c>
      <c r="F5" s="4627"/>
      <c r="G5" s="4628" t="s">
        <v>1582</v>
      </c>
      <c r="H5" s="4629"/>
      <c r="I5" s="4628" t="s">
        <v>1583</v>
      </c>
      <c r="J5" s="4629"/>
      <c r="K5" s="393"/>
      <c r="L5" s="1973"/>
      <c r="M5" s="1974"/>
      <c r="N5" s="1974"/>
      <c r="O5" s="1974"/>
      <c r="P5" s="4638"/>
      <c r="Q5" s="4639"/>
      <c r="R5" s="4548"/>
      <c r="S5" s="4549"/>
      <c r="T5" s="4548"/>
      <c r="U5" s="4549"/>
      <c r="V5" s="4625"/>
      <c r="W5" s="4625"/>
      <c r="X5" s="909"/>
      <c r="Y5" s="4548"/>
      <c r="Z5" s="4549"/>
      <c r="AA5" s="4510"/>
      <c r="AB5" s="4510"/>
      <c r="AC5" s="4510"/>
    </row>
    <row r="6" spans="1:29" ht="15.75" thickBot="1">
      <c r="A6" s="240"/>
      <c r="B6" s="241"/>
      <c r="C6" s="4521" t="s">
        <v>1584</v>
      </c>
      <c r="D6" s="4522"/>
      <c r="E6" s="4523" t="s">
        <v>1584</v>
      </c>
      <c r="F6" s="4524"/>
      <c r="G6" s="4521" t="s">
        <v>1584</v>
      </c>
      <c r="H6" s="4522"/>
      <c r="I6" s="4521" t="s">
        <v>1584</v>
      </c>
      <c r="J6" s="4522"/>
      <c r="K6" s="393" t="s">
        <v>1585</v>
      </c>
      <c r="L6" s="1973"/>
      <c r="M6" s="1974"/>
      <c r="N6" s="1974"/>
      <c r="O6" s="1974"/>
      <c r="P6" s="4640"/>
      <c r="Q6" s="4641"/>
      <c r="R6" s="4548"/>
      <c r="S6" s="4549"/>
      <c r="T6" s="4550"/>
      <c r="U6" s="4551"/>
      <c r="V6" s="4625"/>
      <c r="W6" s="4625"/>
      <c r="X6" s="909"/>
      <c r="Y6" s="4550"/>
      <c r="Z6" s="4551"/>
      <c r="AA6" s="4511"/>
      <c r="AB6" s="4511"/>
      <c r="AC6" s="4511"/>
    </row>
    <row r="7" spans="1:29" s="46" customFormat="1" ht="15.75" thickBot="1">
      <c r="A7" s="242" t="s">
        <v>1586</v>
      </c>
      <c r="B7" s="243"/>
      <c r="C7" s="244">
        <f>'数据-取费表'!B2</f>
        <v>46097</v>
      </c>
      <c r="D7" s="2897">
        <v>100</v>
      </c>
      <c r="E7" s="245"/>
      <c r="F7" s="3746">
        <f>SUMIF(46:46,YEAR(E7)&amp;"-"&amp;MONTH(E7),47:47)</f>
        <v>0</v>
      </c>
      <c r="G7" s="1426"/>
      <c r="H7" s="3752">
        <f>SUMIF(46:46,YEAR(G7)&amp;"-"&amp;MONTH(G7),47:47)</f>
        <v>0</v>
      </c>
      <c r="I7" s="245"/>
      <c r="J7" s="3752">
        <f>SUMIF(46:46,YEAR(I7)&amp;"-"&amp;MONTH(I7),47:47)</f>
        <v>0</v>
      </c>
      <c r="K7" s="22"/>
      <c r="L7" s="1975"/>
      <c r="M7" s="1928"/>
      <c r="N7" s="1928"/>
      <c r="O7" s="1928"/>
      <c r="P7" s="4512" t="s">
        <v>1587</v>
      </c>
      <c r="Q7" s="4642"/>
      <c r="R7" s="3765" t="s">
        <v>13</v>
      </c>
      <c r="S7" s="3768">
        <f t="shared" ref="S7:S14" si="0">F7</f>
        <v>0</v>
      </c>
      <c r="T7" s="3765" t="s">
        <v>13</v>
      </c>
      <c r="U7" s="3768">
        <f t="shared" ref="U7:U14" si="1">H7</f>
        <v>0</v>
      </c>
      <c r="V7" s="3765" t="s">
        <v>13</v>
      </c>
      <c r="W7" s="3768">
        <f t="shared" ref="W7:W14" si="2">J7</f>
        <v>0</v>
      </c>
      <c r="X7" s="482"/>
      <c r="Y7" s="4512" t="s">
        <v>1587</v>
      </c>
      <c r="Z7" s="4513"/>
      <c r="AA7" s="28" t="e">
        <f>D7/F7</f>
        <v>#DIV/0!</v>
      </c>
      <c r="AB7" s="28" t="e">
        <f>D7/H7</f>
        <v>#DIV/0!</v>
      </c>
      <c r="AC7" s="28" t="e">
        <f>D7/J7</f>
        <v>#DIV/0!</v>
      </c>
    </row>
    <row r="8" spans="1:29" s="46" customFormat="1" ht="15.75" thickBot="1">
      <c r="A8" s="242" t="s">
        <v>1588</v>
      </c>
      <c r="B8" s="243"/>
      <c r="C8" s="246"/>
      <c r="D8" s="2897">
        <v>100</v>
      </c>
      <c r="E8" s="246"/>
      <c r="F8" s="3746">
        <f>SUMIF(49:49,E8,50:50)-SUMIF(49:49,C8,50:50)+100</f>
        <v>100</v>
      </c>
      <c r="G8" s="246"/>
      <c r="H8" s="3752">
        <f>SUMIF(49:49,G8,50:50)-SUMIF(49:49,C8,50:50)+100</f>
        <v>100</v>
      </c>
      <c r="I8" s="246"/>
      <c r="J8" s="3752">
        <f>SUMIF(49:49,I8,50:50)-SUMIF(49:49,C8,50:50)+100</f>
        <v>100</v>
      </c>
      <c r="K8" s="22"/>
      <c r="L8" s="1975"/>
      <c r="M8" s="1928"/>
      <c r="N8" s="1928"/>
      <c r="O8" s="1928"/>
      <c r="P8" s="4512" t="s">
        <v>1590</v>
      </c>
      <c r="Q8" s="4513"/>
      <c r="R8" s="3765" t="s">
        <v>13</v>
      </c>
      <c r="S8" s="3768">
        <f t="shared" si="0"/>
        <v>100</v>
      </c>
      <c r="T8" s="3765" t="s">
        <v>13</v>
      </c>
      <c r="U8" s="3768">
        <f t="shared" si="1"/>
        <v>100</v>
      </c>
      <c r="V8" s="3765" t="s">
        <v>13</v>
      </c>
      <c r="W8" s="3768">
        <f t="shared" si="2"/>
        <v>100</v>
      </c>
      <c r="X8" s="482"/>
      <c r="Y8" s="4512" t="s">
        <v>1590</v>
      </c>
      <c r="Z8" s="4513"/>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35" t="s">
        <v>1593</v>
      </c>
      <c r="Q9" s="389" t="str">
        <f t="shared" ref="Q9:Q14" si="6">B9</f>
        <v>用途</v>
      </c>
      <c r="R9" s="3765" t="s">
        <v>13</v>
      </c>
      <c r="S9" s="3768">
        <f t="shared" si="0"/>
        <v>100</v>
      </c>
      <c r="T9" s="3765" t="s">
        <v>13</v>
      </c>
      <c r="U9" s="3768">
        <f t="shared" si="1"/>
        <v>100</v>
      </c>
      <c r="V9" s="3765" t="s">
        <v>13</v>
      </c>
      <c r="W9" s="3768">
        <f t="shared" si="2"/>
        <v>100</v>
      </c>
      <c r="X9" s="482"/>
      <c r="Y9" s="4526"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35"/>
      <c r="Q10" s="389" t="str">
        <f t="shared" si="6"/>
        <v>土地使用年限（年）</v>
      </c>
      <c r="R10" s="3765" t="s">
        <v>13</v>
      </c>
      <c r="S10" s="3768">
        <f t="shared" si="0"/>
        <v>100</v>
      </c>
      <c r="T10" s="3765" t="s">
        <v>13</v>
      </c>
      <c r="U10" s="3768">
        <f t="shared" si="1"/>
        <v>100</v>
      </c>
      <c r="V10" s="3765" t="s">
        <v>13</v>
      </c>
      <c r="W10" s="3768">
        <f t="shared" si="2"/>
        <v>100</v>
      </c>
      <c r="X10" s="482"/>
      <c r="Y10" s="4526"/>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35"/>
      <c r="Q11" s="389">
        <f t="shared" si="6"/>
        <v>111</v>
      </c>
      <c r="R11" s="3765" t="s">
        <v>13</v>
      </c>
      <c r="S11" s="3768">
        <f t="shared" si="0"/>
        <v>100</v>
      </c>
      <c r="T11" s="3765" t="s">
        <v>13</v>
      </c>
      <c r="U11" s="3768">
        <f t="shared" si="1"/>
        <v>100</v>
      </c>
      <c r="V11" s="3765" t="s">
        <v>13</v>
      </c>
      <c r="W11" s="3768">
        <f t="shared" si="2"/>
        <v>100</v>
      </c>
      <c r="X11" s="482"/>
      <c r="Y11" s="4526"/>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35"/>
      <c r="Q12" s="389">
        <f t="shared" si="6"/>
        <v>111</v>
      </c>
      <c r="R12" s="3765" t="s">
        <v>13</v>
      </c>
      <c r="S12" s="3768">
        <f t="shared" si="0"/>
        <v>100</v>
      </c>
      <c r="T12" s="3765" t="s">
        <v>13</v>
      </c>
      <c r="U12" s="3768">
        <f t="shared" si="1"/>
        <v>100</v>
      </c>
      <c r="V12" s="3765" t="s">
        <v>13</v>
      </c>
      <c r="W12" s="3768">
        <f t="shared" si="2"/>
        <v>100</v>
      </c>
      <c r="X12" s="482"/>
      <c r="Y12" s="4526"/>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7">
        <f>SUMIF(59:59,G13,60:60)-SUMIF(59:59,C13,60:60)+100</f>
        <v>100</v>
      </c>
      <c r="I13" s="278"/>
      <c r="J13" s="3750">
        <f>SUMIF(59:59,I13,60:60)-SUMIF(59:59,C13,60:60)+100</f>
        <v>100</v>
      </c>
      <c r="K13" s="395"/>
      <c r="L13" s="1979"/>
      <c r="M13" s="1974"/>
      <c r="N13" s="1974"/>
      <c r="O13" s="2029"/>
      <c r="P13" s="4635"/>
      <c r="Q13" s="389">
        <f t="shared" si="6"/>
        <v>111</v>
      </c>
      <c r="R13" s="3765" t="s">
        <v>13</v>
      </c>
      <c r="S13" s="3768">
        <f t="shared" si="0"/>
        <v>100</v>
      </c>
      <c r="T13" s="3765" t="s">
        <v>13</v>
      </c>
      <c r="U13" s="3768">
        <f t="shared" si="1"/>
        <v>100</v>
      </c>
      <c r="V13" s="3765" t="s">
        <v>13</v>
      </c>
      <c r="W13" s="3768">
        <f t="shared" si="2"/>
        <v>100</v>
      </c>
      <c r="X13" s="482"/>
      <c r="Y13" s="4526"/>
      <c r="Z13" s="28">
        <f t="shared" si="7"/>
        <v>111</v>
      </c>
      <c r="AA13" s="28">
        <f t="shared" si="3"/>
        <v>1</v>
      </c>
      <c r="AB13" s="28">
        <f t="shared" si="4"/>
        <v>1</v>
      </c>
      <c r="AC13" s="28">
        <f t="shared" si="5"/>
        <v>1</v>
      </c>
    </row>
    <row r="14" spans="1:29" ht="85.5">
      <c r="A14" s="262" t="s">
        <v>1597</v>
      </c>
      <c r="B14" s="32" t="s">
        <v>1740</v>
      </c>
      <c r="C14" s="1423" t="str">
        <f>IF(B1="工业",估价对象房地状况!G4,估价对象房地状况!C6)</f>
        <v>估价对象周边道路状况、公共交通通达情况、停车便捷程度，综合评价交通便捷度较好</v>
      </c>
      <c r="D14" s="2903">
        <v>100</v>
      </c>
      <c r="E14" s="263"/>
      <c r="F14" s="3754">
        <f>SUMIF(61:61,E15,62:62)-SUMIF(61:61,C15,62:62)+100</f>
        <v>100</v>
      </c>
      <c r="G14" s="264"/>
      <c r="H14" s="3748">
        <f>SUMIF(61:61,G15,62:62)-SUMIF(61:61,C15,62:62)+100</f>
        <v>100</v>
      </c>
      <c r="I14" s="263"/>
      <c r="J14" s="3748">
        <f>SUMIF(61:61,I15,62:62)-SUMIF(61:61,C15,62:62)+100</f>
        <v>100</v>
      </c>
      <c r="K14" s="396"/>
      <c r="L14" s="1979"/>
      <c r="M14" s="1974"/>
      <c r="N14" s="1974"/>
      <c r="O14" s="2029"/>
      <c r="P14" s="4555" t="s">
        <v>1598</v>
      </c>
      <c r="Q14" s="906" t="str">
        <f t="shared" si="6"/>
        <v>交通便捷度</v>
      </c>
      <c r="R14" s="3766" t="s">
        <v>13</v>
      </c>
      <c r="S14" s="3769">
        <f t="shared" si="0"/>
        <v>100</v>
      </c>
      <c r="T14" s="3766" t="s">
        <v>13</v>
      </c>
      <c r="U14" s="3769">
        <f t="shared" si="1"/>
        <v>100</v>
      </c>
      <c r="V14" s="3766" t="s">
        <v>13</v>
      </c>
      <c r="W14" s="3769">
        <f t="shared" si="2"/>
        <v>100</v>
      </c>
      <c r="X14" s="909"/>
      <c r="Y14" s="4555" t="s">
        <v>1598</v>
      </c>
      <c r="Z14" s="907" t="str">
        <f t="shared" si="7"/>
        <v>交通便捷度</v>
      </c>
      <c r="AA14" s="907">
        <f t="shared" si="3"/>
        <v>1</v>
      </c>
      <c r="AB14" s="907">
        <f t="shared" si="4"/>
        <v>1</v>
      </c>
      <c r="AC14" s="907">
        <f t="shared" si="5"/>
        <v>1</v>
      </c>
    </row>
    <row r="15" spans="1:29" ht="15">
      <c r="A15" s="254"/>
      <c r="B15" s="265"/>
      <c r="C15" s="266"/>
      <c r="D15" s="2904"/>
      <c r="E15" s="266"/>
      <c r="F15" s="3755"/>
      <c r="G15" s="266"/>
      <c r="H15" s="268"/>
      <c r="I15" s="266"/>
      <c r="J15" s="267"/>
      <c r="K15" s="397"/>
      <c r="L15" s="1979"/>
      <c r="M15" s="1974"/>
      <c r="N15" s="1974"/>
      <c r="O15" s="2029"/>
      <c r="P15" s="4556"/>
      <c r="Q15" s="906"/>
      <c r="R15" s="3766"/>
      <c r="S15" s="3769"/>
      <c r="T15" s="3766"/>
      <c r="U15" s="3769"/>
      <c r="V15" s="3766"/>
      <c r="W15" s="3769"/>
      <c r="X15" s="909"/>
      <c r="Y15" s="4556"/>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6">
        <v>100</v>
      </c>
      <c r="E16" s="273"/>
      <c r="F16" s="3757">
        <f>SUMIF(63:63,E17,64:64)-SUMIF(63:63,C17,64:64)+100</f>
        <v>100</v>
      </c>
      <c r="G16" s="274"/>
      <c r="H16" s="3749">
        <f>SUMIF(63:63,G17,64:64)-SUMIF(63:63,C17,64:64)+100</f>
        <v>100</v>
      </c>
      <c r="I16" s="273"/>
      <c r="J16" s="3749">
        <f>SUMIF(63:63,I17,64:64)-SUMIF(63:63,C17,64:64)+100</f>
        <v>100</v>
      </c>
      <c r="K16" s="396"/>
      <c r="L16" s="1979"/>
      <c r="M16" s="1974"/>
      <c r="N16" s="1974"/>
      <c r="O16" s="2029"/>
      <c r="P16" s="4556"/>
      <c r="Q16" s="906" t="str">
        <f>B16</f>
        <v>公共配套设施</v>
      </c>
      <c r="R16" s="3766" t="s">
        <v>13</v>
      </c>
      <c r="S16" s="3769">
        <f>F16</f>
        <v>100</v>
      </c>
      <c r="T16" s="3766" t="s">
        <v>13</v>
      </c>
      <c r="U16" s="3769">
        <f>H16</f>
        <v>100</v>
      </c>
      <c r="V16" s="3766" t="s">
        <v>13</v>
      </c>
      <c r="W16" s="3769">
        <f>J16</f>
        <v>100</v>
      </c>
      <c r="X16" s="909"/>
      <c r="Y16" s="4556"/>
      <c r="Z16" s="907" t="str">
        <f>Q16</f>
        <v>公共配套设施</v>
      </c>
      <c r="AA16" s="907">
        <f t="shared" si="3"/>
        <v>1</v>
      </c>
      <c r="AB16" s="907">
        <f t="shared" si="4"/>
        <v>1</v>
      </c>
      <c r="AC16" s="907">
        <f t="shared" si="5"/>
        <v>1</v>
      </c>
    </row>
    <row r="17" spans="1:29" ht="15">
      <c r="A17" s="254"/>
      <c r="B17" s="272"/>
      <c r="C17" s="1365"/>
      <c r="D17" s="2904"/>
      <c r="E17" s="266"/>
      <c r="F17" s="3755"/>
      <c r="G17" s="266"/>
      <c r="H17" s="267"/>
      <c r="I17" s="266"/>
      <c r="J17" s="267"/>
      <c r="K17" s="397"/>
      <c r="L17" s="1979"/>
      <c r="M17" s="1974"/>
      <c r="N17" s="1974"/>
      <c r="O17" s="2029"/>
      <c r="P17" s="4556"/>
      <c r="Q17" s="906"/>
      <c r="R17" s="3766"/>
      <c r="S17" s="3769"/>
      <c r="T17" s="3766"/>
      <c r="U17" s="3769"/>
      <c r="V17" s="3766"/>
      <c r="W17" s="3769"/>
      <c r="X17" s="909"/>
      <c r="Y17" s="4556"/>
      <c r="Z17" s="907"/>
      <c r="AA17" s="907">
        <v>1</v>
      </c>
      <c r="AB17" s="907">
        <v>1</v>
      </c>
      <c r="AC17" s="907">
        <v>1</v>
      </c>
    </row>
    <row r="18" spans="1:29" ht="28.5">
      <c r="A18" s="254"/>
      <c r="B18" s="759" t="s">
        <v>1720</v>
      </c>
      <c r="C18" s="1364" t="str">
        <f>IF(B1="工业",估价对象房地状况!G6,估价对象房地状况!C8)</f>
        <v>估价对象所在区域基础设施水平</v>
      </c>
      <c r="D18" s="2906">
        <v>100</v>
      </c>
      <c r="E18" s="270"/>
      <c r="F18" s="3757">
        <f>SUMIF(65:65,E19,66:66)-SUMIF(65:65,C19,66:66)+100</f>
        <v>100</v>
      </c>
      <c r="G18" s="271"/>
      <c r="H18" s="3749">
        <f>SUMIF(65:65,G19,66:66)-SUMIF(65:65,C19,66:66)+100</f>
        <v>100</v>
      </c>
      <c r="I18" s="273"/>
      <c r="J18" s="3749">
        <f>SUMIF(65:65,I19,66:66)-SUMIF(65:65,C19,66:66)+100</f>
        <v>100</v>
      </c>
      <c r="K18" s="396"/>
      <c r="L18" s="1979"/>
      <c r="M18" s="1974"/>
      <c r="N18" s="1974"/>
      <c r="O18" s="2029"/>
      <c r="P18" s="4556"/>
      <c r="Q18" s="906" t="str">
        <f>B18</f>
        <v>基础设施水平</v>
      </c>
      <c r="R18" s="3766" t="s">
        <v>13</v>
      </c>
      <c r="S18" s="3769">
        <f>F18</f>
        <v>100</v>
      </c>
      <c r="T18" s="3766" t="s">
        <v>13</v>
      </c>
      <c r="U18" s="3769">
        <f>H18</f>
        <v>100</v>
      </c>
      <c r="V18" s="3766" t="s">
        <v>13</v>
      </c>
      <c r="W18" s="3769">
        <f>J18</f>
        <v>100</v>
      </c>
      <c r="X18" s="909"/>
      <c r="Y18" s="4556"/>
      <c r="Z18" s="907" t="str">
        <f>Q18</f>
        <v>基础设施水平</v>
      </c>
      <c r="AA18" s="907">
        <f t="shared" ref="AA18" si="8">D18/F18</f>
        <v>1</v>
      </c>
      <c r="AB18" s="907">
        <f t="shared" ref="AB18" si="9">D18/H18</f>
        <v>1</v>
      </c>
      <c r="AC18" s="907">
        <f t="shared" ref="AC18" si="10">D18/J18</f>
        <v>1</v>
      </c>
    </row>
    <row r="19" spans="1:29" ht="15">
      <c r="A19" s="254"/>
      <c r="B19" s="759"/>
      <c r="C19" s="1365"/>
      <c r="D19" s="2905"/>
      <c r="E19" s="1365"/>
      <c r="F19" s="3756"/>
      <c r="G19" s="1365"/>
      <c r="H19" s="267"/>
      <c r="I19" s="266"/>
      <c r="J19" s="267"/>
      <c r="K19" s="758"/>
      <c r="L19" s="1979"/>
      <c r="M19" s="1974"/>
      <c r="N19" s="1974"/>
      <c r="O19" s="2029"/>
      <c r="P19" s="4556"/>
      <c r="Q19" s="906"/>
      <c r="R19" s="3766"/>
      <c r="S19" s="3769"/>
      <c r="T19" s="3766"/>
      <c r="U19" s="3769"/>
      <c r="V19" s="3766"/>
      <c r="W19" s="3769"/>
      <c r="X19" s="909"/>
      <c r="Y19" s="4556"/>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6">
        <v>100</v>
      </c>
      <c r="E20" s="273"/>
      <c r="F20" s="3757">
        <f>SUMIF(67:67,E21,68:68)-SUMIF(67:67,C21,68:68)+100</f>
        <v>100</v>
      </c>
      <c r="G20" s="274"/>
      <c r="H20" s="268">
        <f>SUMIF(67:67,G21,68:68)-SUMIF(67:67,C21,68:68)+100</f>
        <v>100</v>
      </c>
      <c r="I20" s="270"/>
      <c r="J20" s="268">
        <f>SUMIF(67:67,I21,68:68)-SUMIF(67:67,C21,68:68)+100</f>
        <v>100</v>
      </c>
      <c r="K20" s="396"/>
      <c r="L20" s="1979"/>
      <c r="M20" s="1974"/>
      <c r="N20" s="1974"/>
      <c r="O20" s="2029"/>
      <c r="P20" s="4556"/>
      <c r="Q20" s="906" t="str">
        <f>B20</f>
        <v>自然及人文环境</v>
      </c>
      <c r="R20" s="3766" t="s">
        <v>13</v>
      </c>
      <c r="S20" s="3769">
        <f>F20</f>
        <v>100</v>
      </c>
      <c r="T20" s="3766" t="s">
        <v>13</v>
      </c>
      <c r="U20" s="3769">
        <f>H20</f>
        <v>100</v>
      </c>
      <c r="V20" s="3766" t="s">
        <v>13</v>
      </c>
      <c r="W20" s="3769">
        <f>J20</f>
        <v>100</v>
      </c>
      <c r="X20" s="909"/>
      <c r="Y20" s="4556"/>
      <c r="Z20" s="907" t="str">
        <f>Q20</f>
        <v>自然及人文环境</v>
      </c>
      <c r="AA20" s="907">
        <f t="shared" si="3"/>
        <v>1</v>
      </c>
      <c r="AB20" s="907">
        <f t="shared" si="4"/>
        <v>1</v>
      </c>
      <c r="AC20" s="907">
        <f t="shared" si="5"/>
        <v>1</v>
      </c>
    </row>
    <row r="21" spans="1:29" ht="15">
      <c r="A21" s="254"/>
      <c r="B21" s="272"/>
      <c r="C21" s="266"/>
      <c r="D21" s="2904"/>
      <c r="E21" s="266"/>
      <c r="F21" s="3755"/>
      <c r="G21" s="266"/>
      <c r="H21" s="267"/>
      <c r="I21" s="266"/>
      <c r="J21" s="267"/>
      <c r="K21" s="397"/>
      <c r="L21" s="1979"/>
      <c r="M21" s="1974"/>
      <c r="N21" s="1974"/>
      <c r="O21" s="2029"/>
      <c r="P21" s="4556"/>
      <c r="Q21" s="906"/>
      <c r="R21" s="3766"/>
      <c r="S21" s="3769"/>
      <c r="T21" s="3766"/>
      <c r="U21" s="3769"/>
      <c r="V21" s="3766"/>
      <c r="W21" s="3769"/>
      <c r="X21" s="909"/>
      <c r="Y21" s="4556"/>
      <c r="Z21" s="907"/>
      <c r="AA21" s="907">
        <v>1</v>
      </c>
      <c r="AB21" s="907">
        <v>1</v>
      </c>
      <c r="AC21" s="907">
        <v>1</v>
      </c>
    </row>
    <row r="22" spans="1:29" ht="15">
      <c r="A22" s="254"/>
      <c r="B22" s="269" t="s">
        <v>1742</v>
      </c>
      <c r="C22" s="398"/>
      <c r="D22" s="2905">
        <v>100</v>
      </c>
      <c r="E22" s="398"/>
      <c r="F22" s="908">
        <f>SUMIF(69:69,E22,70:70)-SUMIF(69:69,C22,70:70)+100</f>
        <v>100</v>
      </c>
      <c r="G22" s="398"/>
      <c r="H22" s="3750">
        <f>SUMIF(69:69,G22,70:70)-SUMIF(69:69,C22,70:70)+100</f>
        <v>100</v>
      </c>
      <c r="I22" s="398"/>
      <c r="J22" s="3750">
        <f>SUMIF(69:69,I22,70:70)-SUMIF(69:69,C22,70:70)+100</f>
        <v>100</v>
      </c>
      <c r="K22" s="394"/>
      <c r="L22" s="1979"/>
      <c r="M22" s="1974"/>
      <c r="N22" s="1974"/>
      <c r="O22" s="2029"/>
      <c r="P22" s="4556"/>
      <c r="Q22" s="906" t="str">
        <f>B22</f>
        <v>楼层</v>
      </c>
      <c r="R22" s="3766" t="s">
        <v>13</v>
      </c>
      <c r="S22" s="3769">
        <f>F22</f>
        <v>100</v>
      </c>
      <c r="T22" s="3766" t="s">
        <v>13</v>
      </c>
      <c r="U22" s="3769">
        <f>H22</f>
        <v>100</v>
      </c>
      <c r="V22" s="3766" t="s">
        <v>13</v>
      </c>
      <c r="W22" s="3769">
        <f>J22</f>
        <v>100</v>
      </c>
      <c r="X22" s="909"/>
      <c r="Y22" s="4556"/>
      <c r="Z22" s="907" t="str">
        <f>Q22</f>
        <v>楼层</v>
      </c>
      <c r="AA22" s="907">
        <f t="shared" si="3"/>
        <v>1</v>
      </c>
      <c r="AB22" s="907">
        <f t="shared" si="4"/>
        <v>1</v>
      </c>
      <c r="AC22" s="907">
        <f t="shared" si="5"/>
        <v>1</v>
      </c>
    </row>
    <row r="23" spans="1:29" ht="15">
      <c r="A23" s="238"/>
      <c r="B23" s="310">
        <v>111</v>
      </c>
      <c r="C23" s="258"/>
      <c r="D23" s="2901">
        <v>100</v>
      </c>
      <c r="E23" s="259"/>
      <c r="F23" s="908">
        <f>SUMIF(71:71,E23,72:72)-SUMIF(71:71,C23,72:72)+100</f>
        <v>100</v>
      </c>
      <c r="G23" s="259"/>
      <c r="H23" s="3750">
        <f>SUMIF(71:71,G23,72:72)-SUMIF(71:71,C23,72:72)+100</f>
        <v>100</v>
      </c>
      <c r="I23" s="259"/>
      <c r="J23" s="3750">
        <f>SUMIF(71:71,I23,72:72)-SUMIF(71:71,C23,72:72)+100</f>
        <v>100</v>
      </c>
      <c r="K23" s="395"/>
      <c r="L23" s="1979"/>
      <c r="M23" s="1974"/>
      <c r="N23" s="1974"/>
      <c r="O23" s="2029"/>
      <c r="P23" s="4556"/>
      <c r="Q23" s="906">
        <f>B23</f>
        <v>111</v>
      </c>
      <c r="R23" s="3766" t="s">
        <v>13</v>
      </c>
      <c r="S23" s="3769">
        <f>F23</f>
        <v>100</v>
      </c>
      <c r="T23" s="3766" t="s">
        <v>13</v>
      </c>
      <c r="U23" s="3769">
        <f>H23</f>
        <v>100</v>
      </c>
      <c r="V23" s="3766" t="s">
        <v>13</v>
      </c>
      <c r="W23" s="3769">
        <f>J23</f>
        <v>100</v>
      </c>
      <c r="X23" s="909"/>
      <c r="Y23" s="4556"/>
      <c r="Z23" s="907">
        <f>Q23</f>
        <v>111</v>
      </c>
      <c r="AA23" s="907">
        <f t="shared" si="3"/>
        <v>1</v>
      </c>
      <c r="AB23" s="907">
        <f t="shared" si="4"/>
        <v>1</v>
      </c>
      <c r="AC23" s="907">
        <f t="shared" si="5"/>
        <v>1</v>
      </c>
    </row>
    <row r="24" spans="1:29" ht="15">
      <c r="A24" s="254"/>
      <c r="B24" s="310">
        <v>111</v>
      </c>
      <c r="C24" s="258"/>
      <c r="D24" s="2901">
        <v>100</v>
      </c>
      <c r="E24" s="259"/>
      <c r="F24" s="908">
        <f>SUMIF(73:73,E24,74:74)-SUMIF(73:73,C24,74:74)+100</f>
        <v>100</v>
      </c>
      <c r="G24" s="259"/>
      <c r="H24" s="3750">
        <f>SUMIF(73:73,G24,74:74)-SUMIF(73:73,C24,74:74)+100</f>
        <v>100</v>
      </c>
      <c r="I24" s="259"/>
      <c r="J24" s="3750">
        <f>SUMIF(73:73,I24,74:74)-SUMIF(73:73,C24,74:74)+100</f>
        <v>100</v>
      </c>
      <c r="K24" s="395"/>
      <c r="L24" s="1979"/>
      <c r="M24" s="1974"/>
      <c r="N24" s="1974"/>
      <c r="O24" s="2029"/>
      <c r="P24" s="4556"/>
      <c r="Q24" s="906">
        <f t="shared" ref="Q24:Q34" si="11">B24</f>
        <v>111</v>
      </c>
      <c r="R24" s="3766" t="s">
        <v>13</v>
      </c>
      <c r="S24" s="3769">
        <f>F24</f>
        <v>100</v>
      </c>
      <c r="T24" s="3766" t="s">
        <v>13</v>
      </c>
      <c r="U24" s="3769">
        <f>H24</f>
        <v>100</v>
      </c>
      <c r="V24" s="3766" t="s">
        <v>13</v>
      </c>
      <c r="W24" s="3769">
        <f>J24</f>
        <v>100</v>
      </c>
      <c r="X24" s="909"/>
      <c r="Y24" s="4556"/>
      <c r="Z24" s="907">
        <f>Q24</f>
        <v>111</v>
      </c>
      <c r="AA24" s="907">
        <f t="shared" si="3"/>
        <v>1</v>
      </c>
      <c r="AB24" s="907">
        <f t="shared" si="4"/>
        <v>1</v>
      </c>
      <c r="AC24" s="907">
        <f t="shared" si="5"/>
        <v>1</v>
      </c>
    </row>
    <row r="25" spans="1:29" s="46" customFormat="1" ht="15.75" thickBot="1">
      <c r="A25" s="257"/>
      <c r="B25" s="310">
        <v>111</v>
      </c>
      <c r="C25" s="1428"/>
      <c r="D25" s="2910">
        <v>100</v>
      </c>
      <c r="E25" s="1428"/>
      <c r="F25" s="759">
        <f>SUMIF(75:75,E25,76:76)-SUMIF(75:75,C25,76:76)+100</f>
        <v>100</v>
      </c>
      <c r="G25" s="1428"/>
      <c r="H25" s="407">
        <f>SUMIF(75:75,G25,76:76)-SUMIF(75:75,C25,76:76)+100</f>
        <v>100</v>
      </c>
      <c r="I25" s="1428"/>
      <c r="J25" s="407">
        <f>SUMIF(75:75,I25,76:76)-SUMIF(75:75,C25,76:76)+100</f>
        <v>100</v>
      </c>
      <c r="K25" s="395"/>
      <c r="L25" s="1975"/>
      <c r="M25" s="1928"/>
      <c r="N25" s="1928"/>
      <c r="O25" s="2027"/>
      <c r="P25" s="4556"/>
      <c r="Q25" s="389">
        <f t="shared" si="11"/>
        <v>111</v>
      </c>
      <c r="R25" s="3765" t="s">
        <v>13</v>
      </c>
      <c r="S25" s="3768">
        <f>F25</f>
        <v>100</v>
      </c>
      <c r="T25" s="3765" t="s">
        <v>13</v>
      </c>
      <c r="U25" s="3768">
        <f>H25</f>
        <v>100</v>
      </c>
      <c r="V25" s="3765" t="s">
        <v>13</v>
      </c>
      <c r="W25" s="3768">
        <f>J25</f>
        <v>100</v>
      </c>
      <c r="X25" s="482"/>
      <c r="Y25" s="4556"/>
      <c r="Z25" s="28">
        <f>Q25</f>
        <v>111</v>
      </c>
      <c r="AA25" s="907">
        <f>D25/F25</f>
        <v>1</v>
      </c>
      <c r="AB25" s="907">
        <f>D25/H25</f>
        <v>1</v>
      </c>
      <c r="AC25" s="907">
        <f>D25/J25</f>
        <v>1</v>
      </c>
    </row>
    <row r="26" spans="1:29" ht="28.5">
      <c r="A26" s="276" t="s">
        <v>1601</v>
      </c>
      <c r="B26" s="34" t="s">
        <v>1745</v>
      </c>
      <c r="C26" s="1419"/>
      <c r="D26" s="2908">
        <v>100</v>
      </c>
      <c r="E26" s="1419"/>
      <c r="F26" s="3771">
        <f>SUMIF(77:77,E26,78:78)-SUMIF(77:77,C26,78:78)+100</f>
        <v>100</v>
      </c>
      <c r="G26" s="1419"/>
      <c r="H26" s="3753">
        <f>SUMIF(77:77,G26,78:78)-SUMIF(77:77,C26,78:78)+100</f>
        <v>100</v>
      </c>
      <c r="I26" s="1419"/>
      <c r="J26" s="3753">
        <f>SUMIF(77:77,I26,78:78)-SUMIF(77:77,C26,78:78)+100</f>
        <v>100</v>
      </c>
      <c r="K26" s="394"/>
      <c r="L26" s="1979"/>
      <c r="M26" s="1974"/>
      <c r="N26" s="1974"/>
      <c r="O26" s="2029"/>
      <c r="P26" s="4643" t="s">
        <v>1603</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60"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9">
        <v>100</v>
      </c>
      <c r="E27" s="283"/>
      <c r="F27" s="908" t="e">
        <f>LOOKUP(E27,80:80,81:81)-LOOKUP(C27,80:80,81:81)+100</f>
        <v>#N/A</v>
      </c>
      <c r="G27" s="284"/>
      <c r="H27" s="3750" t="e">
        <f>LOOKUP(G27,80:80,81:81)-LOOKUP(C27,80:80,81:81)+100</f>
        <v>#N/A</v>
      </c>
      <c r="I27" s="284"/>
      <c r="J27" s="3750" t="e">
        <f>LOOKUP(I27,80:80,81:81)-LOOKUP(C27,80:80,81:81)+100</f>
        <v>#N/A</v>
      </c>
      <c r="K27" s="394"/>
      <c r="L27" s="1978"/>
      <c r="M27" s="1980"/>
      <c r="N27" s="1980"/>
      <c r="O27" s="2030"/>
      <c r="P27" s="4560"/>
      <c r="Q27" s="483" t="str">
        <f t="shared" si="11"/>
        <v>成新率</v>
      </c>
      <c r="R27" s="3767" t="s">
        <v>13</v>
      </c>
      <c r="S27" s="3770" t="e">
        <f t="shared" si="12"/>
        <v>#N/A</v>
      </c>
      <c r="T27" s="3767" t="s">
        <v>13</v>
      </c>
      <c r="U27" s="3770" t="e">
        <f t="shared" si="13"/>
        <v>#N/A</v>
      </c>
      <c r="V27" s="3767" t="s">
        <v>13</v>
      </c>
      <c r="W27" s="3770" t="e">
        <f t="shared" si="14"/>
        <v>#N/A</v>
      </c>
      <c r="X27" s="484"/>
      <c r="Y27" s="4560"/>
      <c r="Z27" s="485" t="str">
        <f t="shared" si="15"/>
        <v>成新率</v>
      </c>
      <c r="AA27" s="907" t="e">
        <f t="shared" si="3"/>
        <v>#N/A</v>
      </c>
      <c r="AB27" s="907" t="e">
        <f t="shared" si="4"/>
        <v>#N/A</v>
      </c>
      <c r="AC27" s="907" t="e">
        <f t="shared" si="5"/>
        <v>#N/A</v>
      </c>
    </row>
    <row r="28" spans="1:29" ht="15">
      <c r="A28" s="280"/>
      <c r="B28" s="252" t="s">
        <v>1747</v>
      </c>
      <c r="C28" s="275"/>
      <c r="D28" s="2901">
        <v>100</v>
      </c>
      <c r="E28" s="275"/>
      <c r="F28" s="908">
        <f>SUMIF(82:82,E28,83:83)-SUMIF(82:82,C28,83:83)+100</f>
        <v>100</v>
      </c>
      <c r="G28" s="275"/>
      <c r="H28" s="3750">
        <f>SUMIF(82:82,G28,83:83)-SUMIF(82:82,C28,83:83)+100</f>
        <v>100</v>
      </c>
      <c r="I28" s="275"/>
      <c r="J28" s="3750">
        <f>SUMIF(82:82,I28,83:83)-SUMIF(82:82,C28,83:83)+100</f>
        <v>100</v>
      </c>
      <c r="K28" s="394"/>
      <c r="L28" s="1979"/>
      <c r="M28" s="1974"/>
      <c r="N28" s="1974"/>
      <c r="O28" s="2029"/>
      <c r="P28" s="4560"/>
      <c r="Q28" s="906" t="str">
        <f t="shared" si="11"/>
        <v>物业等级</v>
      </c>
      <c r="R28" s="3766" t="s">
        <v>13</v>
      </c>
      <c r="S28" s="3769">
        <f t="shared" si="12"/>
        <v>100</v>
      </c>
      <c r="T28" s="3766" t="s">
        <v>13</v>
      </c>
      <c r="U28" s="3769">
        <f t="shared" si="13"/>
        <v>100</v>
      </c>
      <c r="V28" s="3766" t="s">
        <v>13</v>
      </c>
      <c r="W28" s="3769">
        <f t="shared" si="14"/>
        <v>100</v>
      </c>
      <c r="X28" s="909"/>
      <c r="Y28" s="4560"/>
      <c r="Z28" s="907" t="str">
        <f t="shared" si="15"/>
        <v>物业等级</v>
      </c>
      <c r="AA28" s="907">
        <f t="shared" si="3"/>
        <v>1</v>
      </c>
      <c r="AB28" s="907">
        <f t="shared" si="4"/>
        <v>1</v>
      </c>
      <c r="AC28" s="907">
        <f t="shared" si="5"/>
        <v>1</v>
      </c>
    </row>
    <row r="29" spans="1:29" ht="15">
      <c r="A29" s="280"/>
      <c r="B29" s="252" t="s">
        <v>1767</v>
      </c>
      <c r="C29" s="425"/>
      <c r="D29" s="2901">
        <v>100</v>
      </c>
      <c r="E29" s="425"/>
      <c r="F29" s="908">
        <f>SUMIF(84:84,E29,85:85)-SUMIF(84:84,C29,85:85)+100</f>
        <v>100</v>
      </c>
      <c r="G29" s="425"/>
      <c r="H29" s="3750">
        <f>SUMIF(84:84,G29,85:85)-SUMIF(84:84,C29,85:85)+100</f>
        <v>100</v>
      </c>
      <c r="I29" s="425"/>
      <c r="J29" s="3750">
        <f>SUMIF(84:84,I29,85:85)-SUMIF(84:84,C29,85:85)+100</f>
        <v>100</v>
      </c>
      <c r="K29" s="394"/>
      <c r="L29" s="1979"/>
      <c r="M29" s="1974"/>
      <c r="N29" s="1974"/>
      <c r="O29" s="2029"/>
      <c r="P29" s="4560"/>
      <c r="Q29" s="906" t="str">
        <f t="shared" si="11"/>
        <v>有无电梯</v>
      </c>
      <c r="R29" s="3766" t="s">
        <v>13</v>
      </c>
      <c r="S29" s="3769">
        <f t="shared" si="12"/>
        <v>100</v>
      </c>
      <c r="T29" s="3766" t="s">
        <v>13</v>
      </c>
      <c r="U29" s="3769">
        <f t="shared" si="13"/>
        <v>100</v>
      </c>
      <c r="V29" s="3766" t="s">
        <v>13</v>
      </c>
      <c r="W29" s="3769">
        <f t="shared" si="14"/>
        <v>100</v>
      </c>
      <c r="X29" s="909"/>
      <c r="Y29" s="4560"/>
      <c r="Z29" s="907" t="str">
        <f t="shared" si="15"/>
        <v>有无电梯</v>
      </c>
      <c r="AA29" s="907">
        <f t="shared" si="3"/>
        <v>1</v>
      </c>
      <c r="AB29" s="907">
        <f t="shared" si="4"/>
        <v>1</v>
      </c>
      <c r="AC29" s="907">
        <f t="shared" si="5"/>
        <v>1</v>
      </c>
    </row>
    <row r="30" spans="1:29" ht="15">
      <c r="A30" s="280"/>
      <c r="B30" s="252" t="s">
        <v>1768</v>
      </c>
      <c r="C30" s="278"/>
      <c r="D30" s="2901">
        <v>100</v>
      </c>
      <c r="E30" s="278"/>
      <c r="F30" s="908" t="e">
        <f>LOOKUP(E30,87:87,88:88)-LOOKUP(C30,87:87,88:88)+100</f>
        <v>#N/A</v>
      </c>
      <c r="G30" s="278"/>
      <c r="H30" s="3750" t="e">
        <f>LOOKUP(G30,87:87,88:88)-LOOKUP(C30,87:87,88:88)+100</f>
        <v>#N/A</v>
      </c>
      <c r="I30" s="278"/>
      <c r="J30" s="3750" t="e">
        <f>LOOKUP(I30,87:87,88:88)-LOOKUP(C30,87:87,88:88)+100</f>
        <v>#N/A</v>
      </c>
      <c r="K30" s="395"/>
      <c r="L30" s="1979"/>
      <c r="M30" s="1974"/>
      <c r="N30" s="1974"/>
      <c r="O30" s="2029"/>
      <c r="P30" s="4560"/>
      <c r="Q30" s="906" t="str">
        <f t="shared" si="11"/>
        <v>建筑面积</v>
      </c>
      <c r="R30" s="3766" t="s">
        <v>13</v>
      </c>
      <c r="S30" s="3769" t="e">
        <f t="shared" si="12"/>
        <v>#N/A</v>
      </c>
      <c r="T30" s="3766" t="s">
        <v>13</v>
      </c>
      <c r="U30" s="3769" t="e">
        <f t="shared" si="13"/>
        <v>#N/A</v>
      </c>
      <c r="V30" s="3766" t="s">
        <v>13</v>
      </c>
      <c r="W30" s="3769" t="e">
        <f t="shared" si="14"/>
        <v>#N/A</v>
      </c>
      <c r="X30" s="909"/>
      <c r="Y30" s="4560"/>
      <c r="Z30" s="907" t="str">
        <f t="shared" si="15"/>
        <v>建筑面积</v>
      </c>
      <c r="AA30" s="907" t="e">
        <f t="shared" si="3"/>
        <v>#N/A</v>
      </c>
      <c r="AB30" s="907" t="e">
        <f t="shared" si="4"/>
        <v>#N/A</v>
      </c>
      <c r="AC30" s="907" t="e">
        <f t="shared" si="5"/>
        <v>#N/A</v>
      </c>
    </row>
    <row r="31" spans="1:29" s="46" customFormat="1" ht="15">
      <c r="A31" s="281"/>
      <c r="B31" s="252" t="s">
        <v>1769</v>
      </c>
      <c r="C31" s="425"/>
      <c r="D31" s="2899">
        <v>100</v>
      </c>
      <c r="E31" s="425"/>
      <c r="F31" s="908">
        <f>SUMIF(89:89,E31,90:90)-SUMIF(89:89,C31,90:90)+100</f>
        <v>100</v>
      </c>
      <c r="G31" s="425"/>
      <c r="H31" s="3750">
        <f>SUMIF(89:89,G31,90:90)-SUMIF(89:89,C31,90:90)+100</f>
        <v>100</v>
      </c>
      <c r="I31" s="425"/>
      <c r="J31" s="3750">
        <f>SUMIF(89:89,I31,90:90)-SUMIF(89:89,C31,90:90)+100</f>
        <v>100</v>
      </c>
      <c r="K31" s="394"/>
      <c r="L31" s="1975"/>
      <c r="M31" s="1928"/>
      <c r="N31" s="1928"/>
      <c r="O31" s="2027"/>
      <c r="P31" s="4560"/>
      <c r="Q31" s="389" t="str">
        <f t="shared" si="11"/>
        <v>是否封闭</v>
      </c>
      <c r="R31" s="3765" t="s">
        <v>13</v>
      </c>
      <c r="S31" s="3768">
        <f t="shared" si="12"/>
        <v>100</v>
      </c>
      <c r="T31" s="3765" t="s">
        <v>13</v>
      </c>
      <c r="U31" s="3768">
        <f t="shared" si="13"/>
        <v>100</v>
      </c>
      <c r="V31" s="3765" t="s">
        <v>13</v>
      </c>
      <c r="W31" s="3768">
        <f t="shared" si="14"/>
        <v>100</v>
      </c>
      <c r="X31" s="482"/>
      <c r="Y31" s="4560"/>
      <c r="Z31" s="28" t="str">
        <f t="shared" si="15"/>
        <v>是否封闭</v>
      </c>
      <c r="AA31" s="28">
        <f t="shared" si="3"/>
        <v>1</v>
      </c>
      <c r="AB31" s="28">
        <f t="shared" si="4"/>
        <v>1</v>
      </c>
      <c r="AC31" s="28">
        <f t="shared" si="5"/>
        <v>1</v>
      </c>
    </row>
    <row r="32" spans="1:29" ht="15">
      <c r="A32" s="280"/>
      <c r="B32" s="310">
        <v>111</v>
      </c>
      <c r="C32" s="258"/>
      <c r="D32" s="2901">
        <v>100</v>
      </c>
      <c r="E32" s="278"/>
      <c r="F32" s="908">
        <f>SUMIF(91:91,E32,92:92)-SUMIF(91:91,C32,92:92)+100</f>
        <v>100</v>
      </c>
      <c r="G32" s="278"/>
      <c r="H32" s="3750">
        <f>SUMIF(91:91,G32,92:92)-SUMIF(91:91,C32,92:92)+100</f>
        <v>100</v>
      </c>
      <c r="I32" s="278"/>
      <c r="J32" s="3750">
        <f>SUMIF(91:91,I32,92:92)-SUMIF(91:91,C32,92:92)+100</f>
        <v>100</v>
      </c>
      <c r="K32" s="395"/>
      <c r="L32" s="1979"/>
      <c r="M32" s="1974"/>
      <c r="N32" s="1974"/>
      <c r="O32" s="2029"/>
      <c r="P32" s="4560" t="s">
        <v>1603</v>
      </c>
      <c r="Q32" s="906">
        <f t="shared" si="11"/>
        <v>111</v>
      </c>
      <c r="R32" s="3766" t="s">
        <v>13</v>
      </c>
      <c r="S32" s="3769">
        <f t="shared" si="12"/>
        <v>100</v>
      </c>
      <c r="T32" s="3766" t="s">
        <v>13</v>
      </c>
      <c r="U32" s="3769">
        <f t="shared" si="13"/>
        <v>100</v>
      </c>
      <c r="V32" s="3766" t="s">
        <v>13</v>
      </c>
      <c r="W32" s="3769">
        <f t="shared" si="14"/>
        <v>100</v>
      </c>
      <c r="X32" s="909"/>
      <c r="Y32" s="4560" t="s">
        <v>1603</v>
      </c>
      <c r="Z32" s="907">
        <f t="shared" si="15"/>
        <v>111</v>
      </c>
      <c r="AA32" s="907">
        <f t="shared" si="3"/>
        <v>1</v>
      </c>
      <c r="AB32" s="907">
        <f t="shared" si="4"/>
        <v>1</v>
      </c>
      <c r="AC32" s="907">
        <f t="shared" si="5"/>
        <v>1</v>
      </c>
    </row>
    <row r="33" spans="1:30" ht="15">
      <c r="A33" s="280"/>
      <c r="B33" s="310">
        <v>111</v>
      </c>
      <c r="C33" s="258"/>
      <c r="D33" s="2901">
        <v>100</v>
      </c>
      <c r="E33" s="278"/>
      <c r="F33" s="908">
        <f>SUMIF(93:93,E33,94:94)-SUMIF(93:93,C33,94:94)+100</f>
        <v>100</v>
      </c>
      <c r="G33" s="278"/>
      <c r="H33" s="3750">
        <f>SUMIF(93:93,G33,94:94)-SUMIF(93:93,C33,94:94)+100</f>
        <v>100</v>
      </c>
      <c r="I33" s="278"/>
      <c r="J33" s="3750">
        <f>SUMIF(93:93,I33,94:94)-SUMIF(93:93,C33,94:94)+100</f>
        <v>100</v>
      </c>
      <c r="K33" s="395"/>
      <c r="L33" s="1979"/>
      <c r="M33" s="1974"/>
      <c r="N33" s="1974"/>
      <c r="O33" s="2029"/>
      <c r="P33" s="4560"/>
      <c r="Q33" s="906">
        <f t="shared" si="11"/>
        <v>111</v>
      </c>
      <c r="R33" s="3766" t="s">
        <v>13</v>
      </c>
      <c r="S33" s="3769">
        <f t="shared" si="12"/>
        <v>100</v>
      </c>
      <c r="T33" s="3766" t="s">
        <v>13</v>
      </c>
      <c r="U33" s="3769">
        <f t="shared" si="13"/>
        <v>100</v>
      </c>
      <c r="V33" s="3766" t="s">
        <v>13</v>
      </c>
      <c r="W33" s="3769">
        <f t="shared" si="14"/>
        <v>100</v>
      </c>
      <c r="X33" s="909"/>
      <c r="Y33" s="4560"/>
      <c r="Z33" s="907">
        <f t="shared" si="15"/>
        <v>111</v>
      </c>
      <c r="AA33" s="907">
        <f t="shared" si="3"/>
        <v>1</v>
      </c>
      <c r="AB33" s="907">
        <f t="shared" si="4"/>
        <v>1</v>
      </c>
      <c r="AC33" s="907">
        <f t="shared" si="5"/>
        <v>1</v>
      </c>
    </row>
    <row r="34" spans="1:30" ht="15.75" thickBot="1">
      <c r="A34" s="285"/>
      <c r="B34" s="1361">
        <v>111</v>
      </c>
      <c r="C34" s="261"/>
      <c r="D34" s="2902">
        <v>100</v>
      </c>
      <c r="E34" s="1427"/>
      <c r="F34" s="3751">
        <f>SUMIF(95:95,E34,96:96)-SUMIF(95:95,C34,96:96)+100</f>
        <v>100</v>
      </c>
      <c r="G34" s="1427"/>
      <c r="H34" s="3747">
        <f>SUMIF(95:95,G34,96:96)-SUMIF(95:95,C34,96:96)+100</f>
        <v>100</v>
      </c>
      <c r="I34" s="1427"/>
      <c r="J34" s="3747">
        <f>SUMIF(95:95,I34,96:96)-SUMIF(95:95,C34,96:96)+100</f>
        <v>100</v>
      </c>
      <c r="K34" s="395"/>
      <c r="L34" s="1979"/>
      <c r="M34" s="1974"/>
      <c r="N34" s="1974"/>
      <c r="O34" s="2029"/>
      <c r="P34" s="4560"/>
      <c r="Q34" s="906">
        <f t="shared" si="11"/>
        <v>111</v>
      </c>
      <c r="R34" s="3766" t="s">
        <v>13</v>
      </c>
      <c r="S34" s="3769">
        <f t="shared" si="12"/>
        <v>100</v>
      </c>
      <c r="T34" s="3766" t="s">
        <v>13</v>
      </c>
      <c r="U34" s="3769">
        <f t="shared" si="13"/>
        <v>100</v>
      </c>
      <c r="V34" s="3766" t="s">
        <v>13</v>
      </c>
      <c r="W34" s="3769">
        <f t="shared" si="14"/>
        <v>100</v>
      </c>
      <c r="X34" s="909"/>
      <c r="Y34" s="4560"/>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1"/>
      <c r="L35" s="1981"/>
      <c r="M35" s="1974"/>
      <c r="N35" s="1974"/>
      <c r="O35" s="1974"/>
      <c r="P35" s="4635" t="str">
        <f>A35</f>
        <v>成交单价（元/平方米）</v>
      </c>
      <c r="Q35" s="4635"/>
      <c r="R35" s="4625">
        <f>E35</f>
        <v>0</v>
      </c>
      <c r="S35" s="4625"/>
      <c r="T35" s="4625">
        <f>G35</f>
        <v>0</v>
      </c>
      <c r="U35" s="4625"/>
      <c r="V35" s="4625">
        <f>I35</f>
        <v>0</v>
      </c>
      <c r="W35" s="4625"/>
      <c r="X35" s="265"/>
      <c r="Y35" s="486"/>
      <c r="Z35" s="265"/>
      <c r="AA35" s="265"/>
      <c r="AB35" s="265"/>
      <c r="AC35" s="265"/>
    </row>
    <row r="36" spans="1:30" ht="15.75" thickBot="1">
      <c r="A36" s="289" t="s">
        <v>1700</v>
      </c>
      <c r="B36" s="290"/>
      <c r="C36" s="3732" t="e">
        <f>R37</f>
        <v>#DIV/0!</v>
      </c>
      <c r="D36" s="3845" t="s">
        <v>2042</v>
      </c>
      <c r="E36" s="3743" t="e">
        <f>R36</f>
        <v>#DIV/0!</v>
      </c>
      <c r="F36" s="2800"/>
      <c r="G36" s="3732" t="e">
        <f>T36</f>
        <v>#DIV/0!</v>
      </c>
      <c r="H36" s="2800"/>
      <c r="I36" s="3743" t="e">
        <f>V36</f>
        <v>#DIV/0!</v>
      </c>
      <c r="J36" s="2800"/>
      <c r="K36" s="2854">
        <f>F36+H36+J36</f>
        <v>0</v>
      </c>
      <c r="L36" s="1981"/>
      <c r="M36" s="1974"/>
      <c r="N36" s="1974"/>
      <c r="O36" s="1974"/>
      <c r="P36" s="4635" t="str">
        <f>A36</f>
        <v>比较价值（元/平方米）</v>
      </c>
      <c r="Q36" s="4635"/>
      <c r="R36" s="4625" t="e">
        <f>IF(F1="售价",ROUND(PRODUCT(R35,AA7:AA34),0),ROUND(PRODUCT(R35,AA7:AA34),1))</f>
        <v>#DIV/0!</v>
      </c>
      <c r="S36" s="4625"/>
      <c r="T36" s="4625" t="e">
        <f>IF(F1="售价",ROUND(PRODUCT(T35,AB7:AB34),0),ROUND(PRODUCT(T35,AB7:AB34),1))</f>
        <v>#DIV/0!</v>
      </c>
      <c r="U36" s="4625"/>
      <c r="V36" s="4625" t="e">
        <f>IF(F1="售价",ROUND(PRODUCT(V35,AC7:AC34),0),ROUND(PRODUCT(V35,AC7:AC34),1))</f>
        <v>#DIV/0!</v>
      </c>
      <c r="W36" s="4625"/>
      <c r="X36" s="265"/>
      <c r="Y36" s="265"/>
      <c r="Z36" s="265"/>
      <c r="AA36" s="265"/>
      <c r="AB36" s="265"/>
      <c r="AC36" s="265"/>
    </row>
    <row r="37" spans="1:30" ht="15.75" thickBot="1">
      <c r="A37" s="291" t="s">
        <v>1701</v>
      </c>
      <c r="B37" s="292"/>
      <c r="C37" s="3744" t="e">
        <f>R37</f>
        <v>#DIV/0!</v>
      </c>
      <c r="D37" s="241"/>
      <c r="E37" s="241"/>
      <c r="F37" s="241"/>
      <c r="G37" s="241"/>
      <c r="H37" s="241"/>
      <c r="I37" s="241"/>
      <c r="J37" s="241"/>
      <c r="K37" s="487"/>
      <c r="L37" s="1981"/>
      <c r="M37" s="1974"/>
      <c r="N37" s="1974"/>
      <c r="O37" s="1974"/>
      <c r="P37" s="4644" t="str">
        <f>A37</f>
        <v>估价对象XX用房的比较价值（楼面单价，元/平方米）</v>
      </c>
      <c r="Q37" s="4645"/>
      <c r="R37" s="4646" t="e">
        <f>IF(F1="售价",ROUND(IF(D36="简单平均",AVERAGE(R36:W36),R36*F36+T36*H36+V36*J36),0),ROUND(IF(D36="简单平均",AVERAGE(R36:V36),R36*F36+T36*H36+V36*J36),1))</f>
        <v>#DIV/0!</v>
      </c>
      <c r="S37" s="4646"/>
      <c r="T37" s="4646"/>
      <c r="U37" s="4646"/>
      <c r="V37" s="4646"/>
      <c r="W37" s="4646"/>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3875</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IF(B48="单位面积地价",C50,ROUND(B2*10000/'数据-汇总表'!D3,0))</f>
        <v>#DIV/0!</v>
      </c>
      <c r="C4" s="1336" t="s">
        <v>3632</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5">
      <c r="A6" s="235" t="s">
        <v>1676</v>
      </c>
      <c r="B6" s="236"/>
      <c r="C6" s="4611" t="s">
        <v>1677</v>
      </c>
      <c r="D6" s="4612"/>
      <c r="E6" s="4613" t="s">
        <v>1678</v>
      </c>
      <c r="F6" s="4614"/>
      <c r="G6" s="4611" t="s">
        <v>1679</v>
      </c>
      <c r="H6" s="4612"/>
      <c r="I6" s="4611" t="s">
        <v>1680</v>
      </c>
      <c r="J6" s="4612"/>
      <c r="K6" s="2862" t="s">
        <v>1681</v>
      </c>
      <c r="L6" s="1973"/>
      <c r="M6" s="1974"/>
      <c r="N6" s="1974"/>
      <c r="O6" s="1974"/>
      <c r="P6" s="4615" t="s">
        <v>1682</v>
      </c>
      <c r="Q6" s="4616"/>
      <c r="R6" s="4601" t="s">
        <v>1678</v>
      </c>
      <c r="S6" s="4602"/>
      <c r="T6" s="4601" t="s">
        <v>1679</v>
      </c>
      <c r="U6" s="4602"/>
      <c r="V6" s="4543" t="s">
        <v>1680</v>
      </c>
      <c r="W6" s="4543"/>
      <c r="X6" s="909"/>
      <c r="Y6" s="4620" t="s">
        <v>1682</v>
      </c>
      <c r="Z6" s="4621"/>
      <c r="AA6" s="4600" t="s">
        <v>1678</v>
      </c>
      <c r="AB6" s="4510" t="s">
        <v>1679</v>
      </c>
      <c r="AC6" s="4600" t="s">
        <v>1680</v>
      </c>
    </row>
    <row r="7" spans="1:29" ht="15">
      <c r="A7" s="238"/>
      <c r="B7" s="239"/>
      <c r="C7" s="4605" t="s">
        <v>1580</v>
      </c>
      <c r="D7" s="4606"/>
      <c r="E7" s="4603" t="s">
        <v>1581</v>
      </c>
      <c r="F7" s="4604"/>
      <c r="G7" s="4605" t="s">
        <v>1582</v>
      </c>
      <c r="H7" s="4606"/>
      <c r="I7" s="4605" t="s">
        <v>1583</v>
      </c>
      <c r="J7" s="4606"/>
      <c r="K7" s="2862"/>
      <c r="L7" s="1973"/>
      <c r="M7" s="1974"/>
      <c r="N7" s="1974"/>
      <c r="O7" s="1974"/>
      <c r="P7" s="4617"/>
      <c r="Q7" s="4537"/>
      <c r="R7" s="4516"/>
      <c r="S7" s="4517"/>
      <c r="T7" s="4516"/>
      <c r="U7" s="4517"/>
      <c r="V7" s="4543"/>
      <c r="W7" s="4543"/>
      <c r="X7" s="909"/>
      <c r="Y7" s="4548"/>
      <c r="Z7" s="4549"/>
      <c r="AA7" s="4510"/>
      <c r="AB7" s="4510"/>
      <c r="AC7" s="4510"/>
    </row>
    <row r="8" spans="1:29" ht="15.75" thickBot="1">
      <c r="A8" s="240"/>
      <c r="B8" s="241"/>
      <c r="C8" s="4607" t="s">
        <v>1584</v>
      </c>
      <c r="D8" s="4608"/>
      <c r="E8" s="4609" t="s">
        <v>1584</v>
      </c>
      <c r="F8" s="4610"/>
      <c r="G8" s="4607" t="s">
        <v>1584</v>
      </c>
      <c r="H8" s="4608"/>
      <c r="I8" s="4607" t="s">
        <v>1584</v>
      </c>
      <c r="J8" s="4608"/>
      <c r="K8" s="2862" t="s">
        <v>1585</v>
      </c>
      <c r="L8" s="1973"/>
      <c r="M8" s="1974"/>
      <c r="N8" s="1974"/>
      <c r="O8" s="1974"/>
      <c r="P8" s="4618"/>
      <c r="Q8" s="4539"/>
      <c r="R8" s="4516"/>
      <c r="S8" s="4517"/>
      <c r="T8" s="4540"/>
      <c r="U8" s="4541"/>
      <c r="V8" s="4543"/>
      <c r="W8" s="4543"/>
      <c r="X8" s="909"/>
      <c r="Y8" s="4550"/>
      <c r="Z8" s="4551"/>
      <c r="AA8" s="4511"/>
      <c r="AB8" s="4511"/>
      <c r="AC8" s="4511"/>
    </row>
    <row r="9" spans="1:29" s="46" customFormat="1" ht="15.75" thickBot="1">
      <c r="A9" s="3088" t="s">
        <v>1586</v>
      </c>
      <c r="B9" s="3089"/>
      <c r="C9" s="2810">
        <f>'数据-取费表'!B2</f>
        <v>46097</v>
      </c>
      <c r="D9" s="2885">
        <v>100</v>
      </c>
      <c r="E9" s="2839"/>
      <c r="F9" s="3716">
        <f>SUMIF(71:71,YEAR(E9)&amp;"-"&amp;INT((MONTH(E9)+2)/3),72:72)</f>
        <v>0</v>
      </c>
      <c r="G9" s="3119"/>
      <c r="H9" s="3728">
        <f>SUMIF(71:71,YEAR(G9)&amp;"-"&amp;INT((MONTH(G9)+2)/3),72:72)</f>
        <v>0</v>
      </c>
      <c r="I9" s="3119"/>
      <c r="J9" s="3728">
        <f>SUMIF(71:71,YEAR(I9)&amp;"-"&amp;INT((MONTH(I9)+2)/3),72:72)</f>
        <v>0</v>
      </c>
      <c r="K9" s="3123"/>
      <c r="L9" s="1975"/>
      <c r="M9" s="1928"/>
      <c r="N9" s="1928"/>
      <c r="O9" s="1928"/>
      <c r="P9" s="4619" t="s">
        <v>1587</v>
      </c>
      <c r="Q9" s="4552"/>
      <c r="R9" s="3758" t="s">
        <v>13</v>
      </c>
      <c r="S9" s="3541">
        <f t="shared" ref="S9:S17" si="0">F9</f>
        <v>0</v>
      </c>
      <c r="T9" s="3758" t="s">
        <v>13</v>
      </c>
      <c r="U9" s="3541">
        <f t="shared" ref="U9:U17" si="1">H9</f>
        <v>0</v>
      </c>
      <c r="V9" s="3758" t="s">
        <v>13</v>
      </c>
      <c r="W9" s="3541">
        <f t="shared" ref="W9:W17" si="2">J9</f>
        <v>0</v>
      </c>
      <c r="X9" s="482"/>
      <c r="Y9" s="4512" t="s">
        <v>1587</v>
      </c>
      <c r="Z9" s="4513"/>
      <c r="AA9" s="28" t="e">
        <f>D9/F9</f>
        <v>#DIV/0!</v>
      </c>
      <c r="AB9" s="28" t="e">
        <f>D9/H9</f>
        <v>#DIV/0!</v>
      </c>
      <c r="AC9" s="28" t="e">
        <f>D9/J9</f>
        <v>#DIV/0!</v>
      </c>
    </row>
    <row r="10" spans="1:29" s="46" customFormat="1" ht="15.75" thickBot="1">
      <c r="A10" s="3088" t="s">
        <v>1588</v>
      </c>
      <c r="B10" s="3089"/>
      <c r="C10" s="2811"/>
      <c r="D10" s="2885">
        <v>100</v>
      </c>
      <c r="E10" s="2811"/>
      <c r="F10" s="3716">
        <f>SUMIF(74:74,E10,75:75)-SUMIF(74:74,C10,75:75)+100</f>
        <v>100</v>
      </c>
      <c r="G10" s="2811"/>
      <c r="H10" s="3728">
        <f>SUMIF(74:74,G10,75:75)-SUMIF(74:74,C10,75:75)+100</f>
        <v>100</v>
      </c>
      <c r="I10" s="2811"/>
      <c r="J10" s="3728">
        <f>SUMIF(74:74,I10,75:75)-SUMIF(74:74,C10,75:75)+100</f>
        <v>100</v>
      </c>
      <c r="K10" s="3123"/>
      <c r="L10" s="1975"/>
      <c r="M10" s="1928"/>
      <c r="N10" s="1928"/>
      <c r="O10" s="1928"/>
      <c r="P10" s="4619" t="s">
        <v>1590</v>
      </c>
      <c r="Q10" s="4545"/>
      <c r="R10" s="3758" t="s">
        <v>13</v>
      </c>
      <c r="S10" s="3541">
        <f t="shared" si="0"/>
        <v>100</v>
      </c>
      <c r="T10" s="3758" t="s">
        <v>13</v>
      </c>
      <c r="U10" s="3541">
        <f t="shared" si="1"/>
        <v>100</v>
      </c>
      <c r="V10" s="3758" t="s">
        <v>13</v>
      </c>
      <c r="W10" s="3541">
        <f t="shared" si="2"/>
        <v>100</v>
      </c>
      <c r="X10" s="482"/>
      <c r="Y10" s="4512" t="s">
        <v>1590</v>
      </c>
      <c r="Z10" s="4513"/>
      <c r="AA10" s="28">
        <f t="shared" ref="AA10:AA47" si="3">D10/F10</f>
        <v>1</v>
      </c>
      <c r="AB10" s="28">
        <f t="shared" ref="AB10:AB47" si="4">D10/H10</f>
        <v>1</v>
      </c>
      <c r="AC10" s="28">
        <f t="shared" ref="AC10:AC47" si="5">D10/J10</f>
        <v>1</v>
      </c>
    </row>
    <row r="11" spans="1:29" s="46" customFormat="1">
      <c r="A11" s="3028" t="s">
        <v>1591</v>
      </c>
      <c r="B11" s="2791" t="s">
        <v>1592</v>
      </c>
      <c r="C11" s="3090"/>
      <c r="D11" s="2886">
        <v>100</v>
      </c>
      <c r="E11" s="3090"/>
      <c r="F11" s="3729">
        <f>SUMIF(76:76,E11,77:77)-SUMIF(76:76,C11,77:77)+100</f>
        <v>100</v>
      </c>
      <c r="G11" s="3090"/>
      <c r="H11" s="3729">
        <f>SUMIF(76:76,G11,77:77)-SUMIF(76:76,C11,77:77)+100</f>
        <v>100</v>
      </c>
      <c r="I11" s="3090"/>
      <c r="J11" s="3729">
        <f>SUMIF(76:76,I11,77:77)-SUMIF(76:76,C11,77:77)+100</f>
        <v>100</v>
      </c>
      <c r="K11" s="3123"/>
      <c r="L11" s="1975"/>
      <c r="M11" s="1928"/>
      <c r="N11" s="1928"/>
      <c r="O11" s="2027"/>
      <c r="P11" s="4562" t="s">
        <v>1593</v>
      </c>
      <c r="Q11" s="1697" t="str">
        <f t="shared" ref="Q11:Q17" si="6">B11</f>
        <v>用途</v>
      </c>
      <c r="R11" s="3758" t="s">
        <v>13</v>
      </c>
      <c r="S11" s="3541">
        <f t="shared" si="0"/>
        <v>100</v>
      </c>
      <c r="T11" s="3758" t="s">
        <v>13</v>
      </c>
      <c r="U11" s="3541">
        <f t="shared" si="1"/>
        <v>100</v>
      </c>
      <c r="V11" s="3758" t="s">
        <v>13</v>
      </c>
      <c r="W11" s="3541">
        <f t="shared" si="2"/>
        <v>100</v>
      </c>
      <c r="X11" s="482"/>
      <c r="Y11" s="4526"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65"/>
      <c r="F12" s="3730">
        <f>ROUND(100/'数据-取费表'!G16,1)</f>
        <v>108.2</v>
      </c>
      <c r="G12" s="2871"/>
      <c r="H12" s="3730">
        <f>ROUND(100/'数据-取费表'!G16,1)</f>
        <v>108.2</v>
      </c>
      <c r="I12" s="2871"/>
      <c r="J12" s="3730">
        <f>ROUND(100/'数据-取费表'!G16,1)</f>
        <v>108.2</v>
      </c>
      <c r="K12" s="3124"/>
      <c r="L12" s="1976"/>
      <c r="M12" s="1977"/>
      <c r="N12" s="1977"/>
      <c r="O12" s="2028"/>
      <c r="P12" s="4562"/>
      <c r="Q12" s="1697" t="str">
        <f t="shared" si="6"/>
        <v>土地使用年限（年）</v>
      </c>
      <c r="R12" s="3758" t="s">
        <v>13</v>
      </c>
      <c r="S12" s="3541">
        <f t="shared" si="0"/>
        <v>108.2</v>
      </c>
      <c r="T12" s="3758" t="s">
        <v>13</v>
      </c>
      <c r="U12" s="3541">
        <f t="shared" si="1"/>
        <v>108.2</v>
      </c>
      <c r="V12" s="3758" t="s">
        <v>13</v>
      </c>
      <c r="W12" s="3541">
        <f t="shared" si="2"/>
        <v>108.2</v>
      </c>
      <c r="X12" s="482"/>
      <c r="Y12" s="4526"/>
      <c r="Z12" s="28" t="str">
        <f t="shared" si="7"/>
        <v>土地使用年限（年）</v>
      </c>
      <c r="AA12" s="28">
        <f t="shared" si="3"/>
        <v>0.92421441774491675</v>
      </c>
      <c r="AB12" s="28">
        <f t="shared" si="4"/>
        <v>0.92421441774491675</v>
      </c>
      <c r="AC12" s="28">
        <f t="shared" si="5"/>
        <v>0.92421441774491675</v>
      </c>
    </row>
    <row r="13" spans="1:29" ht="15">
      <c r="A13" s="3092"/>
      <c r="B13" s="2788" t="s">
        <v>1596</v>
      </c>
      <c r="C13" s="2814"/>
      <c r="D13" s="2887">
        <v>100</v>
      </c>
      <c r="E13" s="2814"/>
      <c r="F13" s="3730">
        <f>LOOKUP(E13,81:81,82:82)-LOOKUP(C13,81:81,82:82)+100</f>
        <v>100</v>
      </c>
      <c r="G13" s="2842"/>
      <c r="H13" s="3730">
        <f>LOOKUP(G13,81:81,82:82)-LOOKUP(C13,81:81,82:82)+100</f>
        <v>100</v>
      </c>
      <c r="I13" s="2814"/>
      <c r="J13" s="3730">
        <f>LOOKUP(I13,81:81,82:82)-LOOKUP(C13,81:81,82:82)+100</f>
        <v>100</v>
      </c>
      <c r="K13" s="3148"/>
      <c r="L13" s="1978"/>
      <c r="M13" s="1974"/>
      <c r="N13" s="1974"/>
      <c r="O13" s="2029"/>
      <c r="P13" s="4562"/>
      <c r="Q13" s="1697" t="str">
        <f t="shared" si="6"/>
        <v>容积率</v>
      </c>
      <c r="R13" s="3758" t="s">
        <v>13</v>
      </c>
      <c r="S13" s="3541">
        <f t="shared" si="0"/>
        <v>100</v>
      </c>
      <c r="T13" s="3758" t="s">
        <v>13</v>
      </c>
      <c r="U13" s="3541">
        <f t="shared" si="1"/>
        <v>100</v>
      </c>
      <c r="V13" s="3758" t="s">
        <v>13</v>
      </c>
      <c r="W13" s="3541">
        <f t="shared" si="2"/>
        <v>100</v>
      </c>
      <c r="X13" s="482"/>
      <c r="Y13" s="4526"/>
      <c r="Z13" s="28" t="str">
        <f t="shared" si="7"/>
        <v>容积率</v>
      </c>
      <c r="AA13" s="28">
        <f t="shared" si="3"/>
        <v>1</v>
      </c>
      <c r="AB13" s="28">
        <f t="shared" si="4"/>
        <v>1</v>
      </c>
      <c r="AC13" s="28">
        <f t="shared" si="5"/>
        <v>1</v>
      </c>
    </row>
    <row r="14" spans="1:29" s="46" customFormat="1" ht="15">
      <c r="A14" s="3093"/>
      <c r="B14" s="2792" t="s">
        <v>1777</v>
      </c>
      <c r="C14" s="2815"/>
      <c r="D14" s="2888">
        <v>100</v>
      </c>
      <c r="E14" s="2865"/>
      <c r="F14" s="3730">
        <f>SUMIF(83:83,E14,84:84)-SUMIF(83:83,C14,84:84)+100</f>
        <v>100</v>
      </c>
      <c r="G14" s="2871"/>
      <c r="H14" s="3730">
        <f>SUMIF(83:83,G14,84:84)-SUMIF(83:83,C14,84:84)+100</f>
        <v>100</v>
      </c>
      <c r="I14" s="2865"/>
      <c r="J14" s="3730">
        <f>SUMIF(83:83,I14,84:84)-SUMIF(83:83,C14,84:84)+100</f>
        <v>100</v>
      </c>
      <c r="K14" s="3149"/>
      <c r="L14" s="1975"/>
      <c r="M14" s="1928"/>
      <c r="N14" s="1928"/>
      <c r="O14" s="2027"/>
      <c r="P14" s="4562"/>
      <c r="Q14" s="1697" t="str">
        <f t="shared" si="6"/>
        <v>配建</v>
      </c>
      <c r="R14" s="3758" t="s">
        <v>13</v>
      </c>
      <c r="S14" s="3541">
        <f t="shared" si="0"/>
        <v>100</v>
      </c>
      <c r="T14" s="3758" t="s">
        <v>13</v>
      </c>
      <c r="U14" s="3541">
        <f t="shared" si="1"/>
        <v>100</v>
      </c>
      <c r="V14" s="3758" t="s">
        <v>13</v>
      </c>
      <c r="W14" s="3541">
        <f t="shared" si="2"/>
        <v>100</v>
      </c>
      <c r="X14" s="482"/>
      <c r="Y14" s="4526"/>
      <c r="Z14" s="28" t="str">
        <f t="shared" si="7"/>
        <v>配建</v>
      </c>
      <c r="AA14" s="28">
        <f>D14/F14</f>
        <v>1</v>
      </c>
      <c r="AB14" s="28">
        <f>D14/H14</f>
        <v>1</v>
      </c>
      <c r="AC14" s="28">
        <f>D14/J14</f>
        <v>1</v>
      </c>
    </row>
    <row r="15" spans="1:29" ht="15">
      <c r="A15" s="3092"/>
      <c r="B15" s="2792">
        <v>111</v>
      </c>
      <c r="C15" s="2816"/>
      <c r="D15" s="2889">
        <v>100</v>
      </c>
      <c r="E15" s="3114"/>
      <c r="F15" s="3730">
        <f>SUMIF(85:85,E15,86:86)-SUMIF(85:85,C15,86:86)+100</f>
        <v>100</v>
      </c>
      <c r="G15" s="3100"/>
      <c r="H15" s="3724">
        <f>SUMIF(85:85,G15,86:86)-SUMIF(85:85,C15,86:86)+100</f>
        <v>100</v>
      </c>
      <c r="I15" s="3100"/>
      <c r="J15" s="3724">
        <f>SUMIF(85:85,I15,86:86)-SUMIF(85:85,C15,86:86)+100</f>
        <v>100</v>
      </c>
      <c r="K15" s="3149"/>
      <c r="L15" s="1979"/>
      <c r="M15" s="1974"/>
      <c r="N15" s="1974"/>
      <c r="O15" s="2029"/>
      <c r="P15" s="4562"/>
      <c r="Q15" s="1697">
        <f t="shared" si="6"/>
        <v>111</v>
      </c>
      <c r="R15" s="3758" t="s">
        <v>13</v>
      </c>
      <c r="S15" s="3541">
        <f t="shared" si="0"/>
        <v>100</v>
      </c>
      <c r="T15" s="3758" t="s">
        <v>13</v>
      </c>
      <c r="U15" s="3541">
        <f t="shared" si="1"/>
        <v>100</v>
      </c>
      <c r="V15" s="3758" t="s">
        <v>13</v>
      </c>
      <c r="W15" s="3541">
        <f t="shared" si="2"/>
        <v>100</v>
      </c>
      <c r="X15" s="482"/>
      <c r="Y15" s="4526"/>
      <c r="Z15" s="28">
        <f t="shared" si="7"/>
        <v>111</v>
      </c>
      <c r="AA15" s="28">
        <f>D15/F15</f>
        <v>1</v>
      </c>
      <c r="AB15" s="28">
        <f>D15/H15</f>
        <v>1</v>
      </c>
      <c r="AC15" s="28">
        <f>D15/J15</f>
        <v>1</v>
      </c>
    </row>
    <row r="16" spans="1:29" ht="15.75" thickBot="1">
      <c r="A16" s="3094"/>
      <c r="B16" s="2793">
        <v>111</v>
      </c>
      <c r="C16" s="2817"/>
      <c r="D16" s="2890">
        <v>100</v>
      </c>
      <c r="E16" s="3114"/>
      <c r="F16" s="3726">
        <f>SUMIF(87:87,E16,88:88)-SUMIF(87:87,C16,88:88)+100</f>
        <v>100</v>
      </c>
      <c r="G16" s="3100"/>
      <c r="H16" s="3726">
        <f>SUMIF(87:87,G16,88:88)-SUMIF(87:87,C16,88:88)+100</f>
        <v>100</v>
      </c>
      <c r="I16" s="3100"/>
      <c r="J16" s="3726">
        <f>SUMIF(87:87,I16,88:88)-SUMIF(87:87,C16,88:88)+100</f>
        <v>100</v>
      </c>
      <c r="K16" s="3149"/>
      <c r="L16" s="1979"/>
      <c r="M16" s="1974"/>
      <c r="N16" s="1974"/>
      <c r="O16" s="2029"/>
      <c r="P16" s="4562"/>
      <c r="Q16" s="1697">
        <f t="shared" si="6"/>
        <v>111</v>
      </c>
      <c r="R16" s="3758" t="s">
        <v>13</v>
      </c>
      <c r="S16" s="3541">
        <f t="shared" si="0"/>
        <v>100</v>
      </c>
      <c r="T16" s="3758" t="s">
        <v>13</v>
      </c>
      <c r="U16" s="3541">
        <f t="shared" si="1"/>
        <v>100</v>
      </c>
      <c r="V16" s="3758" t="s">
        <v>13</v>
      </c>
      <c r="W16" s="3541">
        <f t="shared" si="2"/>
        <v>100</v>
      </c>
      <c r="X16" s="482"/>
      <c r="Y16" s="4526"/>
      <c r="Z16" s="28">
        <f t="shared" si="7"/>
        <v>111</v>
      </c>
      <c r="AA16" s="28">
        <f>D16/F16</f>
        <v>1</v>
      </c>
      <c r="AB16" s="28">
        <f>D16/H16</f>
        <v>1</v>
      </c>
      <c r="AC16" s="28">
        <f>D16/J16</f>
        <v>1</v>
      </c>
    </row>
    <row r="17" spans="1:29" ht="85.5">
      <c r="A17" s="3095" t="s">
        <v>1597</v>
      </c>
      <c r="B17" s="2794" t="s">
        <v>1235</v>
      </c>
      <c r="C17" s="2818" t="str">
        <f>估价对象房地状况!C15</f>
        <v>估价对象周边居住用地比例、居住小区规模和社区发展完善程度，综合评价居住社区成熟度一般</v>
      </c>
      <c r="D17" s="2891">
        <v>100</v>
      </c>
      <c r="E17" s="2843"/>
      <c r="F17" s="3720">
        <f>SUMIF(89:89,E18,90:90)-SUMIF(89:89,C18,90:90)+100</f>
        <v>100</v>
      </c>
      <c r="G17" s="2843"/>
      <c r="H17" s="3720">
        <f>SUMIF(89:89,G18,90:90)-SUMIF(89:89,C18,90:90)+100</f>
        <v>100</v>
      </c>
      <c r="I17" s="2849"/>
      <c r="J17" s="3720">
        <f>SUMIF(89:89,I18,90:90)-SUMIF(89:89,C18,90:90)+100</f>
        <v>100</v>
      </c>
      <c r="K17" s="3148"/>
      <c r="L17" s="1979"/>
      <c r="M17" s="1974"/>
      <c r="N17" s="1974"/>
      <c r="O17" s="2029"/>
      <c r="P17" s="4630" t="s">
        <v>1598</v>
      </c>
      <c r="Q17" s="1506" t="str">
        <f t="shared" si="6"/>
        <v>居住社区成熟度</v>
      </c>
      <c r="R17" s="3759" t="s">
        <v>13</v>
      </c>
      <c r="S17" s="3761">
        <f t="shared" si="0"/>
        <v>100</v>
      </c>
      <c r="T17" s="3759" t="s">
        <v>13</v>
      </c>
      <c r="U17" s="3761">
        <f t="shared" si="1"/>
        <v>100</v>
      </c>
      <c r="V17" s="3759" t="s">
        <v>13</v>
      </c>
      <c r="W17" s="3761">
        <f t="shared" si="2"/>
        <v>100</v>
      </c>
      <c r="X17" s="909"/>
      <c r="Y17" s="4555" t="s">
        <v>1598</v>
      </c>
      <c r="Z17" s="907" t="str">
        <f t="shared" si="7"/>
        <v>居住社区成熟度</v>
      </c>
      <c r="AA17" s="907">
        <f t="shared" si="3"/>
        <v>1</v>
      </c>
      <c r="AB17" s="907">
        <f t="shared" si="4"/>
        <v>1</v>
      </c>
      <c r="AC17" s="907">
        <f t="shared" si="5"/>
        <v>1</v>
      </c>
    </row>
    <row r="18" spans="1:29" ht="15">
      <c r="A18" s="3092"/>
      <c r="B18" s="2795"/>
      <c r="C18" s="2819" t="s">
        <v>3611</v>
      </c>
      <c r="D18" s="2892"/>
      <c r="E18" s="2847" t="s">
        <v>3612</v>
      </c>
      <c r="F18" s="3721"/>
      <c r="G18" s="2847" t="s">
        <v>3611</v>
      </c>
      <c r="H18" s="3722"/>
      <c r="I18" s="2853" t="s">
        <v>3611</v>
      </c>
      <c r="J18" s="3721"/>
      <c r="K18" s="3149"/>
      <c r="L18" s="1979"/>
      <c r="M18" s="1974"/>
      <c r="N18" s="1974"/>
      <c r="O18" s="2029"/>
      <c r="P18" s="4631"/>
      <c r="Q18" s="1506"/>
      <c r="R18" s="3759"/>
      <c r="S18" s="3761"/>
      <c r="T18" s="3759"/>
      <c r="U18" s="3761"/>
      <c r="V18" s="3759"/>
      <c r="W18" s="3761"/>
      <c r="X18" s="909"/>
      <c r="Y18" s="4556"/>
      <c r="Z18" s="907"/>
      <c r="AA18" s="907">
        <v>1</v>
      </c>
      <c r="AB18" s="907">
        <v>1</v>
      </c>
      <c r="AC18" s="907">
        <v>1</v>
      </c>
    </row>
    <row r="19" spans="1:29" ht="57">
      <c r="A19" s="3092"/>
      <c r="B19" s="2796" t="s">
        <v>1684</v>
      </c>
      <c r="C19" s="2834" t="str">
        <f>估价对象房地状况!C16</f>
        <v>估价对象位于XX商圈，周边商业氛围成熟，人流量大，商业繁华度好</v>
      </c>
      <c r="D19" s="2893">
        <v>100</v>
      </c>
      <c r="E19" s="2844"/>
      <c r="F19" s="3722">
        <f>SUMIF(91:91,E20,92:92)-SUMIF(91:91,C20,92:92)+100</f>
        <v>100</v>
      </c>
      <c r="G19" s="2844"/>
      <c r="H19" s="3723">
        <f>SUMIF(91:91,G20,92:92)-SUMIF(91:91,C20,92:92)+100</f>
        <v>100</v>
      </c>
      <c r="I19" s="2850"/>
      <c r="J19" s="3723">
        <f>SUMIF(91:91,I20,92:92)-SUMIF(91:91,C20,92:92)+100</f>
        <v>100</v>
      </c>
      <c r="K19" s="3148"/>
      <c r="L19" s="1979"/>
      <c r="M19" s="1974"/>
      <c r="N19" s="1974"/>
      <c r="O19" s="2029"/>
      <c r="P19" s="4631"/>
      <c r="Q19" s="1506" t="str">
        <f>B19</f>
        <v>商业繁华度</v>
      </c>
      <c r="R19" s="3759" t="s">
        <v>13</v>
      </c>
      <c r="S19" s="3761">
        <f>F19</f>
        <v>100</v>
      </c>
      <c r="T19" s="3759" t="s">
        <v>13</v>
      </c>
      <c r="U19" s="3761">
        <f>H19</f>
        <v>100</v>
      </c>
      <c r="V19" s="3759" t="s">
        <v>13</v>
      </c>
      <c r="W19" s="3761">
        <f>J19</f>
        <v>100</v>
      </c>
      <c r="X19" s="909"/>
      <c r="Y19" s="4556"/>
      <c r="Z19" s="907" t="str">
        <f>Q19</f>
        <v>商业繁华度</v>
      </c>
      <c r="AA19" s="907">
        <f t="shared" si="3"/>
        <v>1</v>
      </c>
      <c r="AB19" s="907">
        <f t="shared" si="4"/>
        <v>1</v>
      </c>
      <c r="AC19" s="907">
        <f t="shared" si="5"/>
        <v>1</v>
      </c>
    </row>
    <row r="20" spans="1:29" ht="15">
      <c r="A20" s="3092"/>
      <c r="B20" s="2797"/>
      <c r="C20" s="2821"/>
      <c r="D20" s="2893"/>
      <c r="E20" s="2845"/>
      <c r="F20" s="3722"/>
      <c r="G20" s="2845"/>
      <c r="H20" s="3721"/>
      <c r="I20" s="2851"/>
      <c r="J20" s="3721"/>
      <c r="K20" s="3149"/>
      <c r="L20" s="1979"/>
      <c r="M20" s="1974"/>
      <c r="N20" s="1974"/>
      <c r="O20" s="2029"/>
      <c r="P20" s="4631"/>
      <c r="Q20" s="1506"/>
      <c r="R20" s="3759"/>
      <c r="S20" s="3761"/>
      <c r="T20" s="3759"/>
      <c r="U20" s="3761"/>
      <c r="V20" s="3759"/>
      <c r="W20" s="3761"/>
      <c r="X20" s="909"/>
      <c r="Y20" s="4556"/>
      <c r="Z20" s="907"/>
      <c r="AA20" s="907">
        <v>1</v>
      </c>
      <c r="AB20" s="907">
        <v>1</v>
      </c>
      <c r="AC20" s="907">
        <v>1</v>
      </c>
    </row>
    <row r="21" spans="1:29" ht="71.25">
      <c r="A21" s="3092"/>
      <c r="B21" s="2796" t="s">
        <v>1718</v>
      </c>
      <c r="C21" s="2834" t="str">
        <f>估价对象房地状况!C17</f>
        <v>估价对象位于XX商圈，周边办公楼项目较多，入驻率高，办公集聚程度较好</v>
      </c>
      <c r="D21" s="2894">
        <v>100</v>
      </c>
      <c r="E21" s="2846"/>
      <c r="F21" s="3723">
        <f>SUMIF(93:93,E22,94:94)-SUMIF(93:93,C22,94:94)+100</f>
        <v>100</v>
      </c>
      <c r="G21" s="2846"/>
      <c r="H21" s="3722">
        <f>SUMIF(93:93,G22,94:94)-SUMIF(93:93,C22,94:94)+100</f>
        <v>100</v>
      </c>
      <c r="I21" s="2852"/>
      <c r="J21" s="3722">
        <f>SUMIF(93:93,I22,94:94)-SUMIF(93:93,C22,94:94)+100</f>
        <v>100</v>
      </c>
      <c r="K21" s="3148"/>
      <c r="L21" s="1979"/>
      <c r="M21" s="1974"/>
      <c r="N21" s="1974"/>
      <c r="O21" s="2029"/>
      <c r="P21" s="4631"/>
      <c r="Q21" s="1506" t="str">
        <f>B21</f>
        <v>办公集聚程度</v>
      </c>
      <c r="R21" s="3759" t="s">
        <v>13</v>
      </c>
      <c r="S21" s="3761">
        <f>F21</f>
        <v>100</v>
      </c>
      <c r="T21" s="3759" t="s">
        <v>13</v>
      </c>
      <c r="U21" s="3761">
        <f>H21</f>
        <v>100</v>
      </c>
      <c r="V21" s="3759" t="s">
        <v>13</v>
      </c>
      <c r="W21" s="3761">
        <f>J21</f>
        <v>100</v>
      </c>
      <c r="X21" s="909"/>
      <c r="Y21" s="4556"/>
      <c r="Z21" s="907" t="str">
        <f>Q21</f>
        <v>办公集聚程度</v>
      </c>
      <c r="AA21" s="907">
        <f t="shared" si="3"/>
        <v>1</v>
      </c>
      <c r="AB21" s="907">
        <f t="shared" si="4"/>
        <v>1</v>
      </c>
      <c r="AC21" s="907">
        <f t="shared" si="5"/>
        <v>1</v>
      </c>
    </row>
    <row r="22" spans="1:29" ht="15">
      <c r="A22" s="3092"/>
      <c r="B22" s="2797"/>
      <c r="C22" s="2819"/>
      <c r="D22" s="2892"/>
      <c r="E22" s="2847"/>
      <c r="F22" s="3721"/>
      <c r="G22" s="2847"/>
      <c r="H22" s="3721"/>
      <c r="I22" s="2853"/>
      <c r="J22" s="3721"/>
      <c r="K22" s="3149"/>
      <c r="L22" s="1979"/>
      <c r="M22" s="1974"/>
      <c r="N22" s="1974"/>
      <c r="O22" s="2029"/>
      <c r="P22" s="4631"/>
      <c r="Q22" s="1506"/>
      <c r="R22" s="3759"/>
      <c r="S22" s="3761"/>
      <c r="T22" s="3759"/>
      <c r="U22" s="3761"/>
      <c r="V22" s="3759"/>
      <c r="W22" s="3761"/>
      <c r="X22" s="909"/>
      <c r="Y22" s="4556"/>
      <c r="Z22" s="907"/>
      <c r="AA22" s="907">
        <v>1</v>
      </c>
      <c r="AB22" s="907">
        <v>1</v>
      </c>
      <c r="AC22" s="907">
        <v>1</v>
      </c>
    </row>
    <row r="23" spans="1:29" ht="71.25">
      <c r="A23" s="3092"/>
      <c r="B23" s="2796" t="s">
        <v>1740</v>
      </c>
      <c r="C23" s="2820" t="str">
        <f>估价对象房地状况!C18</f>
        <v>估价对象周边道路状况、公共交通通达情况、停车便捷程度，综合评价交通便捷度较好</v>
      </c>
      <c r="D23" s="2893">
        <v>100</v>
      </c>
      <c r="E23" s="2844"/>
      <c r="F23" s="3723">
        <f>SUMIF(95:95,E24,96:96)-SUMIF(95:95,C24,96:96)+100</f>
        <v>100</v>
      </c>
      <c r="G23" s="2844"/>
      <c r="H23" s="3722">
        <f>SUMIF(95:95,G24,96:96)-SUMIF(95:95,C24,96:96)+100</f>
        <v>100</v>
      </c>
      <c r="I23" s="2850"/>
      <c r="J23" s="3722">
        <f>SUMIF(95:95,I24,96:96)-SUMIF(95:95,C24,96:96)+100</f>
        <v>100</v>
      </c>
      <c r="K23" s="3148"/>
      <c r="L23" s="1979"/>
      <c r="M23" s="1974"/>
      <c r="N23" s="1974"/>
      <c r="O23" s="2029"/>
      <c r="P23" s="4631"/>
      <c r="Q23" s="1506" t="str">
        <f>B23</f>
        <v>交通便捷度</v>
      </c>
      <c r="R23" s="3759" t="s">
        <v>13</v>
      </c>
      <c r="S23" s="3761">
        <f>F23</f>
        <v>100</v>
      </c>
      <c r="T23" s="3759" t="s">
        <v>13</v>
      </c>
      <c r="U23" s="3761">
        <f>H23</f>
        <v>100</v>
      </c>
      <c r="V23" s="3759" t="s">
        <v>13</v>
      </c>
      <c r="W23" s="3761">
        <f>J23</f>
        <v>100</v>
      </c>
      <c r="X23" s="909"/>
      <c r="Y23" s="4556"/>
      <c r="Z23" s="907" t="str">
        <f>Q23</f>
        <v>交通便捷度</v>
      </c>
      <c r="AA23" s="907">
        <f t="shared" si="3"/>
        <v>1</v>
      </c>
      <c r="AB23" s="907">
        <f t="shared" si="4"/>
        <v>1</v>
      </c>
      <c r="AC23" s="907">
        <f t="shared" si="5"/>
        <v>1</v>
      </c>
    </row>
    <row r="24" spans="1:29" ht="15">
      <c r="A24" s="3092"/>
      <c r="B24" s="2798"/>
      <c r="C24" s="2819" t="s">
        <v>3611</v>
      </c>
      <c r="D24" s="2893"/>
      <c r="E24" s="2847" t="s">
        <v>3612</v>
      </c>
      <c r="F24" s="3721"/>
      <c r="G24" s="2847" t="s">
        <v>3611</v>
      </c>
      <c r="H24" s="3721"/>
      <c r="I24" s="2853" t="s">
        <v>3611</v>
      </c>
      <c r="J24" s="3721"/>
      <c r="K24" s="3149"/>
      <c r="L24" s="1979"/>
      <c r="M24" s="1974"/>
      <c r="N24" s="1974"/>
      <c r="O24" s="2029"/>
      <c r="P24" s="4631"/>
      <c r="Q24" s="1506"/>
      <c r="R24" s="3759"/>
      <c r="S24" s="3761"/>
      <c r="T24" s="3759"/>
      <c r="U24" s="3761"/>
      <c r="V24" s="3759"/>
      <c r="W24" s="3761"/>
      <c r="X24" s="909"/>
      <c r="Y24" s="4556"/>
      <c r="Z24" s="907"/>
      <c r="AA24" s="907">
        <v>1</v>
      </c>
      <c r="AB24" s="907">
        <v>1</v>
      </c>
      <c r="AC24" s="907">
        <v>1</v>
      </c>
    </row>
    <row r="25" spans="1:29" ht="15">
      <c r="A25" s="3096"/>
      <c r="B25" s="2796" t="s">
        <v>1778</v>
      </c>
      <c r="C25" s="3097">
        <f>估价对象房地状况!C19</f>
        <v>0</v>
      </c>
      <c r="D25" s="2894">
        <v>100</v>
      </c>
      <c r="E25" s="2844"/>
      <c r="F25" s="3723">
        <f>SUMIF(97:97,E26,98:98)-SUMIF(97:97,C26,98:98)+100</f>
        <v>100</v>
      </c>
      <c r="G25" s="2850"/>
      <c r="H25" s="3723">
        <f>SUMIF(97:97,G26,98:98)-SUMIF(97:97,C26,98:98)+100</f>
        <v>100</v>
      </c>
      <c r="I25" s="2850"/>
      <c r="J25" s="3723">
        <f>SUMIF(97:97,I26,98:98)-SUMIF(97:97,C26,98:98)+100</f>
        <v>100</v>
      </c>
      <c r="K25" s="3148"/>
      <c r="L25" s="1979"/>
      <c r="M25" s="1974"/>
      <c r="N25" s="1974"/>
      <c r="O25" s="2029"/>
      <c r="P25" s="4631"/>
      <c r="Q25" s="1506" t="str">
        <f t="shared" ref="Q25:Q39" si="8">B25</f>
        <v>区域土地利用方向</v>
      </c>
      <c r="R25" s="3759" t="s">
        <v>13</v>
      </c>
      <c r="S25" s="3761">
        <f>F25</f>
        <v>100</v>
      </c>
      <c r="T25" s="3759" t="s">
        <v>13</v>
      </c>
      <c r="U25" s="3761">
        <f>H25</f>
        <v>100</v>
      </c>
      <c r="V25" s="3759" t="s">
        <v>13</v>
      </c>
      <c r="W25" s="3761">
        <f>J25</f>
        <v>100</v>
      </c>
      <c r="X25" s="909"/>
      <c r="Y25" s="4556"/>
      <c r="Z25" s="907" t="str">
        <f>Q25</f>
        <v>区域土地利用方向</v>
      </c>
      <c r="AA25" s="907">
        <f t="shared" si="3"/>
        <v>1</v>
      </c>
      <c r="AB25" s="907">
        <f t="shared" si="4"/>
        <v>1</v>
      </c>
      <c r="AC25" s="907">
        <f t="shared" si="5"/>
        <v>1</v>
      </c>
    </row>
    <row r="26" spans="1:29" ht="15">
      <c r="A26" s="3096"/>
      <c r="B26" s="2797"/>
      <c r="C26" s="2835"/>
      <c r="D26" s="2892"/>
      <c r="E26" s="2847"/>
      <c r="F26" s="3721"/>
      <c r="G26" s="2853"/>
      <c r="H26" s="3721"/>
      <c r="I26" s="2853"/>
      <c r="J26" s="3721"/>
      <c r="K26" s="3150"/>
      <c r="L26" s="1979"/>
      <c r="M26" s="1974"/>
      <c r="N26" s="1974"/>
      <c r="O26" s="2029"/>
      <c r="P26" s="4631"/>
      <c r="Q26" s="1506"/>
      <c r="R26" s="3759"/>
      <c r="S26" s="3761"/>
      <c r="T26" s="3759"/>
      <c r="U26" s="3761"/>
      <c r="V26" s="3759"/>
      <c r="W26" s="3761"/>
      <c r="X26" s="909"/>
      <c r="Y26" s="4556"/>
      <c r="Z26" s="907"/>
      <c r="AA26" s="907"/>
      <c r="AB26" s="907"/>
      <c r="AC26" s="907"/>
    </row>
    <row r="27" spans="1:29" ht="42.75">
      <c r="A27" s="3096"/>
      <c r="B27" s="2798" t="s">
        <v>1779</v>
      </c>
      <c r="C27" s="2834" t="str">
        <f>估价对象房地状况!C20</f>
        <v>区域自然环境：；人文环境；综合评价环境状况一般</v>
      </c>
      <c r="D27" s="2893">
        <v>100</v>
      </c>
      <c r="E27" s="2844"/>
      <c r="F27" s="3722">
        <f>SUMIF(99:99,E28,100:100)-SUMIF(99:99,C28,100:100)+100</f>
        <v>100</v>
      </c>
      <c r="G27" s="2844"/>
      <c r="H27" s="3722">
        <f>SUMIF(99:99,G28,100:100)-SUMIF(99:99,C28,100:100)+100</f>
        <v>100</v>
      </c>
      <c r="I27" s="2850"/>
      <c r="J27" s="3722">
        <f>SUMIF(99:99,I28,100:100)-SUMIF(99:99,C28,100:100)+100</f>
        <v>100</v>
      </c>
      <c r="K27" s="3148"/>
      <c r="L27" s="1979"/>
      <c r="M27" s="1974"/>
      <c r="N27" s="1974"/>
      <c r="O27" s="2029"/>
      <c r="P27" s="4631"/>
      <c r="Q27" s="1506" t="str">
        <f t="shared" si="8"/>
        <v>自然及人文环境状况</v>
      </c>
      <c r="R27" s="3759" t="s">
        <v>13</v>
      </c>
      <c r="S27" s="3761">
        <f>F27</f>
        <v>100</v>
      </c>
      <c r="T27" s="3759" t="s">
        <v>13</v>
      </c>
      <c r="U27" s="3761">
        <f>H27</f>
        <v>100</v>
      </c>
      <c r="V27" s="3759" t="s">
        <v>13</v>
      </c>
      <c r="W27" s="3761">
        <f>J27</f>
        <v>100</v>
      </c>
      <c r="X27" s="909"/>
      <c r="Y27" s="4556"/>
      <c r="Z27" s="907" t="str">
        <f>Q27</f>
        <v>自然及人文环境状况</v>
      </c>
      <c r="AA27" s="907">
        <f t="shared" si="3"/>
        <v>1</v>
      </c>
      <c r="AB27" s="907">
        <f t="shared" si="4"/>
        <v>1</v>
      </c>
      <c r="AC27" s="907">
        <f t="shared" si="5"/>
        <v>1</v>
      </c>
    </row>
    <row r="28" spans="1:29" ht="15">
      <c r="A28" s="3096"/>
      <c r="B28" s="2797"/>
      <c r="C28" s="2819"/>
      <c r="D28" s="2892"/>
      <c r="E28" s="2870"/>
      <c r="F28" s="3721"/>
      <c r="G28" s="2870"/>
      <c r="H28" s="3721"/>
      <c r="I28" s="2819"/>
      <c r="J28" s="3721"/>
      <c r="K28" s="3149"/>
      <c r="L28" s="1979"/>
      <c r="M28" s="1974"/>
      <c r="N28" s="1974"/>
      <c r="O28" s="2029"/>
      <c r="P28" s="4631"/>
      <c r="Q28" s="1506"/>
      <c r="R28" s="3759"/>
      <c r="S28" s="3761"/>
      <c r="T28" s="3759"/>
      <c r="U28" s="3761"/>
      <c r="V28" s="3759"/>
      <c r="W28" s="3761"/>
      <c r="X28" s="909"/>
      <c r="Y28" s="4556"/>
      <c r="Z28" s="907"/>
      <c r="AA28" s="907">
        <v>1</v>
      </c>
      <c r="AB28" s="907">
        <v>1</v>
      </c>
      <c r="AC28" s="907">
        <v>1</v>
      </c>
    </row>
    <row r="29" spans="1:29" s="46" customFormat="1" ht="42.75">
      <c r="A29" s="3098"/>
      <c r="B29" s="2798" t="s">
        <v>1685</v>
      </c>
      <c r="C29" s="2820" t="str">
        <f>估价对象房地状况!C21</f>
        <v>估价对象所在区域公共配套设施齐备情况</v>
      </c>
      <c r="D29" s="2893">
        <v>100</v>
      </c>
      <c r="E29" s="2844"/>
      <c r="F29" s="3722">
        <f>SUMIF(101:101,E30,102:102)-SUMIF(101:101,C30,102:102)+100</f>
        <v>100</v>
      </c>
      <c r="G29" s="2844"/>
      <c r="H29" s="3722">
        <f>SUMIF(101:101,G30,102:102)-SUMIF(101:101,C30,102:102)+100</f>
        <v>100</v>
      </c>
      <c r="I29" s="2850"/>
      <c r="J29" s="3722">
        <f>SUMIF(101:101,I30,102:102)-SUMIF(101:101,C30,102:102)+100</f>
        <v>100</v>
      </c>
      <c r="K29" s="3148"/>
      <c r="L29" s="1975"/>
      <c r="M29" s="1928"/>
      <c r="N29" s="1928"/>
      <c r="O29" s="2027"/>
      <c r="P29" s="4631"/>
      <c r="Q29" s="1697" t="str">
        <f t="shared" si="8"/>
        <v>公共配套设施</v>
      </c>
      <c r="R29" s="3758" t="s">
        <v>13</v>
      </c>
      <c r="S29" s="3541">
        <f>F29</f>
        <v>100</v>
      </c>
      <c r="T29" s="3758" t="s">
        <v>13</v>
      </c>
      <c r="U29" s="3541">
        <f>H29</f>
        <v>100</v>
      </c>
      <c r="V29" s="3758" t="s">
        <v>13</v>
      </c>
      <c r="W29" s="3541">
        <f>J29</f>
        <v>100</v>
      </c>
      <c r="X29" s="482"/>
      <c r="Y29" s="4556"/>
      <c r="Z29" s="28" t="str">
        <f>Q29</f>
        <v>公共配套设施</v>
      </c>
      <c r="AA29" s="907">
        <f>D29/F29</f>
        <v>1</v>
      </c>
      <c r="AB29" s="907">
        <f>D29/H29</f>
        <v>1</v>
      </c>
      <c r="AC29" s="907">
        <f>D29/J29</f>
        <v>1</v>
      </c>
    </row>
    <row r="30" spans="1:29" s="46" customFormat="1" ht="15">
      <c r="A30" s="3098"/>
      <c r="B30" s="2797"/>
      <c r="C30" s="3099" t="s">
        <v>3611</v>
      </c>
      <c r="D30" s="2892"/>
      <c r="E30" s="2870" t="s">
        <v>3612</v>
      </c>
      <c r="F30" s="3721"/>
      <c r="G30" s="2870" t="s">
        <v>3611</v>
      </c>
      <c r="H30" s="3721"/>
      <c r="I30" s="2819" t="s">
        <v>3611</v>
      </c>
      <c r="J30" s="3721"/>
      <c r="K30" s="3149"/>
      <c r="L30" s="1975"/>
      <c r="M30" s="1928"/>
      <c r="N30" s="1928"/>
      <c r="O30" s="2027"/>
      <c r="P30" s="4631"/>
      <c r="Q30" s="1697"/>
      <c r="R30" s="3758"/>
      <c r="S30" s="3541"/>
      <c r="T30" s="3758"/>
      <c r="U30" s="3541"/>
      <c r="V30" s="3758"/>
      <c r="W30" s="3541"/>
      <c r="X30" s="482"/>
      <c r="Y30" s="4556"/>
      <c r="Z30" s="28"/>
      <c r="AA30" s="907">
        <v>1</v>
      </c>
      <c r="AB30" s="907">
        <v>1</v>
      </c>
      <c r="AC30" s="907">
        <v>1</v>
      </c>
    </row>
    <row r="31" spans="1:29" s="46" customFormat="1" ht="28.5">
      <c r="A31" s="3098"/>
      <c r="B31" s="2798" t="s">
        <v>1686</v>
      </c>
      <c r="C31" s="2820" t="str">
        <f>估价对象房地状况!C22</f>
        <v>估价对象所在区域基础设施水平</v>
      </c>
      <c r="D31" s="2893">
        <v>100</v>
      </c>
      <c r="E31" s="2844"/>
      <c r="F31" s="3722">
        <f>SUMIF(103:103,E32,104:104)-SUMIF(103:103,C32,104:104)+100</f>
        <v>100</v>
      </c>
      <c r="G31" s="2844"/>
      <c r="H31" s="3722">
        <f>SUMIF(103:103,G32,104:104)-SUMIF(103:103,C32,104:104)+100</f>
        <v>100</v>
      </c>
      <c r="I31" s="2850"/>
      <c r="J31" s="3722">
        <f>SUMIF(103:103,I32,104:104)-SUMIF(103:103,C32,104:104)+100</f>
        <v>100</v>
      </c>
      <c r="K31" s="3148"/>
      <c r="L31" s="1975"/>
      <c r="M31" s="1928"/>
      <c r="N31" s="1928"/>
      <c r="O31" s="2027"/>
      <c r="P31" s="4631"/>
      <c r="Q31" s="1697" t="str">
        <f t="shared" ref="Q31" si="9">B31</f>
        <v>基础设施水平</v>
      </c>
      <c r="R31" s="3758" t="s">
        <v>13</v>
      </c>
      <c r="S31" s="3541">
        <f>F31</f>
        <v>100</v>
      </c>
      <c r="T31" s="3758" t="s">
        <v>13</v>
      </c>
      <c r="U31" s="3541">
        <f>H31</f>
        <v>100</v>
      </c>
      <c r="V31" s="3758" t="s">
        <v>13</v>
      </c>
      <c r="W31" s="3541">
        <f>J31</f>
        <v>100</v>
      </c>
      <c r="X31" s="482"/>
      <c r="Y31" s="4556"/>
      <c r="Z31" s="28" t="str">
        <f>Q31</f>
        <v>基础设施水平</v>
      </c>
      <c r="AA31" s="907">
        <f>D31/F31</f>
        <v>1</v>
      </c>
      <c r="AB31" s="907">
        <f>D31/H31</f>
        <v>1</v>
      </c>
      <c r="AC31" s="907">
        <f>D31/J31</f>
        <v>1</v>
      </c>
    </row>
    <row r="32" spans="1:29" s="46" customFormat="1" ht="15">
      <c r="A32" s="3098"/>
      <c r="B32" s="2797"/>
      <c r="C32" s="3099"/>
      <c r="D32" s="2892"/>
      <c r="E32" s="3115"/>
      <c r="F32" s="3721"/>
      <c r="G32" s="3115"/>
      <c r="H32" s="3721"/>
      <c r="I32" s="3115"/>
      <c r="J32" s="3721"/>
      <c r="K32" s="3149"/>
      <c r="L32" s="1975"/>
      <c r="M32" s="1928"/>
      <c r="N32" s="1928"/>
      <c r="O32" s="2027"/>
      <c r="P32" s="4631"/>
      <c r="Q32" s="1697"/>
      <c r="R32" s="3758"/>
      <c r="S32" s="3541"/>
      <c r="T32" s="3758"/>
      <c r="U32" s="3541"/>
      <c r="V32" s="3758"/>
      <c r="W32" s="3541"/>
      <c r="X32" s="482"/>
      <c r="Y32" s="4556"/>
      <c r="Z32" s="28"/>
      <c r="AA32" s="907">
        <v>1</v>
      </c>
      <c r="AB32" s="907">
        <v>1</v>
      </c>
      <c r="AC32" s="907">
        <v>1</v>
      </c>
    </row>
    <row r="33" spans="1:29" ht="15">
      <c r="A33" s="3092"/>
      <c r="B33" s="2797" t="s">
        <v>1687</v>
      </c>
      <c r="C33" s="2835"/>
      <c r="D33" s="2889">
        <v>100</v>
      </c>
      <c r="E33" s="3116"/>
      <c r="F33" s="3724">
        <f>SUMIF(105:105,E33,106:106)-SUMIF(105:105,C33,106:106)+100</f>
        <v>100</v>
      </c>
      <c r="G33" s="3116"/>
      <c r="H33" s="3724">
        <f>SUMIF(105:105,G33,106:106)-SUMIF(105:105,C33,106:106)+100</f>
        <v>100</v>
      </c>
      <c r="I33" s="3116"/>
      <c r="J33" s="3724">
        <f>SUMIF(105:105,I33,106:106)-SUMIF(105:105,C33,106:106)+100</f>
        <v>100</v>
      </c>
      <c r="K33" s="3148"/>
      <c r="L33" s="1979"/>
      <c r="M33" s="1974"/>
      <c r="N33" s="1974"/>
      <c r="O33" s="2029"/>
      <c r="P33" s="4631"/>
      <c r="Q33" s="1506" t="str">
        <f t="shared" si="8"/>
        <v>临街状况</v>
      </c>
      <c r="R33" s="3759" t="s">
        <v>13</v>
      </c>
      <c r="S33" s="3761">
        <f t="shared" ref="S33:S47" si="10">F33</f>
        <v>100</v>
      </c>
      <c r="T33" s="3759" t="s">
        <v>13</v>
      </c>
      <c r="U33" s="3761">
        <f t="shared" ref="U33:U47" si="11">H33</f>
        <v>100</v>
      </c>
      <c r="V33" s="3759" t="s">
        <v>13</v>
      </c>
      <c r="W33" s="3761">
        <f t="shared" ref="W33:W47" si="12">J33</f>
        <v>100</v>
      </c>
      <c r="X33" s="909"/>
      <c r="Y33" s="4556"/>
      <c r="Z33" s="907" t="str">
        <f t="shared" ref="Z33:Z47" si="13">Q33</f>
        <v>临街状况</v>
      </c>
      <c r="AA33" s="907">
        <f t="shared" si="3"/>
        <v>1</v>
      </c>
      <c r="AB33" s="907">
        <f t="shared" si="4"/>
        <v>1</v>
      </c>
      <c r="AC33" s="907">
        <f t="shared" si="5"/>
        <v>1</v>
      </c>
    </row>
    <row r="34" spans="1:29" ht="27">
      <c r="A34" s="3092"/>
      <c r="B34" s="2798" t="s">
        <v>1722</v>
      </c>
      <c r="C34" s="2850"/>
      <c r="D34" s="2893">
        <v>100</v>
      </c>
      <c r="E34" s="2844"/>
      <c r="F34" s="3722">
        <f>SUMIF(107:107,E35,108:108)-SUMIF(107:107,C35,108:108)+100</f>
        <v>100</v>
      </c>
      <c r="G34" s="2844"/>
      <c r="H34" s="3722">
        <f>SUMIF(107:107,G35,108:108)-SUMIF(107:107,C35,108:108)+100</f>
        <v>100</v>
      </c>
      <c r="I34" s="2850"/>
      <c r="J34" s="3722">
        <f>SUMIF(107:107,I35,108:108)-SUMIF(107:107,C35,108:108)+100</f>
        <v>100</v>
      </c>
      <c r="K34" s="3148"/>
      <c r="L34" s="1979"/>
      <c r="M34" s="1974"/>
      <c r="N34" s="1974"/>
      <c r="O34" s="2029"/>
      <c r="P34" s="4631"/>
      <c r="Q34" s="1506" t="str">
        <f t="shared" si="8"/>
        <v>毗邻道路的类型与等级</v>
      </c>
      <c r="R34" s="3759" t="s">
        <v>13</v>
      </c>
      <c r="S34" s="3761">
        <f t="shared" si="10"/>
        <v>100</v>
      </c>
      <c r="T34" s="3759" t="s">
        <v>13</v>
      </c>
      <c r="U34" s="3761">
        <f t="shared" si="11"/>
        <v>100</v>
      </c>
      <c r="V34" s="3759" t="s">
        <v>13</v>
      </c>
      <c r="W34" s="3761">
        <f t="shared" si="12"/>
        <v>100</v>
      </c>
      <c r="X34" s="909"/>
      <c r="Y34" s="4556"/>
      <c r="Z34" s="907" t="str">
        <f t="shared" si="13"/>
        <v>毗邻道路的类型与等级</v>
      </c>
      <c r="AA34" s="907">
        <f t="shared" si="3"/>
        <v>1</v>
      </c>
      <c r="AB34" s="907">
        <f t="shared" si="4"/>
        <v>1</v>
      </c>
      <c r="AC34" s="907">
        <f t="shared" si="5"/>
        <v>1</v>
      </c>
    </row>
    <row r="35" spans="1:29" ht="15">
      <c r="A35" s="3092"/>
      <c r="B35" s="2797"/>
      <c r="C35" s="2819"/>
      <c r="D35" s="2892"/>
      <c r="E35" s="2870"/>
      <c r="F35" s="3721"/>
      <c r="G35" s="2870"/>
      <c r="H35" s="3721"/>
      <c r="I35" s="2819"/>
      <c r="J35" s="3721"/>
      <c r="K35" s="2857"/>
      <c r="L35" s="1979"/>
      <c r="M35" s="1974"/>
      <c r="N35" s="1974"/>
      <c r="O35" s="2029"/>
      <c r="P35" s="4631"/>
      <c r="Q35" s="1506"/>
      <c r="R35" s="3759"/>
      <c r="S35" s="3761"/>
      <c r="T35" s="3759"/>
      <c r="U35" s="3761"/>
      <c r="V35" s="3759"/>
      <c r="W35" s="3761"/>
      <c r="X35" s="909"/>
      <c r="Y35" s="4556"/>
      <c r="Z35" s="907"/>
      <c r="AA35" s="907">
        <v>1</v>
      </c>
      <c r="AB35" s="907">
        <v>1</v>
      </c>
      <c r="AC35" s="907">
        <v>1</v>
      </c>
    </row>
    <row r="36" spans="1:29" ht="15">
      <c r="A36" s="3092"/>
      <c r="B36" s="2788" t="s">
        <v>1780</v>
      </c>
      <c r="C36" s="2835"/>
      <c r="D36" s="2889">
        <v>100</v>
      </c>
      <c r="E36" s="3116"/>
      <c r="F36" s="3724">
        <f>SUMIF(109:109,E36,110:110)-SUMIF(109:109,C36,110:110)+100</f>
        <v>100</v>
      </c>
      <c r="G36" s="3116"/>
      <c r="H36" s="3724">
        <f>SUMIF(109:109,G36,110:110)-SUMIF(109:109,C36,110:110)+100</f>
        <v>100</v>
      </c>
      <c r="I36" s="2835"/>
      <c r="J36" s="3724">
        <f>SUMIF(109:109,I36,110:110)-SUMIF(109:109,C36,110:110)+100</f>
        <v>100</v>
      </c>
      <c r="K36" s="2856"/>
      <c r="L36" s="1979"/>
      <c r="M36" s="1974"/>
      <c r="N36" s="1974"/>
      <c r="O36" s="2029"/>
      <c r="P36" s="4631"/>
      <c r="Q36" s="1506" t="str">
        <f t="shared" si="8"/>
        <v>土地级别</v>
      </c>
      <c r="R36" s="3759" t="s">
        <v>13</v>
      </c>
      <c r="S36" s="3761">
        <f t="shared" si="10"/>
        <v>100</v>
      </c>
      <c r="T36" s="3759" t="s">
        <v>13</v>
      </c>
      <c r="U36" s="3761">
        <f t="shared" si="11"/>
        <v>100</v>
      </c>
      <c r="V36" s="3759" t="s">
        <v>13</v>
      </c>
      <c r="W36" s="3761">
        <f t="shared" si="12"/>
        <v>100</v>
      </c>
      <c r="X36" s="909"/>
      <c r="Y36" s="4556"/>
      <c r="Z36" s="907" t="str">
        <f t="shared" si="13"/>
        <v>土地级别</v>
      </c>
      <c r="AA36" s="907">
        <f t="shared" si="3"/>
        <v>1</v>
      </c>
      <c r="AB36" s="907">
        <f t="shared" si="4"/>
        <v>1</v>
      </c>
      <c r="AC36" s="907">
        <f t="shared" si="5"/>
        <v>1</v>
      </c>
    </row>
    <row r="37" spans="1:29" ht="15">
      <c r="A37" s="3096"/>
      <c r="B37" s="2799">
        <v>111</v>
      </c>
      <c r="C37" s="3100"/>
      <c r="D37" s="2889">
        <v>100</v>
      </c>
      <c r="E37" s="3117"/>
      <c r="F37" s="3724">
        <f>SUMIF(111:111,E37,112:112)-SUMIF(111:111,C37,112:112)+100</f>
        <v>100</v>
      </c>
      <c r="G37" s="3117"/>
      <c r="H37" s="3724">
        <f>SUMIF(111:111,G37,112:112)-SUMIF(111:111,C37,112:112)+100</f>
        <v>100</v>
      </c>
      <c r="I37" s="3100"/>
      <c r="J37" s="3724">
        <f>SUMIF(111:111,I37,112:112)-SUMIF(111:111,C37,112:112)+100</f>
        <v>100</v>
      </c>
      <c r="K37" s="2857"/>
      <c r="L37" s="1979"/>
      <c r="M37" s="1974"/>
      <c r="N37" s="1974"/>
      <c r="O37" s="2029"/>
      <c r="P37" s="4631"/>
      <c r="Q37" s="1506">
        <f t="shared" si="8"/>
        <v>111</v>
      </c>
      <c r="R37" s="3759" t="s">
        <v>13</v>
      </c>
      <c r="S37" s="3761">
        <f t="shared" si="10"/>
        <v>100</v>
      </c>
      <c r="T37" s="3759" t="s">
        <v>13</v>
      </c>
      <c r="U37" s="3761">
        <f t="shared" si="11"/>
        <v>100</v>
      </c>
      <c r="V37" s="3759" t="s">
        <v>13</v>
      </c>
      <c r="W37" s="3761">
        <f t="shared" si="12"/>
        <v>100</v>
      </c>
      <c r="X37" s="909"/>
      <c r="Y37" s="4556"/>
      <c r="Z37" s="907">
        <f t="shared" si="13"/>
        <v>111</v>
      </c>
      <c r="AA37" s="907">
        <f t="shared" si="3"/>
        <v>1</v>
      </c>
      <c r="AB37" s="907">
        <f t="shared" si="4"/>
        <v>1</v>
      </c>
      <c r="AC37" s="907">
        <f t="shared" si="5"/>
        <v>1</v>
      </c>
    </row>
    <row r="38" spans="1:29" ht="15">
      <c r="A38" s="3101"/>
      <c r="B38" s="3102">
        <v>111</v>
      </c>
      <c r="C38" s="3100"/>
      <c r="D38" s="2889">
        <v>100</v>
      </c>
      <c r="E38" s="3117"/>
      <c r="F38" s="3724">
        <f>SUMIF(113:113,E39,114:114)-SUMIF(113:113,C39,114:114)+100</f>
        <v>100</v>
      </c>
      <c r="G38" s="3117"/>
      <c r="H38" s="3724">
        <f>SUMIF(113:113,G38,114:114)-SUMIF(113:113,C38,114:114)+100</f>
        <v>100</v>
      </c>
      <c r="I38" s="3100"/>
      <c r="J38" s="3724">
        <f>SUMIF(113:113,I38,114:114)-SUMIF(113:113,C38,114:114)+100</f>
        <v>100</v>
      </c>
      <c r="K38" s="2857"/>
      <c r="L38" s="1979"/>
      <c r="M38" s="1974"/>
      <c r="N38" s="1974"/>
      <c r="O38" s="2029"/>
      <c r="P38" s="4632" t="s">
        <v>1603</v>
      </c>
      <c r="Q38" s="1506">
        <f t="shared" si="8"/>
        <v>111</v>
      </c>
      <c r="R38" s="3759" t="s">
        <v>13</v>
      </c>
      <c r="S38" s="3761">
        <f t="shared" si="10"/>
        <v>100</v>
      </c>
      <c r="T38" s="3759" t="s">
        <v>13</v>
      </c>
      <c r="U38" s="3761">
        <f t="shared" si="11"/>
        <v>100</v>
      </c>
      <c r="V38" s="3759" t="s">
        <v>13</v>
      </c>
      <c r="W38" s="3761">
        <f t="shared" si="12"/>
        <v>100</v>
      </c>
      <c r="X38" s="909"/>
      <c r="Y38" s="4560"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7"/>
      <c r="L39" s="1978"/>
      <c r="M39" s="1980"/>
      <c r="N39" s="1980"/>
      <c r="O39" s="2030"/>
      <c r="P39" s="4633"/>
      <c r="Q39" s="1506">
        <f t="shared" si="8"/>
        <v>111</v>
      </c>
      <c r="R39" s="3760" t="s">
        <v>13</v>
      </c>
      <c r="S39" s="3762">
        <f t="shared" si="10"/>
        <v>100</v>
      </c>
      <c r="T39" s="3760" t="s">
        <v>13</v>
      </c>
      <c r="U39" s="3762">
        <f t="shared" si="11"/>
        <v>100</v>
      </c>
      <c r="V39" s="3760" t="s">
        <v>13</v>
      </c>
      <c r="W39" s="3762">
        <f t="shared" si="12"/>
        <v>100</v>
      </c>
      <c r="X39" s="484"/>
      <c r="Y39" s="4560"/>
      <c r="Z39" s="485">
        <f t="shared" si="13"/>
        <v>111</v>
      </c>
      <c r="AA39" s="907">
        <f t="shared" si="3"/>
        <v>1</v>
      </c>
      <c r="AB39" s="907">
        <f t="shared" si="4"/>
        <v>1</v>
      </c>
      <c r="AC39" s="907">
        <f t="shared" si="5"/>
        <v>1</v>
      </c>
    </row>
    <row r="40" spans="1:29" ht="15">
      <c r="A40" s="3106" t="s">
        <v>1601</v>
      </c>
      <c r="B40" s="2797" t="s">
        <v>1781</v>
      </c>
      <c r="C40" s="3107"/>
      <c r="D40" s="2896">
        <v>100</v>
      </c>
      <c r="E40" s="3107"/>
      <c r="F40" s="3731" t="e">
        <f>LOOKUP(E40,118:118,119:119)-LOOKUP(C40,118:118,119:119)+100</f>
        <v>#N/A</v>
      </c>
      <c r="G40" s="3107"/>
      <c r="H40" s="3731" t="e">
        <f>LOOKUP(G40,118:118,119:119)-LOOKUP(C40,118:118,119:119)+100</f>
        <v>#N/A</v>
      </c>
      <c r="I40" s="3120"/>
      <c r="J40" s="3731" t="e">
        <f>LOOKUP(I40,118:118,119:119)-LOOKUP(C40,118:118,119:119)+100</f>
        <v>#N/A</v>
      </c>
      <c r="K40" s="2857"/>
      <c r="L40" s="1979"/>
      <c r="M40" s="1974"/>
      <c r="N40" s="1974"/>
      <c r="O40" s="2029"/>
      <c r="P40" s="4633"/>
      <c r="Q40" s="1506" t="str">
        <f>B40</f>
        <v>宗地面积</v>
      </c>
      <c r="R40" s="3759" t="s">
        <v>13</v>
      </c>
      <c r="S40" s="3761" t="e">
        <f t="shared" si="10"/>
        <v>#N/A</v>
      </c>
      <c r="T40" s="3759" t="s">
        <v>13</v>
      </c>
      <c r="U40" s="3761" t="e">
        <f t="shared" si="11"/>
        <v>#N/A</v>
      </c>
      <c r="V40" s="3759" t="s">
        <v>13</v>
      </c>
      <c r="W40" s="3761" t="e">
        <f t="shared" si="12"/>
        <v>#N/A</v>
      </c>
      <c r="X40" s="909"/>
      <c r="Y40" s="4560"/>
      <c r="Z40" s="907" t="str">
        <f t="shared" si="13"/>
        <v>宗地面积</v>
      </c>
      <c r="AA40" s="907" t="e">
        <f t="shared" si="3"/>
        <v>#N/A</v>
      </c>
      <c r="AB40" s="907" t="e">
        <f t="shared" si="4"/>
        <v>#N/A</v>
      </c>
      <c r="AC40" s="907" t="e">
        <f t="shared" si="5"/>
        <v>#N/A</v>
      </c>
    </row>
    <row r="41" spans="1:29" ht="15">
      <c r="A41" s="3106"/>
      <c r="B41" s="2788" t="s">
        <v>1782</v>
      </c>
      <c r="C41" s="2825"/>
      <c r="D41" s="2889">
        <v>100</v>
      </c>
      <c r="E41" s="2825"/>
      <c r="F41" s="3724">
        <f>SUMIF(120:120,E41,121:121)-SUMIF(120:120,C41,121:121)+100</f>
        <v>100</v>
      </c>
      <c r="G41" s="2825"/>
      <c r="H41" s="3724">
        <f>SUMIF(120:120,G41,121:121)-SUMIF(120:120,C41,121:121)+100</f>
        <v>100</v>
      </c>
      <c r="I41" s="2825"/>
      <c r="J41" s="3724">
        <f>SUMIF(120:120,I41,121:121)-SUMIF(120:120,C41,121:121)+100</f>
        <v>100</v>
      </c>
      <c r="K41" s="2856"/>
      <c r="L41" s="1979"/>
      <c r="M41" s="1974"/>
      <c r="N41" s="1974"/>
      <c r="O41" s="2029"/>
      <c r="P41" s="4633"/>
      <c r="Q41" s="1506" t="str">
        <f t="shared" ref="Q41:Q47" si="14">B41</f>
        <v>宗地形状</v>
      </c>
      <c r="R41" s="3759" t="s">
        <v>13</v>
      </c>
      <c r="S41" s="3761">
        <f t="shared" si="10"/>
        <v>100</v>
      </c>
      <c r="T41" s="3759" t="s">
        <v>13</v>
      </c>
      <c r="U41" s="3761">
        <f t="shared" si="11"/>
        <v>100</v>
      </c>
      <c r="V41" s="3759" t="s">
        <v>13</v>
      </c>
      <c r="W41" s="3761">
        <f t="shared" si="12"/>
        <v>100</v>
      </c>
      <c r="X41" s="909"/>
      <c r="Y41" s="4560"/>
      <c r="Z41" s="907" t="str">
        <f t="shared" si="13"/>
        <v>宗地形状</v>
      </c>
      <c r="AA41" s="907">
        <f t="shared" si="3"/>
        <v>1</v>
      </c>
      <c r="AB41" s="907">
        <f t="shared" si="4"/>
        <v>1</v>
      </c>
      <c r="AC41" s="907">
        <f t="shared" si="5"/>
        <v>1</v>
      </c>
    </row>
    <row r="42" spans="1:29" ht="15">
      <c r="A42" s="3106"/>
      <c r="B42" s="2788" t="s">
        <v>1783</v>
      </c>
      <c r="C42" s="2825"/>
      <c r="D42" s="2889">
        <v>100</v>
      </c>
      <c r="E42" s="2825"/>
      <c r="F42" s="3724">
        <f>SUMIF(122:122,E42,123:123)-SUMIF(122:122,C42,123:123)+100</f>
        <v>100</v>
      </c>
      <c r="G42" s="2825"/>
      <c r="H42" s="3724">
        <f>SUMIF(122:122,G42,123:123)-SUMIF(122:122,C42,123:123)+100</f>
        <v>100</v>
      </c>
      <c r="I42" s="2825"/>
      <c r="J42" s="3724">
        <f>SUMIF(122:122,I42,123:123)-SUMIF(122:122,C42,123:123)+100</f>
        <v>100</v>
      </c>
      <c r="K42" s="2856"/>
      <c r="L42" s="1979"/>
      <c r="M42" s="1974"/>
      <c r="N42" s="1974"/>
      <c r="O42" s="2029"/>
      <c r="P42" s="4633"/>
      <c r="Q42" s="1506" t="str">
        <f t="shared" si="14"/>
        <v>临街宽度及深度</v>
      </c>
      <c r="R42" s="3759" t="s">
        <v>13</v>
      </c>
      <c r="S42" s="3761">
        <f t="shared" si="10"/>
        <v>100</v>
      </c>
      <c r="T42" s="3759" t="s">
        <v>13</v>
      </c>
      <c r="U42" s="3761">
        <f t="shared" si="11"/>
        <v>100</v>
      </c>
      <c r="V42" s="3759" t="s">
        <v>13</v>
      </c>
      <c r="W42" s="3761">
        <f t="shared" si="12"/>
        <v>100</v>
      </c>
      <c r="X42" s="909"/>
      <c r="Y42" s="4560"/>
      <c r="Z42" s="907" t="str">
        <f t="shared" si="13"/>
        <v>临街宽度及深度</v>
      </c>
      <c r="AA42" s="907">
        <f t="shared" si="3"/>
        <v>1</v>
      </c>
      <c r="AB42" s="907">
        <f t="shared" si="4"/>
        <v>1</v>
      </c>
      <c r="AC42" s="907">
        <f t="shared" si="5"/>
        <v>1</v>
      </c>
    </row>
    <row r="43" spans="1:29" s="46" customFormat="1" ht="15">
      <c r="A43" s="3108"/>
      <c r="B43" s="2788" t="s">
        <v>1784</v>
      </c>
      <c r="C43" s="3109"/>
      <c r="D43" s="2887">
        <v>100</v>
      </c>
      <c r="E43" s="3109"/>
      <c r="F43" s="3724">
        <f>SUMIF(124:124,E43,125:125)-SUMIF(124:124,C43,125:125)+100</f>
        <v>100</v>
      </c>
      <c r="G43" s="3109"/>
      <c r="H43" s="3724">
        <f>SUMIF(124:124,G43,125:125)-SUMIF(124:124,C43,125:125)+100</f>
        <v>100</v>
      </c>
      <c r="I43" s="3109"/>
      <c r="J43" s="3724">
        <f>SUMIF(124:124,I43,125:125)-SUMIF(124:124,C43,125:125)+100</f>
        <v>100</v>
      </c>
      <c r="K43" s="2856"/>
      <c r="L43" s="1975"/>
      <c r="M43" s="1928"/>
      <c r="N43" s="1928"/>
      <c r="O43" s="2027"/>
      <c r="P43" s="4633"/>
      <c r="Q43" s="1506" t="str">
        <f t="shared" si="14"/>
        <v>宗地开发程度</v>
      </c>
      <c r="R43" s="3758" t="s">
        <v>13</v>
      </c>
      <c r="S43" s="3541">
        <f t="shared" si="10"/>
        <v>100</v>
      </c>
      <c r="T43" s="3758" t="s">
        <v>13</v>
      </c>
      <c r="U43" s="3541">
        <f t="shared" si="11"/>
        <v>100</v>
      </c>
      <c r="V43" s="3758" t="s">
        <v>13</v>
      </c>
      <c r="W43" s="3541">
        <f t="shared" si="12"/>
        <v>100</v>
      </c>
      <c r="X43" s="482"/>
      <c r="Y43" s="4560"/>
      <c r="Z43" s="28" t="str">
        <f t="shared" si="13"/>
        <v>宗地开发程度</v>
      </c>
      <c r="AA43" s="28">
        <f t="shared" si="3"/>
        <v>1</v>
      </c>
      <c r="AB43" s="28">
        <f t="shared" si="4"/>
        <v>1</v>
      </c>
      <c r="AC43" s="28">
        <f t="shared" si="5"/>
        <v>1</v>
      </c>
    </row>
    <row r="44" spans="1:29" ht="15">
      <c r="A44" s="3106"/>
      <c r="B44" s="2788" t="s">
        <v>1785</v>
      </c>
      <c r="C44" s="2825"/>
      <c r="D44" s="2889">
        <v>100</v>
      </c>
      <c r="E44" s="2825"/>
      <c r="F44" s="3724">
        <f>SUMIF(126:126,E44,127:127)-SUMIF(126:126,C44,127:127)+100</f>
        <v>100</v>
      </c>
      <c r="G44" s="2825"/>
      <c r="H44" s="3724">
        <f>SUMIF(126:126,G44,127:127)-SUMIF(126:126,C44,127:127)+100</f>
        <v>100</v>
      </c>
      <c r="I44" s="2825"/>
      <c r="J44" s="3724">
        <f>SUMIF(126:126,I44,127:127)-SUMIF(126:126,C44,127:127)+100</f>
        <v>100</v>
      </c>
      <c r="K44" s="2856"/>
      <c r="L44" s="1979"/>
      <c r="M44" s="1974"/>
      <c r="N44" s="1974"/>
      <c r="O44" s="2029"/>
      <c r="P44" s="4633" t="s">
        <v>1603</v>
      </c>
      <c r="Q44" s="1506" t="str">
        <f t="shared" si="14"/>
        <v>工程地质条件</v>
      </c>
      <c r="R44" s="3759" t="s">
        <v>13</v>
      </c>
      <c r="S44" s="3761">
        <f t="shared" si="10"/>
        <v>100</v>
      </c>
      <c r="T44" s="3759" t="s">
        <v>13</v>
      </c>
      <c r="U44" s="3761">
        <f t="shared" si="11"/>
        <v>100</v>
      </c>
      <c r="V44" s="3759" t="s">
        <v>13</v>
      </c>
      <c r="W44" s="3761">
        <f t="shared" si="12"/>
        <v>100</v>
      </c>
      <c r="X44" s="909"/>
      <c r="Y44" s="4560" t="s">
        <v>1603</v>
      </c>
      <c r="Z44" s="907" t="str">
        <f t="shared" si="13"/>
        <v>工程地质条件</v>
      </c>
      <c r="AA44" s="907">
        <f t="shared" si="3"/>
        <v>1</v>
      </c>
      <c r="AB44" s="907">
        <f t="shared" si="4"/>
        <v>1</v>
      </c>
      <c r="AC44" s="907">
        <f t="shared" si="5"/>
        <v>1</v>
      </c>
    </row>
    <row r="45" spans="1:29" ht="15">
      <c r="A45" s="3106"/>
      <c r="B45" s="3102">
        <v>111</v>
      </c>
      <c r="C45" s="3100"/>
      <c r="D45" s="2889">
        <v>100</v>
      </c>
      <c r="E45" s="3100"/>
      <c r="F45" s="3724">
        <f>SUMIF(128:128,E45,129:129)-SUMIF(128:128,C45,129:129)+100</f>
        <v>100</v>
      </c>
      <c r="G45" s="3100"/>
      <c r="H45" s="3724">
        <f>SUMIF(128:128,G45,129:129)-SUMIF(128:128,C45,129:129)+100</f>
        <v>100</v>
      </c>
      <c r="I45" s="3114"/>
      <c r="J45" s="3724">
        <f>SUMIF(128:128,I45,129:129)-SUMIF(128:128,C45,129:129)+100</f>
        <v>100</v>
      </c>
      <c r="K45" s="2857"/>
      <c r="L45" s="1979"/>
      <c r="M45" s="1974"/>
      <c r="N45" s="1974"/>
      <c r="O45" s="2029"/>
      <c r="P45" s="4633"/>
      <c r="Q45" s="1506">
        <f t="shared" si="14"/>
        <v>111</v>
      </c>
      <c r="R45" s="3759" t="s">
        <v>13</v>
      </c>
      <c r="S45" s="3761">
        <f t="shared" si="10"/>
        <v>100</v>
      </c>
      <c r="T45" s="3759" t="s">
        <v>13</v>
      </c>
      <c r="U45" s="3761">
        <f t="shared" si="11"/>
        <v>100</v>
      </c>
      <c r="V45" s="3759" t="s">
        <v>13</v>
      </c>
      <c r="W45" s="3761">
        <f t="shared" si="12"/>
        <v>100</v>
      </c>
      <c r="X45" s="909"/>
      <c r="Y45" s="4560"/>
      <c r="Z45" s="907">
        <f t="shared" si="13"/>
        <v>111</v>
      </c>
      <c r="AA45" s="907">
        <f t="shared" si="3"/>
        <v>1</v>
      </c>
      <c r="AB45" s="907">
        <f t="shared" si="4"/>
        <v>1</v>
      </c>
      <c r="AC45" s="907">
        <f t="shared" si="5"/>
        <v>1</v>
      </c>
    </row>
    <row r="46" spans="1:29" ht="15">
      <c r="A46" s="3106"/>
      <c r="B46" s="3102">
        <v>111</v>
      </c>
      <c r="C46" s="3100"/>
      <c r="D46" s="2889">
        <v>100</v>
      </c>
      <c r="E46" s="3100"/>
      <c r="F46" s="3724">
        <f>SUMIF(130:130,E46,131:131)-SUMIF(130:130,C46,131:131)+100</f>
        <v>100</v>
      </c>
      <c r="G46" s="3100"/>
      <c r="H46" s="3724">
        <f>SUMIF(130:130,G46,131:131)-SUMIF(130:130,C46,131:131)+100</f>
        <v>100</v>
      </c>
      <c r="I46" s="3114"/>
      <c r="J46" s="3724">
        <f>SUMIF(130:130,I46,131:131)-SUMIF(130:130,C46,131:131)+100</f>
        <v>100</v>
      </c>
      <c r="K46" s="2857"/>
      <c r="L46" s="1979"/>
      <c r="M46" s="1974"/>
      <c r="N46" s="1974"/>
      <c r="O46" s="2029"/>
      <c r="P46" s="4633"/>
      <c r="Q46" s="1506">
        <f t="shared" si="14"/>
        <v>111</v>
      </c>
      <c r="R46" s="3759" t="s">
        <v>13</v>
      </c>
      <c r="S46" s="3761">
        <f t="shared" si="10"/>
        <v>100</v>
      </c>
      <c r="T46" s="3759" t="s">
        <v>13</v>
      </c>
      <c r="U46" s="3761">
        <f t="shared" si="11"/>
        <v>100</v>
      </c>
      <c r="V46" s="3759" t="s">
        <v>13</v>
      </c>
      <c r="W46" s="3761">
        <f t="shared" si="12"/>
        <v>100</v>
      </c>
      <c r="X46" s="909"/>
      <c r="Y46" s="4560"/>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8"/>
      <c r="M47" s="1980"/>
      <c r="N47" s="1980"/>
      <c r="O47" s="2030"/>
      <c r="P47" s="4633"/>
      <c r="Q47" s="1506">
        <f t="shared" si="14"/>
        <v>111</v>
      </c>
      <c r="R47" s="3760" t="s">
        <v>13</v>
      </c>
      <c r="S47" s="3762">
        <f t="shared" si="10"/>
        <v>100</v>
      </c>
      <c r="T47" s="3760" t="s">
        <v>13</v>
      </c>
      <c r="U47" s="3762">
        <f t="shared" si="11"/>
        <v>100</v>
      </c>
      <c r="V47" s="3760" t="s">
        <v>13</v>
      </c>
      <c r="W47" s="3762">
        <f t="shared" si="12"/>
        <v>100</v>
      </c>
      <c r="X47" s="484"/>
      <c r="Y47" s="4560"/>
      <c r="Z47" s="485">
        <f t="shared" si="13"/>
        <v>111</v>
      </c>
      <c r="AA47" s="907">
        <f t="shared" si="3"/>
        <v>1</v>
      </c>
      <c r="AB47" s="907">
        <f t="shared" si="4"/>
        <v>1</v>
      </c>
      <c r="AC47" s="907">
        <f t="shared" si="5"/>
        <v>1</v>
      </c>
    </row>
    <row r="48" spans="1:29" ht="15">
      <c r="A48" s="286" t="s">
        <v>1751</v>
      </c>
      <c r="B48" s="1429" t="s">
        <v>1786</v>
      </c>
      <c r="C48" s="439" t="s">
        <v>0</v>
      </c>
      <c r="D48" s="288"/>
      <c r="E48" s="3204"/>
      <c r="F48" s="3152"/>
      <c r="G48" s="3205"/>
      <c r="H48" s="3153"/>
      <c r="I48" s="3204"/>
      <c r="J48" s="3153"/>
      <c r="K48" s="2861"/>
      <c r="L48" s="1981"/>
      <c r="M48" s="1974"/>
      <c r="N48" s="1974"/>
      <c r="O48" s="1974"/>
      <c r="P48" s="4562" t="str">
        <f>A48</f>
        <v>成交单价</v>
      </c>
      <c r="Q48" s="4562"/>
      <c r="R48" s="4563">
        <f>E48</f>
        <v>0</v>
      </c>
      <c r="S48" s="4563"/>
      <c r="T48" s="4563">
        <f>G48</f>
        <v>0</v>
      </c>
      <c r="U48" s="4563"/>
      <c r="V48" s="4563">
        <f>I48</f>
        <v>0</v>
      </c>
      <c r="W48" s="4563"/>
      <c r="X48" s="265"/>
      <c r="Y48" s="486"/>
      <c r="Z48" s="265"/>
      <c r="AA48" s="265"/>
      <c r="AB48" s="265"/>
      <c r="AC48" s="265"/>
    </row>
    <row r="49" spans="1:29" ht="15.75" thickBot="1">
      <c r="A49" s="289" t="s">
        <v>1700</v>
      </c>
      <c r="B49" s="440"/>
      <c r="C49" s="3743" t="e">
        <f>R50</f>
        <v>#DIV/0!</v>
      </c>
      <c r="D49" s="3845" t="s">
        <v>2042</v>
      </c>
      <c r="E49" s="3743" t="e">
        <f>R49</f>
        <v>#DIV/0!</v>
      </c>
      <c r="F49" s="2800"/>
      <c r="G49" s="3732" t="e">
        <f>T49</f>
        <v>#DIV/0!</v>
      </c>
      <c r="H49" s="2800"/>
      <c r="I49" s="3743" t="e">
        <f>V49</f>
        <v>#DIV/0!</v>
      </c>
      <c r="J49" s="2800"/>
      <c r="K49" s="2854">
        <f>F49+H49+J49</f>
        <v>0</v>
      </c>
      <c r="L49" s="1981"/>
      <c r="M49" s="1974"/>
      <c r="N49" s="1974"/>
      <c r="O49" s="1974"/>
      <c r="P49" s="4562" t="str">
        <f>A49</f>
        <v>比较价值（元/平方米）</v>
      </c>
      <c r="Q49" s="4562"/>
      <c r="R49" s="4563" t="e">
        <f>ROUND(PRODUCT(R48,AA9:AA47),0)</f>
        <v>#DIV/0!</v>
      </c>
      <c r="S49" s="4563"/>
      <c r="T49" s="4563" t="e">
        <f>ROUND(PRODUCT(T48,AB9:AB47),0)</f>
        <v>#DIV/0!</v>
      </c>
      <c r="U49" s="4563"/>
      <c r="V49" s="4563" t="e">
        <f>ROUND(PRODUCT(V48,AC9:AC47),0)</f>
        <v>#DIV/0!</v>
      </c>
      <c r="W49" s="4563"/>
      <c r="X49" s="265"/>
      <c r="Y49" s="265"/>
      <c r="Z49" s="265"/>
      <c r="AA49" s="265"/>
      <c r="AB49" s="265"/>
      <c r="AC49" s="265"/>
    </row>
    <row r="50" spans="1:29" ht="15.75" thickBot="1">
      <c r="A50" s="291" t="s">
        <v>1787</v>
      </c>
      <c r="B50" s="292"/>
      <c r="C50" s="3744" t="e">
        <f>R50</f>
        <v>#DIV/0!</v>
      </c>
      <c r="D50" s="293"/>
      <c r="E50" s="293"/>
      <c r="F50" s="293"/>
      <c r="G50" s="293"/>
      <c r="H50" s="293"/>
      <c r="I50" s="293"/>
      <c r="J50" s="293"/>
      <c r="K50" s="3125"/>
      <c r="L50" s="1981"/>
      <c r="M50" s="1974"/>
      <c r="N50" s="1974"/>
      <c r="O50" s="1974"/>
      <c r="P50" s="4622" t="str">
        <f>A50</f>
        <v>估价对象XX用房的比较价值（楼面单价，元/平方米）</v>
      </c>
      <c r="Q50" s="4623"/>
      <c r="R50" s="4624" t="e">
        <f>ROUND(IF(D49="简单平均",AVERAGE(R49:W49),R49*F49+T49*H49+V49*J49),0)</f>
        <v>#DIV/0!</v>
      </c>
      <c r="S50" s="4624"/>
      <c r="T50" s="4624"/>
      <c r="U50" s="4624"/>
      <c r="V50" s="4624"/>
      <c r="W50" s="4624"/>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30" t="s">
        <v>1794</v>
      </c>
      <c r="H57" s="4647"/>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2" t="e">
        <f>C50</f>
        <v>#DIV/0!</v>
      </c>
      <c r="C58" s="2830">
        <v>1</v>
      </c>
      <c r="D58" s="3064">
        <v>1</v>
      </c>
      <c r="E58" s="3063">
        <f>'数据-汇总表'!E8+'数据-汇总表'!E9</f>
        <v>498.23</v>
      </c>
      <c r="F58" s="3085" t="e">
        <f t="shared" ref="F58:F66" si="15">ROUND(B58*E58/10000,0)</f>
        <v>#DIV/0!</v>
      </c>
      <c r="G58" s="4648"/>
      <c r="H58" s="463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2" t="e">
        <f>ROUND($C$50*C59*D59,0)</f>
        <v>#DIV/0!</v>
      </c>
      <c r="C59" s="3062">
        <f t="shared" ref="C59:C66" si="16">IF($C$57="北京市系数",I59,J59)</f>
        <v>0</v>
      </c>
      <c r="D59" s="3065">
        <v>0.25</v>
      </c>
      <c r="E59" s="3067"/>
      <c r="F59" s="3085" t="e">
        <f t="shared" si="15"/>
        <v>#DIV/0!</v>
      </c>
      <c r="G59" s="2180" t="s">
        <v>1799</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2"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2"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2"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2"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2"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2"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2"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6" t="s">
        <v>386</v>
      </c>
      <c r="E67" s="3069">
        <f>IF(B48="楼面地价",SUM(E58:E66),'数据-汇总表'!D3)</f>
        <v>498.23</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5"/>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6"/>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3618</v>
      </c>
      <c r="D120" s="372" t="s">
        <v>3619</v>
      </c>
      <c r="E120" s="372" t="s">
        <v>3620</v>
      </c>
      <c r="F120" s="372" t="s">
        <v>3621</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IF(B43="单位面积地价",C45,ROUND(B2*10000/'数据-汇总表'!D3,0))</f>
        <v>#DIV/0!</v>
      </c>
      <c r="C4" s="1336" t="s">
        <v>3632</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9" t="s">
        <v>1676</v>
      </c>
      <c r="B6" s="3160"/>
      <c r="C6" s="4611" t="s">
        <v>1677</v>
      </c>
      <c r="D6" s="4612"/>
      <c r="E6" s="4613" t="s">
        <v>1678</v>
      </c>
      <c r="F6" s="4614"/>
      <c r="G6" s="4611" t="s">
        <v>1679</v>
      </c>
      <c r="H6" s="4612"/>
      <c r="I6" s="4611" t="s">
        <v>1680</v>
      </c>
      <c r="J6" s="4612"/>
      <c r="K6" s="393" t="s">
        <v>1681</v>
      </c>
      <c r="L6" s="1973"/>
      <c r="M6" s="1974"/>
      <c r="N6" s="1974"/>
      <c r="O6" s="1974"/>
      <c r="P6" s="4615" t="s">
        <v>1682</v>
      </c>
      <c r="Q6" s="4616"/>
      <c r="R6" s="4601" t="s">
        <v>1678</v>
      </c>
      <c r="S6" s="4602"/>
      <c r="T6" s="4601" t="s">
        <v>1679</v>
      </c>
      <c r="U6" s="4602"/>
      <c r="V6" s="4543" t="s">
        <v>1680</v>
      </c>
      <c r="W6" s="4543"/>
      <c r="X6" s="909"/>
      <c r="Y6" s="4620" t="s">
        <v>1682</v>
      </c>
      <c r="Z6" s="4621"/>
      <c r="AA6" s="4600" t="s">
        <v>1678</v>
      </c>
      <c r="AB6" s="4510" t="s">
        <v>1679</v>
      </c>
      <c r="AC6" s="4600" t="s">
        <v>1680</v>
      </c>
    </row>
    <row r="7" spans="1:29" ht="15">
      <c r="A7" s="3096"/>
      <c r="B7" s="3161"/>
      <c r="C7" s="4605" t="s">
        <v>1580</v>
      </c>
      <c r="D7" s="4606"/>
      <c r="E7" s="4603" t="s">
        <v>1581</v>
      </c>
      <c r="F7" s="4604"/>
      <c r="G7" s="4605" t="s">
        <v>1582</v>
      </c>
      <c r="H7" s="4606"/>
      <c r="I7" s="4605" t="s">
        <v>1583</v>
      </c>
      <c r="J7" s="4606"/>
      <c r="K7" s="393"/>
      <c r="L7" s="1973"/>
      <c r="M7" s="1974"/>
      <c r="N7" s="1974"/>
      <c r="O7" s="1974"/>
      <c r="P7" s="4617"/>
      <c r="Q7" s="4537"/>
      <c r="R7" s="4516"/>
      <c r="S7" s="4517"/>
      <c r="T7" s="4516"/>
      <c r="U7" s="4517"/>
      <c r="V7" s="4543"/>
      <c r="W7" s="4543"/>
      <c r="X7" s="909"/>
      <c r="Y7" s="4548"/>
      <c r="Z7" s="4549"/>
      <c r="AA7" s="4510"/>
      <c r="AB7" s="4510"/>
      <c r="AC7" s="4510"/>
    </row>
    <row r="8" spans="1:29" ht="15.75" thickBot="1">
      <c r="A8" s="3162"/>
      <c r="B8" s="3163"/>
      <c r="C8" s="4649" t="s">
        <v>1826</v>
      </c>
      <c r="D8" s="4650"/>
      <c r="E8" s="4651" t="s">
        <v>1826</v>
      </c>
      <c r="F8" s="4652"/>
      <c r="G8" s="4649" t="s">
        <v>1826</v>
      </c>
      <c r="H8" s="4650"/>
      <c r="I8" s="4649" t="s">
        <v>1826</v>
      </c>
      <c r="J8" s="4650"/>
      <c r="K8" s="393" t="s">
        <v>1585</v>
      </c>
      <c r="L8" s="1973"/>
      <c r="M8" s="1974"/>
      <c r="N8" s="1974"/>
      <c r="O8" s="1974"/>
      <c r="P8" s="4618"/>
      <c r="Q8" s="4539"/>
      <c r="R8" s="4516"/>
      <c r="S8" s="4517"/>
      <c r="T8" s="4540"/>
      <c r="U8" s="4541"/>
      <c r="V8" s="4543"/>
      <c r="W8" s="4543"/>
      <c r="X8" s="909"/>
      <c r="Y8" s="4550"/>
      <c r="Z8" s="4551"/>
      <c r="AA8" s="4511"/>
      <c r="AB8" s="4511"/>
      <c r="AC8" s="4511"/>
    </row>
    <row r="9" spans="1:29" s="46" customFormat="1" ht="15.75" thickBot="1">
      <c r="A9" s="3088" t="s">
        <v>1586</v>
      </c>
      <c r="B9" s="3089"/>
      <c r="C9" s="2810">
        <f>'数据-取费表'!B2</f>
        <v>46097</v>
      </c>
      <c r="D9" s="2885">
        <v>100</v>
      </c>
      <c r="E9" s="2839"/>
      <c r="F9" s="3716">
        <f>SUMIF(67:67,YEAR(E9)&amp;"-"&amp;INT((MONTH(E9)+2)/3),68:68)</f>
        <v>0</v>
      </c>
      <c r="G9" s="3119"/>
      <c r="H9" s="3728">
        <f>SUMIF(67:67,YEAR(G9)&amp;"-"&amp;INT((MONTH(G9)+2)/3),68:68)</f>
        <v>0</v>
      </c>
      <c r="I9" s="3119"/>
      <c r="J9" s="3728">
        <f>SUMIF(67:67,YEAR(I9)&amp;"-"&amp;INT((MONTH(I9)+2)/3),68:68)</f>
        <v>0</v>
      </c>
      <c r="K9" s="22"/>
      <c r="L9" s="1975"/>
      <c r="M9" s="1928"/>
      <c r="N9" s="1928"/>
      <c r="O9" s="1928"/>
      <c r="P9" s="4619" t="s">
        <v>1587</v>
      </c>
      <c r="Q9" s="4552"/>
      <c r="R9" s="3758" t="s">
        <v>13</v>
      </c>
      <c r="S9" s="3541">
        <f t="shared" ref="S9:S17" si="0">F9</f>
        <v>0</v>
      </c>
      <c r="T9" s="3758" t="s">
        <v>13</v>
      </c>
      <c r="U9" s="3541">
        <f t="shared" ref="U9:U17" si="1">H9</f>
        <v>0</v>
      </c>
      <c r="V9" s="3758" t="s">
        <v>13</v>
      </c>
      <c r="W9" s="3541">
        <f t="shared" ref="W9:W17" si="2">J9</f>
        <v>0</v>
      </c>
      <c r="X9" s="482"/>
      <c r="Y9" s="4512" t="s">
        <v>1587</v>
      </c>
      <c r="Z9" s="4513"/>
      <c r="AA9" s="28" t="e">
        <f>D9/F9</f>
        <v>#DIV/0!</v>
      </c>
      <c r="AB9" s="28" t="e">
        <f>D9/H9</f>
        <v>#DIV/0!</v>
      </c>
      <c r="AC9" s="28" t="e">
        <f>D9/J9</f>
        <v>#DIV/0!</v>
      </c>
    </row>
    <row r="10" spans="1:29" s="46" customFormat="1" ht="15.75" thickBot="1">
      <c r="A10" s="3088" t="s">
        <v>1588</v>
      </c>
      <c r="B10" s="3089"/>
      <c r="C10" s="2811" t="s">
        <v>1589</v>
      </c>
      <c r="D10" s="2885">
        <v>100</v>
      </c>
      <c r="E10" s="2811"/>
      <c r="F10" s="3716">
        <f>SUMIF(70:70,E10,71:71)-SUMIF(70:70,C10,71:71)+100</f>
        <v>0</v>
      </c>
      <c r="G10" s="2811"/>
      <c r="H10" s="3728">
        <f>SUMIF(70:70,G10,71:71)-SUMIF(70:70,C10,71:71)+100</f>
        <v>0</v>
      </c>
      <c r="I10" s="2811"/>
      <c r="J10" s="3728">
        <f>SUMIF(70:70,I10,71:71)-SUMIF(70:70,C10,71:71)+100</f>
        <v>0</v>
      </c>
      <c r="K10" s="22"/>
      <c r="L10" s="1975"/>
      <c r="M10" s="1928"/>
      <c r="N10" s="1928"/>
      <c r="O10" s="1928"/>
      <c r="P10" s="4619" t="s">
        <v>1590</v>
      </c>
      <c r="Q10" s="4545"/>
      <c r="R10" s="3758" t="s">
        <v>13</v>
      </c>
      <c r="S10" s="3541">
        <f t="shared" si="0"/>
        <v>0</v>
      </c>
      <c r="T10" s="3758" t="s">
        <v>13</v>
      </c>
      <c r="U10" s="3541">
        <f t="shared" si="1"/>
        <v>0</v>
      </c>
      <c r="V10" s="3758" t="s">
        <v>13</v>
      </c>
      <c r="W10" s="3541">
        <f t="shared" si="2"/>
        <v>0</v>
      </c>
      <c r="X10" s="482"/>
      <c r="Y10" s="4512" t="s">
        <v>1590</v>
      </c>
      <c r="Z10" s="4513"/>
      <c r="AA10" s="28" t="e">
        <f t="shared" ref="AA10:AA42" si="3">D10/F10</f>
        <v>#DIV/0!</v>
      </c>
      <c r="AB10" s="28" t="e">
        <f t="shared" ref="AB10:AB42" si="4">D10/H10</f>
        <v>#DIV/0!</v>
      </c>
      <c r="AC10" s="28" t="e">
        <f t="shared" ref="AC10:AC42" si="5">D10/J10</f>
        <v>#DIV/0!</v>
      </c>
    </row>
    <row r="11" spans="1:29" s="46" customFormat="1">
      <c r="A11" s="3028" t="s">
        <v>1591</v>
      </c>
      <c r="B11" s="2791" t="s">
        <v>1592</v>
      </c>
      <c r="C11" s="3090"/>
      <c r="D11" s="2886">
        <v>100</v>
      </c>
      <c r="E11" s="3090"/>
      <c r="F11" s="3729">
        <f>SUMIF(72:72,E11,73:73)-SUMIF(72:72,C11,73:73)+100</f>
        <v>100</v>
      </c>
      <c r="G11" s="3090"/>
      <c r="H11" s="3729">
        <f>SUMIF(72:72,G11,73:73)-SUMIF(72:72,C11,73:73)+100</f>
        <v>100</v>
      </c>
      <c r="I11" s="3090"/>
      <c r="J11" s="3729">
        <f>SUMIF(72:72,I11,73:73)-SUMIF(72:72,C11,73:73)+100</f>
        <v>100</v>
      </c>
      <c r="K11" s="22"/>
      <c r="L11" s="1975"/>
      <c r="M11" s="1928"/>
      <c r="N11" s="1928"/>
      <c r="O11" s="2027"/>
      <c r="P11" s="4562" t="s">
        <v>1593</v>
      </c>
      <c r="Q11" s="1697" t="str">
        <f t="shared" ref="Q11:Q17" si="6">B11</f>
        <v>用途</v>
      </c>
      <c r="R11" s="3758" t="s">
        <v>13</v>
      </c>
      <c r="S11" s="3541">
        <f t="shared" si="0"/>
        <v>100</v>
      </c>
      <c r="T11" s="3758" t="s">
        <v>13</v>
      </c>
      <c r="U11" s="3541">
        <f t="shared" si="1"/>
        <v>100</v>
      </c>
      <c r="V11" s="3758" t="s">
        <v>13</v>
      </c>
      <c r="W11" s="3541">
        <f t="shared" si="2"/>
        <v>100</v>
      </c>
      <c r="X11" s="482"/>
      <c r="Y11" s="4526" t="s">
        <v>1594</v>
      </c>
      <c r="Z11" s="28" t="str">
        <f t="shared" ref="Z11:Z17" si="7">Q11</f>
        <v>用途</v>
      </c>
      <c r="AA11" s="28">
        <f t="shared" si="3"/>
        <v>1</v>
      </c>
      <c r="AB11" s="28">
        <f t="shared" si="4"/>
        <v>1</v>
      </c>
      <c r="AC11" s="28">
        <f t="shared" si="5"/>
        <v>1</v>
      </c>
    </row>
    <row r="12" spans="1:29" s="253" customFormat="1" ht="27">
      <c r="A12" s="3091"/>
      <c r="B12" s="2788" t="s">
        <v>1595</v>
      </c>
      <c r="C12" s="2815"/>
      <c r="D12" s="2887">
        <v>100</v>
      </c>
      <c r="E12" s="2815"/>
      <c r="F12" s="3730">
        <f>ROUND(100/'数据-取费表'!G16,1)</f>
        <v>108.2</v>
      </c>
      <c r="G12" s="2815"/>
      <c r="H12" s="3730">
        <f>ROUND(100/'数据-取费表'!G16,1)</f>
        <v>108.2</v>
      </c>
      <c r="I12" s="2815"/>
      <c r="J12" s="3730">
        <f>ROUND(100/'数据-取费表'!G16,1)</f>
        <v>108.2</v>
      </c>
      <c r="K12" s="434"/>
      <c r="L12" s="1976"/>
      <c r="M12" s="1977"/>
      <c r="N12" s="1977"/>
      <c r="O12" s="2028"/>
      <c r="P12" s="4562"/>
      <c r="Q12" s="1697" t="str">
        <f t="shared" si="6"/>
        <v>土地使用年限（年）</v>
      </c>
      <c r="R12" s="3758" t="s">
        <v>13</v>
      </c>
      <c r="S12" s="3541">
        <f t="shared" si="0"/>
        <v>108.2</v>
      </c>
      <c r="T12" s="3758" t="s">
        <v>13</v>
      </c>
      <c r="U12" s="3541">
        <f t="shared" si="1"/>
        <v>108.2</v>
      </c>
      <c r="V12" s="3758" t="s">
        <v>13</v>
      </c>
      <c r="W12" s="3541">
        <f t="shared" si="2"/>
        <v>108.2</v>
      </c>
      <c r="X12" s="482"/>
      <c r="Y12" s="4526"/>
      <c r="Z12" s="28" t="str">
        <f t="shared" si="7"/>
        <v>土地使用年限（年）</v>
      </c>
      <c r="AA12" s="28">
        <f t="shared" si="3"/>
        <v>0.92421441774491675</v>
      </c>
      <c r="AB12" s="28">
        <f t="shared" si="4"/>
        <v>0.92421441774491675</v>
      </c>
      <c r="AC12" s="28">
        <f t="shared" si="5"/>
        <v>0.92421441774491675</v>
      </c>
    </row>
    <row r="13" spans="1:29" ht="15">
      <c r="A13" s="3092"/>
      <c r="B13" s="2788" t="s">
        <v>1596</v>
      </c>
      <c r="C13" s="2814"/>
      <c r="D13" s="2887">
        <v>100</v>
      </c>
      <c r="E13" s="2814"/>
      <c r="F13" s="3730" t="e">
        <f>LOOKUP(E13,77:77,78:78)-LOOKUP(C13,77:77,78:78)+100</f>
        <v>#N/A</v>
      </c>
      <c r="G13" s="2842"/>
      <c r="H13" s="3730" t="e">
        <f>LOOKUP(G13,77:77,78:78)-LOOKUP(C13,77:77,78:78)+100</f>
        <v>#N/A</v>
      </c>
      <c r="I13" s="2814"/>
      <c r="J13" s="3730" t="e">
        <f>LOOKUP(I13,77:77,78:78)-LOOKUP(C13,77:77,78:78)+100</f>
        <v>#N/A</v>
      </c>
      <c r="K13" s="435"/>
      <c r="L13" s="1978"/>
      <c r="M13" s="1974"/>
      <c r="N13" s="1974"/>
      <c r="O13" s="2029"/>
      <c r="P13" s="4562"/>
      <c r="Q13" s="1697" t="str">
        <f t="shared" si="6"/>
        <v>容积率</v>
      </c>
      <c r="R13" s="3758" t="s">
        <v>13</v>
      </c>
      <c r="S13" s="3541" t="e">
        <f t="shared" si="0"/>
        <v>#N/A</v>
      </c>
      <c r="T13" s="3758" t="s">
        <v>13</v>
      </c>
      <c r="U13" s="3541" t="e">
        <f t="shared" si="1"/>
        <v>#N/A</v>
      </c>
      <c r="V13" s="3758" t="s">
        <v>13</v>
      </c>
      <c r="W13" s="3541" t="e">
        <f t="shared" si="2"/>
        <v>#N/A</v>
      </c>
      <c r="X13" s="482"/>
      <c r="Y13" s="4526"/>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0">
        <f>SUMIF(79:79,E14,80:80)-SUMIF(79:79,C14,80:80)+100</f>
        <v>100</v>
      </c>
      <c r="G14" s="3100"/>
      <c r="H14" s="3730">
        <f>SUMIF(79:79,G14,80:80)-SUMIF(79:79,C14,80:80)+100</f>
        <v>100</v>
      </c>
      <c r="I14" s="3114"/>
      <c r="J14" s="3730">
        <f>SUMIF(79:79,I14,80:80)-SUMIF(79:79,C14,80:80)+100</f>
        <v>100</v>
      </c>
      <c r="K14" s="434"/>
      <c r="L14" s="1975"/>
      <c r="M14" s="1928"/>
      <c r="N14" s="1928"/>
      <c r="O14" s="2027"/>
      <c r="P14" s="4562"/>
      <c r="Q14" s="1697">
        <f t="shared" si="6"/>
        <v>111</v>
      </c>
      <c r="R14" s="3758" t="s">
        <v>13</v>
      </c>
      <c r="S14" s="3541">
        <f t="shared" si="0"/>
        <v>100</v>
      </c>
      <c r="T14" s="3758" t="s">
        <v>13</v>
      </c>
      <c r="U14" s="3541">
        <f t="shared" si="1"/>
        <v>100</v>
      </c>
      <c r="V14" s="3758" t="s">
        <v>13</v>
      </c>
      <c r="W14" s="3541">
        <f t="shared" si="2"/>
        <v>100</v>
      </c>
      <c r="X14" s="482"/>
      <c r="Y14" s="4526"/>
      <c r="Z14" s="28">
        <f t="shared" si="7"/>
        <v>111</v>
      </c>
      <c r="AA14" s="28">
        <f>D14/F14</f>
        <v>1</v>
      </c>
      <c r="AB14" s="28">
        <f>D14/H14</f>
        <v>1</v>
      </c>
      <c r="AC14" s="28">
        <f>D14/J14</f>
        <v>1</v>
      </c>
    </row>
    <row r="15" spans="1:29" ht="15">
      <c r="A15" s="3092"/>
      <c r="B15" s="2792">
        <v>111</v>
      </c>
      <c r="C15" s="2816"/>
      <c r="D15" s="2889">
        <v>100</v>
      </c>
      <c r="E15" s="3114"/>
      <c r="F15" s="3730">
        <f>SUMIF(81:81,E15,82:82)-SUMIF(81:81,C15,82:82)+100</f>
        <v>100</v>
      </c>
      <c r="G15" s="3100"/>
      <c r="H15" s="3724">
        <f>SUMIF(81:81,G15,82:82)-SUMIF(81:81,C15,82:82)+100</f>
        <v>100</v>
      </c>
      <c r="I15" s="3114"/>
      <c r="J15" s="3724">
        <f>SUMIF(81:81,I15,82:82)-SUMIF(81:81,C15,82:82)+100</f>
        <v>100</v>
      </c>
      <c r="K15" s="434"/>
      <c r="L15" s="1979"/>
      <c r="M15" s="1974"/>
      <c r="N15" s="1974"/>
      <c r="O15" s="2029"/>
      <c r="P15" s="4562"/>
      <c r="Q15" s="1697">
        <f t="shared" si="6"/>
        <v>111</v>
      </c>
      <c r="R15" s="3758" t="s">
        <v>13</v>
      </c>
      <c r="S15" s="3541">
        <f t="shared" si="0"/>
        <v>100</v>
      </c>
      <c r="T15" s="3758" t="s">
        <v>13</v>
      </c>
      <c r="U15" s="3541">
        <f t="shared" si="1"/>
        <v>100</v>
      </c>
      <c r="V15" s="3758" t="s">
        <v>13</v>
      </c>
      <c r="W15" s="3541">
        <f t="shared" si="2"/>
        <v>100</v>
      </c>
      <c r="X15" s="482"/>
      <c r="Y15" s="4526"/>
      <c r="Z15" s="28">
        <f t="shared" si="7"/>
        <v>111</v>
      </c>
      <c r="AA15" s="28">
        <f t="shared" si="3"/>
        <v>1</v>
      </c>
      <c r="AB15" s="28">
        <f t="shared" si="4"/>
        <v>1</v>
      </c>
      <c r="AC15" s="28">
        <f t="shared" si="5"/>
        <v>1</v>
      </c>
    </row>
    <row r="16" spans="1:29" ht="15.75" thickBot="1">
      <c r="A16" s="3094"/>
      <c r="B16" s="2793">
        <v>111</v>
      </c>
      <c r="C16" s="2817"/>
      <c r="D16" s="2890">
        <v>100</v>
      </c>
      <c r="E16" s="3114"/>
      <c r="F16" s="3726">
        <f>SUMIF(83:83,E16,84:84)-SUMIF(83:83,C16,84:84)+100</f>
        <v>100</v>
      </c>
      <c r="G16" s="3100"/>
      <c r="H16" s="3726">
        <f>SUMIF(83:83,G16,84:84)-SUMIF(83:83,C16,84:84)+100</f>
        <v>100</v>
      </c>
      <c r="I16" s="3114"/>
      <c r="J16" s="3726">
        <f>SUMIF(83:83,I16,84:84)-SUMIF(83:83,C16,84:84)+100</f>
        <v>100</v>
      </c>
      <c r="K16" s="434"/>
      <c r="L16" s="1979"/>
      <c r="M16" s="1974"/>
      <c r="N16" s="1974"/>
      <c r="O16" s="2029"/>
      <c r="P16" s="4562"/>
      <c r="Q16" s="1697">
        <f t="shared" si="6"/>
        <v>111</v>
      </c>
      <c r="R16" s="3758" t="s">
        <v>13</v>
      </c>
      <c r="S16" s="3541">
        <f t="shared" si="0"/>
        <v>100</v>
      </c>
      <c r="T16" s="3758" t="s">
        <v>13</v>
      </c>
      <c r="U16" s="3541">
        <f t="shared" si="1"/>
        <v>100</v>
      </c>
      <c r="V16" s="3758" t="s">
        <v>13</v>
      </c>
      <c r="W16" s="3541">
        <f t="shared" si="2"/>
        <v>100</v>
      </c>
      <c r="X16" s="482"/>
      <c r="Y16" s="4526"/>
      <c r="Z16" s="28">
        <f t="shared" si="7"/>
        <v>111</v>
      </c>
      <c r="AA16" s="28">
        <f t="shared" si="3"/>
        <v>1</v>
      </c>
      <c r="AB16" s="28">
        <f t="shared" si="4"/>
        <v>1</v>
      </c>
      <c r="AC16" s="28">
        <f t="shared" si="5"/>
        <v>1</v>
      </c>
    </row>
    <row r="17" spans="1:29" ht="57">
      <c r="A17" s="3095" t="s">
        <v>1597</v>
      </c>
      <c r="B17" s="3164" t="s">
        <v>1827</v>
      </c>
      <c r="C17" s="3173" t="str">
        <f>估价对象房地状况!G15</f>
        <v>估价对象位于XX开发区，园区建设成熟度XX，产业集聚程度XX</v>
      </c>
      <c r="D17" s="2891">
        <v>100</v>
      </c>
      <c r="E17" s="2843"/>
      <c r="F17" s="3720">
        <f>SUMIF(85:85,E18,86:86)-SUMIF(85:85,C18,86:86)+100</f>
        <v>100</v>
      </c>
      <c r="G17" s="2843"/>
      <c r="H17" s="3720">
        <f>SUMIF(85:85,G18,86:86)-SUMIF(85:85,C18,86:86)+100</f>
        <v>100</v>
      </c>
      <c r="I17" s="2849"/>
      <c r="J17" s="3720">
        <f>SUMIF(85:85,I18,86:86)-SUMIF(85:85,C18,86:86)+100</f>
        <v>100</v>
      </c>
      <c r="K17" s="435"/>
      <c r="L17" s="1979"/>
      <c r="M17" s="1974"/>
      <c r="N17" s="1974"/>
      <c r="O17" s="2029"/>
      <c r="P17" s="4630" t="s">
        <v>1598</v>
      </c>
      <c r="Q17" s="1506" t="str">
        <f t="shared" si="6"/>
        <v>产业集聚程度</v>
      </c>
      <c r="R17" s="3759" t="s">
        <v>13</v>
      </c>
      <c r="S17" s="3761">
        <f t="shared" si="0"/>
        <v>100</v>
      </c>
      <c r="T17" s="3759" t="s">
        <v>13</v>
      </c>
      <c r="U17" s="3761">
        <f t="shared" si="1"/>
        <v>100</v>
      </c>
      <c r="V17" s="3759" t="s">
        <v>13</v>
      </c>
      <c r="W17" s="3761">
        <f t="shared" si="2"/>
        <v>100</v>
      </c>
      <c r="X17" s="909"/>
      <c r="Y17" s="4555" t="s">
        <v>1598</v>
      </c>
      <c r="Z17" s="907" t="str">
        <f t="shared" si="7"/>
        <v>产业集聚程度</v>
      </c>
      <c r="AA17" s="907">
        <f t="shared" si="3"/>
        <v>1</v>
      </c>
      <c r="AB17" s="907">
        <f t="shared" si="4"/>
        <v>1</v>
      </c>
      <c r="AC17" s="907">
        <f t="shared" si="5"/>
        <v>1</v>
      </c>
    </row>
    <row r="18" spans="1:29" ht="15">
      <c r="A18" s="3092"/>
      <c r="B18" s="3165"/>
      <c r="C18" s="2819"/>
      <c r="D18" s="2892"/>
      <c r="E18" s="2870"/>
      <c r="F18" s="3721"/>
      <c r="G18" s="2870"/>
      <c r="H18" s="3722"/>
      <c r="I18" s="2870"/>
      <c r="J18" s="3721"/>
      <c r="K18" s="434"/>
      <c r="L18" s="1979"/>
      <c r="M18" s="1974"/>
      <c r="N18" s="1974"/>
      <c r="O18" s="2029"/>
      <c r="P18" s="4631"/>
      <c r="Q18" s="1506"/>
      <c r="R18" s="3759"/>
      <c r="S18" s="3761"/>
      <c r="T18" s="3759"/>
      <c r="U18" s="3761"/>
      <c r="V18" s="3759"/>
      <c r="W18" s="3761"/>
      <c r="X18" s="909"/>
      <c r="Y18" s="4556"/>
      <c r="Z18" s="907"/>
      <c r="AA18" s="907">
        <v>1</v>
      </c>
      <c r="AB18" s="907">
        <v>1</v>
      </c>
      <c r="AC18" s="907">
        <v>1</v>
      </c>
    </row>
    <row r="19" spans="1:29" ht="85.5">
      <c r="A19" s="3092"/>
      <c r="B19" s="3166" t="s">
        <v>1740</v>
      </c>
      <c r="C19" s="2820" t="str">
        <f>估价对象房地状况!G16</f>
        <v>估价对象周边道路状况、公共交通通达情况、停车便捷程度，综合评价交通便捷度较好</v>
      </c>
      <c r="D19" s="2893">
        <v>100</v>
      </c>
      <c r="E19" s="2844"/>
      <c r="F19" s="3723">
        <f>SUMIF(87:87,E20,88:88)-SUMIF(87:87,C20,88:88)+100</f>
        <v>100</v>
      </c>
      <c r="G19" s="2844"/>
      <c r="H19" s="3723">
        <f>SUMIF(87:87,G20,88:88)-SUMIF(87:87,C20,88:88)+100</f>
        <v>100</v>
      </c>
      <c r="I19" s="2850"/>
      <c r="J19" s="3722">
        <f>SUMIF(87:87,I20,88:88)-SUMIF(87:87,C20,88:88)+100</f>
        <v>100</v>
      </c>
      <c r="K19" s="435"/>
      <c r="L19" s="1979"/>
      <c r="M19" s="1974"/>
      <c r="N19" s="1974"/>
      <c r="O19" s="2029"/>
      <c r="P19" s="4631"/>
      <c r="Q19" s="1506" t="str">
        <f>B19</f>
        <v>交通便捷度</v>
      </c>
      <c r="R19" s="3759" t="s">
        <v>13</v>
      </c>
      <c r="S19" s="3761">
        <f>F19</f>
        <v>100</v>
      </c>
      <c r="T19" s="3759" t="s">
        <v>13</v>
      </c>
      <c r="U19" s="3761">
        <f>H19</f>
        <v>100</v>
      </c>
      <c r="V19" s="3759" t="s">
        <v>13</v>
      </c>
      <c r="W19" s="3761">
        <f>J19</f>
        <v>100</v>
      </c>
      <c r="X19" s="909"/>
      <c r="Y19" s="4556"/>
      <c r="Z19" s="907" t="str">
        <f>Q19</f>
        <v>交通便捷度</v>
      </c>
      <c r="AA19" s="907">
        <f t="shared" si="3"/>
        <v>1</v>
      </c>
      <c r="AB19" s="907">
        <f t="shared" si="4"/>
        <v>1</v>
      </c>
      <c r="AC19" s="907">
        <f t="shared" si="5"/>
        <v>1</v>
      </c>
    </row>
    <row r="20" spans="1:29" ht="15">
      <c r="A20" s="3092"/>
      <c r="B20" s="3167"/>
      <c r="C20" s="2819"/>
      <c r="D20" s="2892"/>
      <c r="E20" s="2847"/>
      <c r="F20" s="3721"/>
      <c r="G20" s="2847"/>
      <c r="H20" s="3721"/>
      <c r="I20" s="2853"/>
      <c r="J20" s="3721"/>
      <c r="K20" s="434"/>
      <c r="L20" s="1979"/>
      <c r="M20" s="1974"/>
      <c r="N20" s="1974"/>
      <c r="O20" s="2029"/>
      <c r="P20" s="4631"/>
      <c r="Q20" s="1506"/>
      <c r="R20" s="3759"/>
      <c r="S20" s="3761"/>
      <c r="T20" s="3759"/>
      <c r="U20" s="3761"/>
      <c r="V20" s="3759"/>
      <c r="W20" s="3761"/>
      <c r="X20" s="909"/>
      <c r="Y20" s="4556"/>
      <c r="Z20" s="907"/>
      <c r="AA20" s="907">
        <v>1</v>
      </c>
      <c r="AB20" s="907">
        <v>1</v>
      </c>
      <c r="AC20" s="907">
        <v>1</v>
      </c>
    </row>
    <row r="21" spans="1:29" ht="15">
      <c r="A21" s="3092"/>
      <c r="B21" s="3166" t="s">
        <v>1778</v>
      </c>
      <c r="C21" s="2820">
        <f>估价对象房地状况!G17</f>
        <v>0</v>
      </c>
      <c r="D21" s="2893">
        <v>100</v>
      </c>
      <c r="E21" s="2844"/>
      <c r="F21" s="3723">
        <f>SUMIF(89:89,E22,90:90)-SUMIF(89:89,C22,90:90)+100</f>
        <v>100</v>
      </c>
      <c r="G21" s="2844"/>
      <c r="H21" s="3723">
        <f>SUMIF(89:89,G22,90:90)-SUMIF(89:89,C22,90:90)+100</f>
        <v>100</v>
      </c>
      <c r="I21" s="2844"/>
      <c r="J21" s="3723">
        <f>SUMIF(89:89,I22,90:90)-SUMIF(89:89,C22,90:90)+100</f>
        <v>100</v>
      </c>
      <c r="K21" s="435"/>
      <c r="L21" s="1979"/>
      <c r="M21" s="1974"/>
      <c r="N21" s="1974"/>
      <c r="O21" s="2029"/>
      <c r="P21" s="4631"/>
      <c r="Q21" s="1506" t="str">
        <f t="shared" ref="Q21:Q35" si="8">B21</f>
        <v>区域土地利用方向</v>
      </c>
      <c r="R21" s="3759" t="s">
        <v>13</v>
      </c>
      <c r="S21" s="3761">
        <f>F21</f>
        <v>100</v>
      </c>
      <c r="T21" s="3759" t="s">
        <v>13</v>
      </c>
      <c r="U21" s="3761">
        <f>H21</f>
        <v>100</v>
      </c>
      <c r="V21" s="3759" t="s">
        <v>13</v>
      </c>
      <c r="W21" s="3761">
        <f>J21</f>
        <v>100</v>
      </c>
      <c r="X21" s="909"/>
      <c r="Y21" s="4556"/>
      <c r="Z21" s="907" t="str">
        <f>Q21</f>
        <v>区域土地利用方向</v>
      </c>
      <c r="AA21" s="907">
        <f t="shared" si="3"/>
        <v>1</v>
      </c>
      <c r="AB21" s="907">
        <f t="shared" si="4"/>
        <v>1</v>
      </c>
      <c r="AC21" s="907">
        <f t="shared" si="5"/>
        <v>1</v>
      </c>
    </row>
    <row r="22" spans="1:29" ht="15">
      <c r="A22" s="3096"/>
      <c r="B22" s="3167"/>
      <c r="C22" s="2819"/>
      <c r="D22" s="2892"/>
      <c r="E22" s="2847"/>
      <c r="F22" s="3721"/>
      <c r="G22" s="2847"/>
      <c r="H22" s="3721"/>
      <c r="I22" s="2847"/>
      <c r="J22" s="3721"/>
      <c r="K22" s="503"/>
      <c r="L22" s="1979"/>
      <c r="M22" s="1974"/>
      <c r="N22" s="1974"/>
      <c r="O22" s="2029"/>
      <c r="P22" s="4631"/>
      <c r="Q22" s="1506"/>
      <c r="R22" s="3759"/>
      <c r="S22" s="3761"/>
      <c r="T22" s="3759"/>
      <c r="U22" s="3761"/>
      <c r="V22" s="3759"/>
      <c r="W22" s="3761"/>
      <c r="X22" s="909"/>
      <c r="Y22" s="4556"/>
      <c r="Z22" s="907"/>
      <c r="AA22" s="907"/>
      <c r="AB22" s="907"/>
      <c r="AC22" s="907"/>
    </row>
    <row r="23" spans="1:29" ht="71.25">
      <c r="A23" s="3096"/>
      <c r="B23" s="3166" t="s">
        <v>1828</v>
      </c>
      <c r="C23" s="2820" t="str">
        <f>估价对象房地状况!G18</f>
        <v>该园区内是否有污染型企业，绿化情况，卫生条件，整体环境状况判断</v>
      </c>
      <c r="D23" s="2893">
        <v>100</v>
      </c>
      <c r="E23" s="2844"/>
      <c r="F23" s="3722">
        <f>SUMIF(91:91,E24,92:92)-SUMIF(91:91,C24,92:92)+100</f>
        <v>100</v>
      </c>
      <c r="G23" s="2844"/>
      <c r="H23" s="3722">
        <f>SUMIF(91:91,G24,92:92)-SUMIF(91:91,C24,92:92)+100</f>
        <v>100</v>
      </c>
      <c r="I23" s="2850"/>
      <c r="J23" s="3722">
        <f>SUMIF(91:91,I24,92:92)-SUMIF(91:91,C24,92:92)+100</f>
        <v>100</v>
      </c>
      <c r="K23" s="435"/>
      <c r="L23" s="1979"/>
      <c r="M23" s="1974"/>
      <c r="N23" s="1974"/>
      <c r="O23" s="2029"/>
      <c r="P23" s="4631"/>
      <c r="Q23" s="1506" t="str">
        <f t="shared" si="8"/>
        <v>环境状况</v>
      </c>
      <c r="R23" s="3759" t="s">
        <v>13</v>
      </c>
      <c r="S23" s="3761">
        <f>F23</f>
        <v>100</v>
      </c>
      <c r="T23" s="3759" t="s">
        <v>13</v>
      </c>
      <c r="U23" s="3761">
        <f>H23</f>
        <v>100</v>
      </c>
      <c r="V23" s="3759" t="s">
        <v>13</v>
      </c>
      <c r="W23" s="3761">
        <f>J23</f>
        <v>100</v>
      </c>
      <c r="X23" s="909"/>
      <c r="Y23" s="4556"/>
      <c r="Z23" s="907" t="str">
        <f>Q23</f>
        <v>环境状况</v>
      </c>
      <c r="AA23" s="907">
        <f t="shared" si="3"/>
        <v>1</v>
      </c>
      <c r="AB23" s="907">
        <f t="shared" si="4"/>
        <v>1</v>
      </c>
      <c r="AC23" s="907">
        <f t="shared" si="5"/>
        <v>1</v>
      </c>
    </row>
    <row r="24" spans="1:29" ht="15">
      <c r="A24" s="3096"/>
      <c r="B24" s="3167"/>
      <c r="C24" s="2819"/>
      <c r="D24" s="2892"/>
      <c r="E24" s="2870"/>
      <c r="F24" s="3721"/>
      <c r="G24" s="2870"/>
      <c r="H24" s="3721"/>
      <c r="I24" s="2819"/>
      <c r="J24" s="3721"/>
      <c r="K24" s="434"/>
      <c r="L24" s="1979"/>
      <c r="M24" s="1974"/>
      <c r="N24" s="1974"/>
      <c r="O24" s="2029"/>
      <c r="P24" s="4631"/>
      <c r="Q24" s="1506"/>
      <c r="R24" s="3759"/>
      <c r="S24" s="3761"/>
      <c r="T24" s="3759"/>
      <c r="U24" s="3761"/>
      <c r="V24" s="3759"/>
      <c r="W24" s="3761"/>
      <c r="X24" s="909"/>
      <c r="Y24" s="4556"/>
      <c r="Z24" s="907"/>
      <c r="AA24" s="907">
        <v>1</v>
      </c>
      <c r="AB24" s="907">
        <v>1</v>
      </c>
      <c r="AC24" s="907">
        <v>1</v>
      </c>
    </row>
    <row r="25" spans="1:29" s="46" customFormat="1" ht="42.75">
      <c r="A25" s="3098"/>
      <c r="B25" s="3168" t="s">
        <v>1685</v>
      </c>
      <c r="C25" s="2820" t="str">
        <f>估价对象房地状况!G19</f>
        <v>估价对象所在区域公共配套设施齐备情况</v>
      </c>
      <c r="D25" s="2893">
        <v>100</v>
      </c>
      <c r="E25" s="2844"/>
      <c r="F25" s="3722">
        <f>SUMIF(93:93,E26,94:94)-SUMIF(93:93,C26,94:94)+100</f>
        <v>100</v>
      </c>
      <c r="G25" s="2844"/>
      <c r="H25" s="3722">
        <f>SUMIF(93:93,G26,94:94)-SUMIF(93:93,C26,94:94)+100</f>
        <v>100</v>
      </c>
      <c r="I25" s="2850"/>
      <c r="J25" s="3722">
        <f>SUMIF(93:93,I26,94:94)-SUMIF(93:93,C26,94:94)+100</f>
        <v>100</v>
      </c>
      <c r="K25" s="435"/>
      <c r="L25" s="1975"/>
      <c r="M25" s="1928"/>
      <c r="N25" s="1928"/>
      <c r="O25" s="2027"/>
      <c r="P25" s="4631"/>
      <c r="Q25" s="1697" t="str">
        <f t="shared" si="8"/>
        <v>公共配套设施</v>
      </c>
      <c r="R25" s="3758" t="s">
        <v>13</v>
      </c>
      <c r="S25" s="3541">
        <f>F25</f>
        <v>100</v>
      </c>
      <c r="T25" s="3758" t="s">
        <v>13</v>
      </c>
      <c r="U25" s="3541">
        <f>H25</f>
        <v>100</v>
      </c>
      <c r="V25" s="3758" t="s">
        <v>13</v>
      </c>
      <c r="W25" s="3541">
        <f>J25</f>
        <v>100</v>
      </c>
      <c r="X25" s="482"/>
      <c r="Y25" s="4556"/>
      <c r="Z25" s="28" t="str">
        <f>Q25</f>
        <v>公共配套设施</v>
      </c>
      <c r="AA25" s="907">
        <f>D25/F25</f>
        <v>1</v>
      </c>
      <c r="AB25" s="907">
        <f>D25/H25</f>
        <v>1</v>
      </c>
      <c r="AC25" s="907">
        <f>D25/J25</f>
        <v>1</v>
      </c>
    </row>
    <row r="26" spans="1:29" s="46" customFormat="1" ht="15">
      <c r="A26" s="3098"/>
      <c r="B26" s="3167"/>
      <c r="C26" s="3099"/>
      <c r="D26" s="2892"/>
      <c r="E26" s="2870"/>
      <c r="F26" s="3721"/>
      <c r="G26" s="2870"/>
      <c r="H26" s="3721"/>
      <c r="I26" s="2819"/>
      <c r="J26" s="3721"/>
      <c r="K26" s="434"/>
      <c r="L26" s="1975"/>
      <c r="M26" s="1928"/>
      <c r="N26" s="1928"/>
      <c r="O26" s="2027"/>
      <c r="P26" s="4631"/>
      <c r="Q26" s="1697"/>
      <c r="R26" s="3758"/>
      <c r="S26" s="3541"/>
      <c r="T26" s="3758"/>
      <c r="U26" s="3541"/>
      <c r="V26" s="3758"/>
      <c r="W26" s="3541"/>
      <c r="X26" s="482"/>
      <c r="Y26" s="4556"/>
      <c r="Z26" s="28"/>
      <c r="AA26" s="28">
        <v>1</v>
      </c>
      <c r="AB26" s="28">
        <v>1</v>
      </c>
      <c r="AC26" s="28">
        <v>1</v>
      </c>
    </row>
    <row r="27" spans="1:29" s="46" customFormat="1" ht="28.5">
      <c r="A27" s="3098"/>
      <c r="B27" s="3168" t="s">
        <v>1686</v>
      </c>
      <c r="C27" s="2820" t="str">
        <f>估价对象房地状况!G20</f>
        <v>估价对象所在区域基础设施水平</v>
      </c>
      <c r="D27" s="2893">
        <v>100</v>
      </c>
      <c r="E27" s="2844"/>
      <c r="F27" s="3722">
        <f>SUMIF(95:95,E28,96:96)-SUMIF(95:95,C28,96:96)+100</f>
        <v>100</v>
      </c>
      <c r="G27" s="2844"/>
      <c r="H27" s="3722">
        <f>SUMIF(95:95,G28,96:96)-SUMIF(95:95,C28,96:96)+100</f>
        <v>100</v>
      </c>
      <c r="I27" s="2850"/>
      <c r="J27" s="3722">
        <f>SUMIF(95:95,I28,96:96)-SUMIF(95:95,C28,96:96)+100</f>
        <v>100</v>
      </c>
      <c r="K27" s="435"/>
      <c r="L27" s="1975"/>
      <c r="M27" s="1928"/>
      <c r="N27" s="1928"/>
      <c r="O27" s="2027"/>
      <c r="P27" s="4631"/>
      <c r="Q27" s="1697" t="str">
        <f t="shared" ref="Q27" si="9">B27</f>
        <v>基础设施水平</v>
      </c>
      <c r="R27" s="3758" t="s">
        <v>13</v>
      </c>
      <c r="S27" s="3541">
        <f>F27</f>
        <v>100</v>
      </c>
      <c r="T27" s="3758" t="s">
        <v>13</v>
      </c>
      <c r="U27" s="3541">
        <f>H27</f>
        <v>100</v>
      </c>
      <c r="V27" s="3758" t="s">
        <v>13</v>
      </c>
      <c r="W27" s="3541">
        <f>J27</f>
        <v>100</v>
      </c>
      <c r="X27" s="482"/>
      <c r="Y27" s="4556"/>
      <c r="Z27" s="28" t="str">
        <f>Q27</f>
        <v>基础设施水平</v>
      </c>
      <c r="AA27" s="907">
        <f>D27/F27</f>
        <v>1</v>
      </c>
      <c r="AB27" s="907">
        <f>D27/H27</f>
        <v>1</v>
      </c>
      <c r="AC27" s="907">
        <f>D27/J27</f>
        <v>1</v>
      </c>
    </row>
    <row r="28" spans="1:29" s="46" customFormat="1" ht="15">
      <c r="A28" s="3098"/>
      <c r="B28" s="3167"/>
      <c r="C28" s="3099"/>
      <c r="D28" s="2892"/>
      <c r="E28" s="3115"/>
      <c r="F28" s="3721"/>
      <c r="G28" s="3115"/>
      <c r="H28" s="3721"/>
      <c r="I28" s="3115"/>
      <c r="J28" s="3721"/>
      <c r="K28" s="434"/>
      <c r="L28" s="1975"/>
      <c r="M28" s="1928"/>
      <c r="N28" s="1928"/>
      <c r="O28" s="2027"/>
      <c r="P28" s="4631"/>
      <c r="Q28" s="1697"/>
      <c r="R28" s="3758"/>
      <c r="S28" s="3541"/>
      <c r="T28" s="3758"/>
      <c r="U28" s="3541"/>
      <c r="V28" s="3758"/>
      <c r="W28" s="3541"/>
      <c r="X28" s="482"/>
      <c r="Y28" s="4556"/>
      <c r="Z28" s="28"/>
      <c r="AA28" s="28">
        <v>1</v>
      </c>
      <c r="AB28" s="28">
        <v>1</v>
      </c>
      <c r="AC28" s="28">
        <v>1</v>
      </c>
    </row>
    <row r="29" spans="1:29" ht="15">
      <c r="A29" s="3092"/>
      <c r="B29" s="3167" t="s">
        <v>1687</v>
      </c>
      <c r="C29" s="2835"/>
      <c r="D29" s="2889">
        <v>100</v>
      </c>
      <c r="E29" s="3116"/>
      <c r="F29" s="3724">
        <f>SUMIF(97:97,E29,98:98)-SUMIF(97:97,C29,98:98)+100</f>
        <v>100</v>
      </c>
      <c r="G29" s="3116"/>
      <c r="H29" s="3724">
        <f>SUMIF(97:97,G29,98:98)-SUMIF(97:97,C29,98:98)+100</f>
        <v>100</v>
      </c>
      <c r="I29" s="3116"/>
      <c r="J29" s="3724">
        <f>SUMIF(97:97,I29,98:98)-SUMIF(97:97,C29,98:98)+100</f>
        <v>100</v>
      </c>
      <c r="K29" s="435"/>
      <c r="L29" s="1979"/>
      <c r="M29" s="1974"/>
      <c r="N29" s="1974"/>
      <c r="O29" s="2029"/>
      <c r="P29" s="4631"/>
      <c r="Q29" s="1506" t="str">
        <f t="shared" si="8"/>
        <v>临街状况</v>
      </c>
      <c r="R29" s="3759" t="s">
        <v>13</v>
      </c>
      <c r="S29" s="3761">
        <f t="shared" ref="S29:S42" si="10">F29</f>
        <v>100</v>
      </c>
      <c r="T29" s="3759" t="s">
        <v>13</v>
      </c>
      <c r="U29" s="3761">
        <f t="shared" ref="U29:U42" si="11">H29</f>
        <v>100</v>
      </c>
      <c r="V29" s="3759" t="s">
        <v>13</v>
      </c>
      <c r="W29" s="3761">
        <f t="shared" ref="W29:W42" si="12">J29</f>
        <v>100</v>
      </c>
      <c r="X29" s="909"/>
      <c r="Y29" s="4556"/>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3">
        <v>100</v>
      </c>
      <c r="E30" s="2844"/>
      <c r="F30" s="3722">
        <f>SUMIF(99:99,E31,100:100)-SUMIF(99:99,C31,100:100)+100</f>
        <v>100</v>
      </c>
      <c r="G30" s="2844"/>
      <c r="H30" s="3722">
        <f>SUMIF(99:99,G31,100:100)-SUMIF(99:99,C31,100:100)+100</f>
        <v>100</v>
      </c>
      <c r="I30" s="2850"/>
      <c r="J30" s="3722">
        <f>SUMIF(99:99,I31,100:100)-SUMIF(99:99,C31,100:100)+100</f>
        <v>100</v>
      </c>
      <c r="K30" s="435"/>
      <c r="L30" s="1979"/>
      <c r="M30" s="1974"/>
      <c r="N30" s="1974"/>
      <c r="O30" s="2029"/>
      <c r="P30" s="4631"/>
      <c r="Q30" s="1506" t="str">
        <f t="shared" si="8"/>
        <v>毗邻道路的类型与等级</v>
      </c>
      <c r="R30" s="3759" t="s">
        <v>13</v>
      </c>
      <c r="S30" s="3761">
        <f t="shared" si="10"/>
        <v>100</v>
      </c>
      <c r="T30" s="3759" t="s">
        <v>13</v>
      </c>
      <c r="U30" s="3761">
        <f t="shared" si="11"/>
        <v>100</v>
      </c>
      <c r="V30" s="3759" t="s">
        <v>13</v>
      </c>
      <c r="W30" s="3761">
        <f t="shared" si="12"/>
        <v>100</v>
      </c>
      <c r="X30" s="909"/>
      <c r="Y30" s="4556"/>
      <c r="Z30" s="907" t="str">
        <f t="shared" si="13"/>
        <v>毗邻道路的类型与等级</v>
      </c>
      <c r="AA30" s="907">
        <f t="shared" si="3"/>
        <v>1</v>
      </c>
      <c r="AB30" s="907">
        <f t="shared" si="4"/>
        <v>1</v>
      </c>
      <c r="AC30" s="907">
        <f t="shared" si="5"/>
        <v>1</v>
      </c>
    </row>
    <row r="31" spans="1:29" ht="15">
      <c r="A31" s="3092"/>
      <c r="B31" s="3167"/>
      <c r="C31" s="2819"/>
      <c r="D31" s="2892"/>
      <c r="E31" s="2870"/>
      <c r="F31" s="3721"/>
      <c r="G31" s="2870"/>
      <c r="H31" s="3721"/>
      <c r="I31" s="2870"/>
      <c r="J31" s="3721"/>
      <c r="K31" s="395"/>
      <c r="L31" s="1979"/>
      <c r="M31" s="1974"/>
      <c r="N31" s="1974"/>
      <c r="O31" s="2029"/>
      <c r="P31" s="4631"/>
      <c r="Q31" s="1506"/>
      <c r="R31" s="3759"/>
      <c r="S31" s="3761"/>
      <c r="T31" s="3759"/>
      <c r="U31" s="3761"/>
      <c r="V31" s="3759"/>
      <c r="W31" s="3761"/>
      <c r="X31" s="909"/>
      <c r="Y31" s="4556"/>
      <c r="Z31" s="907"/>
      <c r="AA31" s="907">
        <v>1</v>
      </c>
      <c r="AB31" s="907">
        <v>1</v>
      </c>
      <c r="AC31" s="907">
        <v>1</v>
      </c>
    </row>
    <row r="32" spans="1:29" ht="15">
      <c r="A32" s="3092"/>
      <c r="B32" s="3169" t="s">
        <v>1780</v>
      </c>
      <c r="C32" s="3097">
        <f>估价对象房地状况!G23</f>
        <v>0</v>
      </c>
      <c r="D32" s="2889">
        <v>100</v>
      </c>
      <c r="E32" s="3116"/>
      <c r="F32" s="3724">
        <f>SUMIF(101:101,E32,102:102)-SUMIF(101:101,C32,102:102)+100</f>
        <v>100</v>
      </c>
      <c r="G32" s="3116"/>
      <c r="H32" s="3724">
        <f>SUMIF(101:101,G32,102:102)-SUMIF(101:101,C32,102:102)+100</f>
        <v>100</v>
      </c>
      <c r="I32" s="3116"/>
      <c r="J32" s="3724">
        <f>SUMIF(101:101,I32,102:102)-SUMIF(101:101,C32,102:102)+100</f>
        <v>100</v>
      </c>
      <c r="K32" s="394"/>
      <c r="L32" s="1979"/>
      <c r="M32" s="1974"/>
      <c r="N32" s="1974"/>
      <c r="O32" s="2029"/>
      <c r="P32" s="4631"/>
      <c r="Q32" s="1506" t="str">
        <f t="shared" si="8"/>
        <v>土地级别</v>
      </c>
      <c r="R32" s="3759" t="s">
        <v>13</v>
      </c>
      <c r="S32" s="3761">
        <f t="shared" si="10"/>
        <v>100</v>
      </c>
      <c r="T32" s="3759" t="s">
        <v>13</v>
      </c>
      <c r="U32" s="3761">
        <f t="shared" si="11"/>
        <v>100</v>
      </c>
      <c r="V32" s="3759" t="s">
        <v>13</v>
      </c>
      <c r="W32" s="3761">
        <f t="shared" si="12"/>
        <v>100</v>
      </c>
      <c r="X32" s="909"/>
      <c r="Y32" s="4556"/>
      <c r="Z32" s="907" t="str">
        <f t="shared" si="13"/>
        <v>土地级别</v>
      </c>
      <c r="AA32" s="907">
        <f t="shared" si="3"/>
        <v>1</v>
      </c>
      <c r="AB32" s="907">
        <f t="shared" si="4"/>
        <v>1</v>
      </c>
      <c r="AC32" s="907">
        <f t="shared" si="5"/>
        <v>1</v>
      </c>
    </row>
    <row r="33" spans="1:31" ht="15">
      <c r="A33" s="3096"/>
      <c r="B33" s="3170">
        <v>111</v>
      </c>
      <c r="C33" s="3100"/>
      <c r="D33" s="2889">
        <v>100</v>
      </c>
      <c r="E33" s="3117"/>
      <c r="F33" s="3724">
        <f>SUMIF(103:103,E33,104:104)-SUMIF(103:103,C33,104:104)+100</f>
        <v>100</v>
      </c>
      <c r="G33" s="3117"/>
      <c r="H33" s="3724">
        <f>SUMIF(103:103,G33,104:104)-SUMIF(103:103,C33,104:104)+100</f>
        <v>100</v>
      </c>
      <c r="I33" s="3114"/>
      <c r="J33" s="3724">
        <f>SUMIF(103:103,I33,104:104)-SUMIF(103:103,C33,104:104)+100</f>
        <v>100</v>
      </c>
      <c r="K33" s="395"/>
      <c r="L33" s="1979"/>
      <c r="M33" s="1974"/>
      <c r="N33" s="1974"/>
      <c r="O33" s="2029"/>
      <c r="P33" s="4631"/>
      <c r="Q33" s="1506">
        <f t="shared" si="8"/>
        <v>111</v>
      </c>
      <c r="R33" s="3759" t="s">
        <v>13</v>
      </c>
      <c r="S33" s="3761">
        <f t="shared" si="10"/>
        <v>100</v>
      </c>
      <c r="T33" s="3759" t="s">
        <v>13</v>
      </c>
      <c r="U33" s="3761">
        <f t="shared" si="11"/>
        <v>100</v>
      </c>
      <c r="V33" s="3759" t="s">
        <v>13</v>
      </c>
      <c r="W33" s="3761">
        <f t="shared" si="12"/>
        <v>100</v>
      </c>
      <c r="X33" s="909"/>
      <c r="Y33" s="4556"/>
      <c r="Z33" s="907">
        <f t="shared" si="13"/>
        <v>111</v>
      </c>
      <c r="AA33" s="907">
        <f t="shared" si="3"/>
        <v>1</v>
      </c>
      <c r="AB33" s="907">
        <f t="shared" si="4"/>
        <v>1</v>
      </c>
      <c r="AC33" s="907">
        <f t="shared" si="5"/>
        <v>1</v>
      </c>
    </row>
    <row r="34" spans="1:31" ht="15">
      <c r="A34" s="3101"/>
      <c r="B34" s="3171">
        <v>111</v>
      </c>
      <c r="C34" s="3100"/>
      <c r="D34" s="2889">
        <v>100</v>
      </c>
      <c r="E34" s="3117"/>
      <c r="F34" s="3724">
        <f>SUMIF(105:105,E35,106:106)-SUMIF(105:105,C35,106:106)+100</f>
        <v>100</v>
      </c>
      <c r="G34" s="3117"/>
      <c r="H34" s="3724">
        <f>SUMIF(105:105,G34,106:106)-SUMIF(105:105,C34,106:106)+100</f>
        <v>100</v>
      </c>
      <c r="I34" s="3100"/>
      <c r="J34" s="3724">
        <f>SUMIF(105:105,I34,106:106)-SUMIF(105:105,C34,106:106)+100</f>
        <v>100</v>
      </c>
      <c r="K34" s="395"/>
      <c r="L34" s="1979"/>
      <c r="M34" s="1974"/>
      <c r="N34" s="1974"/>
      <c r="O34" s="2029"/>
      <c r="P34" s="4632" t="s">
        <v>1603</v>
      </c>
      <c r="Q34" s="1506">
        <f t="shared" si="8"/>
        <v>111</v>
      </c>
      <c r="R34" s="3759" t="s">
        <v>13</v>
      </c>
      <c r="S34" s="3761">
        <f t="shared" si="10"/>
        <v>100</v>
      </c>
      <c r="T34" s="3759" t="s">
        <v>13</v>
      </c>
      <c r="U34" s="3761">
        <f t="shared" si="11"/>
        <v>100</v>
      </c>
      <c r="V34" s="3759" t="s">
        <v>13</v>
      </c>
      <c r="W34" s="3761">
        <f t="shared" si="12"/>
        <v>100</v>
      </c>
      <c r="X34" s="909"/>
      <c r="Y34" s="4560"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8"/>
      <c r="M35" s="1980"/>
      <c r="N35" s="1980"/>
      <c r="O35" s="2030"/>
      <c r="P35" s="4633"/>
      <c r="Q35" s="1506">
        <f t="shared" si="8"/>
        <v>111</v>
      </c>
      <c r="R35" s="3760" t="s">
        <v>13</v>
      </c>
      <c r="S35" s="3762">
        <f t="shared" si="10"/>
        <v>100</v>
      </c>
      <c r="T35" s="3760" t="s">
        <v>13</v>
      </c>
      <c r="U35" s="3762">
        <f t="shared" si="11"/>
        <v>100</v>
      </c>
      <c r="V35" s="3760" t="s">
        <v>13</v>
      </c>
      <c r="W35" s="3762">
        <f t="shared" si="12"/>
        <v>100</v>
      </c>
      <c r="X35" s="484"/>
      <c r="Y35" s="4560"/>
      <c r="Z35" s="485">
        <f t="shared" si="13"/>
        <v>111</v>
      </c>
      <c r="AA35" s="907">
        <f t="shared" si="3"/>
        <v>1</v>
      </c>
      <c r="AB35" s="907">
        <f t="shared" si="4"/>
        <v>1</v>
      </c>
      <c r="AC35" s="907">
        <f t="shared" si="5"/>
        <v>1</v>
      </c>
    </row>
    <row r="36" spans="1:31" ht="15">
      <c r="A36" s="3095" t="s">
        <v>1601</v>
      </c>
      <c r="B36" s="2797" t="s">
        <v>1781</v>
      </c>
      <c r="C36" s="3107"/>
      <c r="D36" s="2896">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79"/>
      <c r="M36" s="1974"/>
      <c r="N36" s="1974"/>
      <c r="O36" s="2029"/>
      <c r="P36" s="4633"/>
      <c r="Q36" s="1506" t="str">
        <f>B36</f>
        <v>宗地面积</v>
      </c>
      <c r="R36" s="3759" t="s">
        <v>13</v>
      </c>
      <c r="S36" s="3761" t="e">
        <f t="shared" si="10"/>
        <v>#N/A</v>
      </c>
      <c r="T36" s="3759" t="s">
        <v>13</v>
      </c>
      <c r="U36" s="3761" t="e">
        <f t="shared" si="11"/>
        <v>#N/A</v>
      </c>
      <c r="V36" s="3759" t="s">
        <v>13</v>
      </c>
      <c r="W36" s="3761" t="e">
        <f t="shared" si="12"/>
        <v>#N/A</v>
      </c>
      <c r="X36" s="909"/>
      <c r="Y36" s="4560"/>
      <c r="Z36" s="907" t="str">
        <f t="shared" si="13"/>
        <v>宗地面积</v>
      </c>
      <c r="AA36" s="907" t="e">
        <f t="shared" si="3"/>
        <v>#N/A</v>
      </c>
      <c r="AB36" s="907" t="e">
        <f t="shared" si="4"/>
        <v>#N/A</v>
      </c>
      <c r="AC36" s="907" t="e">
        <f t="shared" si="5"/>
        <v>#N/A</v>
      </c>
    </row>
    <row r="37" spans="1:31" ht="15">
      <c r="A37" s="3106"/>
      <c r="B37" s="2788" t="s">
        <v>1782</v>
      </c>
      <c r="C37" s="2825"/>
      <c r="D37" s="2889">
        <v>100</v>
      </c>
      <c r="E37" s="2825"/>
      <c r="F37" s="3724">
        <f>SUMIF(112:112,E37,113:113)-SUMIF(112:112,C37,113:113)+100</f>
        <v>100</v>
      </c>
      <c r="G37" s="2825"/>
      <c r="H37" s="3724">
        <f>SUMIF(112:112,G37,113:113)-SUMIF(112:112,C37,113:113)+100</f>
        <v>100</v>
      </c>
      <c r="I37" s="2825"/>
      <c r="J37" s="3724">
        <f>SUMIF(112:112,I37,113:113)-SUMIF(112:112,C37,113:113)+100</f>
        <v>100</v>
      </c>
      <c r="K37" s="394"/>
      <c r="L37" s="1979"/>
      <c r="M37" s="1974"/>
      <c r="N37" s="1974"/>
      <c r="O37" s="2029"/>
      <c r="P37" s="4633"/>
      <c r="Q37" s="1506" t="str">
        <f t="shared" ref="Q37:Q42" si="14">B37</f>
        <v>宗地形状</v>
      </c>
      <c r="R37" s="3759" t="s">
        <v>13</v>
      </c>
      <c r="S37" s="3761">
        <f t="shared" si="10"/>
        <v>100</v>
      </c>
      <c r="T37" s="3759" t="s">
        <v>13</v>
      </c>
      <c r="U37" s="3761">
        <f t="shared" si="11"/>
        <v>100</v>
      </c>
      <c r="V37" s="3759" t="s">
        <v>13</v>
      </c>
      <c r="W37" s="3761">
        <f t="shared" si="12"/>
        <v>100</v>
      </c>
      <c r="X37" s="909"/>
      <c r="Y37" s="4560"/>
      <c r="Z37" s="907" t="str">
        <f t="shared" si="13"/>
        <v>宗地形状</v>
      </c>
      <c r="AA37" s="907">
        <f t="shared" si="3"/>
        <v>1</v>
      </c>
      <c r="AB37" s="907">
        <f t="shared" si="4"/>
        <v>1</v>
      </c>
      <c r="AC37" s="907">
        <f t="shared" si="5"/>
        <v>1</v>
      </c>
    </row>
    <row r="38" spans="1:31" s="46" customFormat="1" ht="15">
      <c r="A38" s="3108"/>
      <c r="B38" s="2788" t="s">
        <v>1784</v>
      </c>
      <c r="C38" s="3109"/>
      <c r="D38" s="2887">
        <v>100</v>
      </c>
      <c r="E38" s="3109"/>
      <c r="F38" s="3724">
        <f>SUMIF(114:114,E38,115:115)-SUMIF(114:114,C38,115:115)+100</f>
        <v>100</v>
      </c>
      <c r="G38" s="3109"/>
      <c r="H38" s="3724">
        <f>SUMIF(114:114,G38,115:115)-SUMIF(114:114,C38,115:115)+100</f>
        <v>100</v>
      </c>
      <c r="I38" s="3109"/>
      <c r="J38" s="3724">
        <f>SUMIF(114:114,I38,115:115)-SUMIF(114:114,C38,115:115)+100</f>
        <v>100</v>
      </c>
      <c r="K38" s="394"/>
      <c r="L38" s="1975"/>
      <c r="M38" s="1928"/>
      <c r="N38" s="1928"/>
      <c r="O38" s="2027"/>
      <c r="P38" s="4633"/>
      <c r="Q38" s="1506" t="str">
        <f t="shared" si="14"/>
        <v>宗地开发程度</v>
      </c>
      <c r="R38" s="3758" t="s">
        <v>13</v>
      </c>
      <c r="S38" s="3541">
        <f t="shared" si="10"/>
        <v>100</v>
      </c>
      <c r="T38" s="3758" t="s">
        <v>13</v>
      </c>
      <c r="U38" s="3541">
        <f t="shared" si="11"/>
        <v>100</v>
      </c>
      <c r="V38" s="3758" t="s">
        <v>13</v>
      </c>
      <c r="W38" s="3541">
        <f t="shared" si="12"/>
        <v>100</v>
      </c>
      <c r="X38" s="482"/>
      <c r="Y38" s="4560"/>
      <c r="Z38" s="28" t="str">
        <f t="shared" si="13"/>
        <v>宗地开发程度</v>
      </c>
      <c r="AA38" s="28">
        <f t="shared" si="3"/>
        <v>1</v>
      </c>
      <c r="AB38" s="28">
        <f t="shared" si="4"/>
        <v>1</v>
      </c>
      <c r="AC38" s="28">
        <f t="shared" si="5"/>
        <v>1</v>
      </c>
    </row>
    <row r="39" spans="1:31" ht="15">
      <c r="A39" s="3106"/>
      <c r="B39" s="2788" t="s">
        <v>1785</v>
      </c>
      <c r="C39" s="2825"/>
      <c r="D39" s="2889">
        <v>100</v>
      </c>
      <c r="E39" s="2825"/>
      <c r="F39" s="3724">
        <f>SUMIF(116:116,E39,117:117)-SUMIF(116:116,C39,117:117)+100</f>
        <v>100</v>
      </c>
      <c r="G39" s="2825"/>
      <c r="H39" s="3724">
        <f>SUMIF(116:116,G39,117:117)-SUMIF(116:116,C39,117:117)+100</f>
        <v>100</v>
      </c>
      <c r="I39" s="2825"/>
      <c r="J39" s="3724">
        <f>SUMIF(116:116,I39,117:117)-SUMIF(116:116,C39,117:117)+100</f>
        <v>100</v>
      </c>
      <c r="K39" s="394"/>
      <c r="L39" s="1979"/>
      <c r="M39" s="1974"/>
      <c r="N39" s="1974"/>
      <c r="O39" s="2029"/>
      <c r="P39" s="4633" t="s">
        <v>1603</v>
      </c>
      <c r="Q39" s="1506" t="str">
        <f t="shared" si="14"/>
        <v>工程地质条件</v>
      </c>
      <c r="R39" s="3759" t="s">
        <v>13</v>
      </c>
      <c r="S39" s="3761">
        <f t="shared" si="10"/>
        <v>100</v>
      </c>
      <c r="T39" s="3759" t="s">
        <v>13</v>
      </c>
      <c r="U39" s="3761">
        <f t="shared" si="11"/>
        <v>100</v>
      </c>
      <c r="V39" s="3759" t="s">
        <v>13</v>
      </c>
      <c r="W39" s="3761">
        <f t="shared" si="12"/>
        <v>100</v>
      </c>
      <c r="X39" s="909"/>
      <c r="Y39" s="4560" t="s">
        <v>1603</v>
      </c>
      <c r="Z39" s="907" t="str">
        <f t="shared" si="13"/>
        <v>工程地质条件</v>
      </c>
      <c r="AA39" s="907">
        <f t="shared" si="3"/>
        <v>1</v>
      </c>
      <c r="AB39" s="907">
        <f t="shared" si="4"/>
        <v>1</v>
      </c>
      <c r="AC39" s="907">
        <f t="shared" si="5"/>
        <v>1</v>
      </c>
    </row>
    <row r="40" spans="1:31" ht="15">
      <c r="A40" s="3106"/>
      <c r="B40" s="3102">
        <v>111</v>
      </c>
      <c r="C40" s="3100"/>
      <c r="D40" s="2889">
        <v>100</v>
      </c>
      <c r="E40" s="3100"/>
      <c r="F40" s="3724">
        <f>SUMIF(118:118,E40,119:119)-SUMIF(118:118,C40,119:119)+100</f>
        <v>100</v>
      </c>
      <c r="G40" s="3100"/>
      <c r="H40" s="3724">
        <f>SUMIF(118:118,G40,119:119)-SUMIF(118:118,C40,119:119)+100</f>
        <v>100</v>
      </c>
      <c r="I40" s="3114"/>
      <c r="J40" s="3724">
        <f>SUMIF(118:118,I40,119:119)-SUMIF(118:118,C40,119:119)+100</f>
        <v>100</v>
      </c>
      <c r="K40" s="395"/>
      <c r="L40" s="1979"/>
      <c r="M40" s="1974"/>
      <c r="N40" s="1974"/>
      <c r="O40" s="2029"/>
      <c r="P40" s="4633"/>
      <c r="Q40" s="1506">
        <f t="shared" si="14"/>
        <v>111</v>
      </c>
      <c r="R40" s="3759" t="s">
        <v>13</v>
      </c>
      <c r="S40" s="3761">
        <f t="shared" si="10"/>
        <v>100</v>
      </c>
      <c r="T40" s="3759" t="s">
        <v>13</v>
      </c>
      <c r="U40" s="3761">
        <f t="shared" si="11"/>
        <v>100</v>
      </c>
      <c r="V40" s="3759" t="s">
        <v>13</v>
      </c>
      <c r="W40" s="3761">
        <f t="shared" si="12"/>
        <v>100</v>
      </c>
      <c r="X40" s="909"/>
      <c r="Y40" s="4560"/>
      <c r="Z40" s="907">
        <f t="shared" si="13"/>
        <v>111</v>
      </c>
      <c r="AA40" s="907">
        <f t="shared" si="3"/>
        <v>1</v>
      </c>
      <c r="AB40" s="907">
        <f t="shared" si="4"/>
        <v>1</v>
      </c>
      <c r="AC40" s="907">
        <f t="shared" si="5"/>
        <v>1</v>
      </c>
    </row>
    <row r="41" spans="1:31" ht="15">
      <c r="A41" s="3106"/>
      <c r="B41" s="3102">
        <v>111</v>
      </c>
      <c r="C41" s="3100"/>
      <c r="D41" s="2889">
        <v>100</v>
      </c>
      <c r="E41" s="3100"/>
      <c r="F41" s="3724">
        <f>SUMIF(120:120,E41,121:121)-SUMIF(120:120,C41,121:121)+100</f>
        <v>100</v>
      </c>
      <c r="G41" s="3100"/>
      <c r="H41" s="3724">
        <f>SUMIF(120:120,G41,121:121)-SUMIF(120:120,C41,121:121)+100</f>
        <v>100</v>
      </c>
      <c r="I41" s="3114"/>
      <c r="J41" s="3724">
        <f>SUMIF(120:120,I41,121:121)-SUMIF(120:120,C41,121:121)+100</f>
        <v>100</v>
      </c>
      <c r="K41" s="395"/>
      <c r="L41" s="1979"/>
      <c r="M41" s="1974"/>
      <c r="N41" s="1974"/>
      <c r="O41" s="2029"/>
      <c r="P41" s="4633"/>
      <c r="Q41" s="1506">
        <f t="shared" si="14"/>
        <v>111</v>
      </c>
      <c r="R41" s="3759" t="s">
        <v>13</v>
      </c>
      <c r="S41" s="3761">
        <f t="shared" si="10"/>
        <v>100</v>
      </c>
      <c r="T41" s="3759" t="s">
        <v>13</v>
      </c>
      <c r="U41" s="3761">
        <f t="shared" si="11"/>
        <v>100</v>
      </c>
      <c r="V41" s="3759" t="s">
        <v>13</v>
      </c>
      <c r="W41" s="3761">
        <f t="shared" si="12"/>
        <v>100</v>
      </c>
      <c r="X41" s="909"/>
      <c r="Y41" s="4560"/>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8"/>
      <c r="M42" s="1980"/>
      <c r="N42" s="1980"/>
      <c r="O42" s="2030"/>
      <c r="P42" s="4633"/>
      <c r="Q42" s="1506">
        <f t="shared" si="14"/>
        <v>111</v>
      </c>
      <c r="R42" s="3760" t="s">
        <v>13</v>
      </c>
      <c r="S42" s="3762">
        <f t="shared" si="10"/>
        <v>100</v>
      </c>
      <c r="T42" s="3760" t="s">
        <v>13</v>
      </c>
      <c r="U42" s="3762">
        <f t="shared" si="11"/>
        <v>100</v>
      </c>
      <c r="V42" s="3760" t="s">
        <v>13</v>
      </c>
      <c r="W42" s="3762">
        <f t="shared" si="12"/>
        <v>100</v>
      </c>
      <c r="X42" s="484"/>
      <c r="Y42" s="4560"/>
      <c r="Z42" s="485">
        <f t="shared" si="13"/>
        <v>111</v>
      </c>
      <c r="AA42" s="907">
        <f t="shared" si="3"/>
        <v>1</v>
      </c>
      <c r="AB42" s="907">
        <f t="shared" si="4"/>
        <v>1</v>
      </c>
      <c r="AC42" s="907">
        <f t="shared" si="5"/>
        <v>1</v>
      </c>
    </row>
    <row r="43" spans="1:31" ht="15">
      <c r="A43" s="286" t="s">
        <v>1751</v>
      </c>
      <c r="B43" s="1429" t="s">
        <v>1829</v>
      </c>
      <c r="C43" s="439" t="s">
        <v>0</v>
      </c>
      <c r="D43" s="3175"/>
      <c r="E43" s="3204"/>
      <c r="F43" s="3152"/>
      <c r="G43" s="3205"/>
      <c r="H43" s="3153"/>
      <c r="I43" s="3204"/>
      <c r="J43" s="3153"/>
      <c r="K43" s="2861"/>
      <c r="L43" s="1981"/>
      <c r="M43" s="1974"/>
      <c r="N43" s="1974"/>
      <c r="O43" s="1974"/>
      <c r="P43" s="4562" t="str">
        <f>A43</f>
        <v>成交单价</v>
      </c>
      <c r="Q43" s="4562"/>
      <c r="R43" s="4563">
        <f>E43</f>
        <v>0</v>
      </c>
      <c r="S43" s="4563"/>
      <c r="T43" s="4563">
        <f>G43</f>
        <v>0</v>
      </c>
      <c r="U43" s="4563"/>
      <c r="V43" s="4563">
        <f>I43</f>
        <v>0</v>
      </c>
      <c r="W43" s="4563"/>
      <c r="X43" s="265"/>
      <c r="Y43" s="486"/>
      <c r="Z43" s="265"/>
      <c r="AA43" s="265"/>
      <c r="AB43" s="265"/>
      <c r="AC43" s="265"/>
    </row>
    <row r="44" spans="1:31" ht="15.75" thickBot="1">
      <c r="A44" s="289" t="s">
        <v>1700</v>
      </c>
      <c r="B44" s="440"/>
      <c r="C44" s="3743" t="e">
        <f>R45</f>
        <v>#DIV/0!</v>
      </c>
      <c r="D44" s="3848" t="s">
        <v>2042</v>
      </c>
      <c r="E44" s="3743" t="e">
        <f>R44</f>
        <v>#DIV/0!</v>
      </c>
      <c r="F44" s="2800"/>
      <c r="G44" s="3732" t="e">
        <f>T44</f>
        <v>#DIV/0!</v>
      </c>
      <c r="H44" s="2800"/>
      <c r="I44" s="3743" t="e">
        <f>V44</f>
        <v>#DIV/0!</v>
      </c>
      <c r="J44" s="2800"/>
      <c r="K44" s="2854">
        <f>F44+H44+J44</f>
        <v>0</v>
      </c>
      <c r="L44" s="1981"/>
      <c r="M44" s="1974"/>
      <c r="N44" s="1974"/>
      <c r="O44" s="1974"/>
      <c r="P44" s="4562" t="str">
        <f>A44</f>
        <v>比较价值（元/平方米）</v>
      </c>
      <c r="Q44" s="4562"/>
      <c r="R44" s="4563" t="e">
        <f>ROUND(PRODUCT(R43,AA9:AA42),0)</f>
        <v>#DIV/0!</v>
      </c>
      <c r="S44" s="4563"/>
      <c r="T44" s="4563" t="e">
        <f>ROUND(PRODUCT(T43,AB9:AB42),0)</f>
        <v>#DIV/0!</v>
      </c>
      <c r="U44" s="4563"/>
      <c r="V44" s="4563" t="e">
        <f>ROUND(PRODUCT(V43,AC9:AC42),0)</f>
        <v>#DIV/0!</v>
      </c>
      <c r="W44" s="4563"/>
      <c r="X44" s="265"/>
      <c r="Y44" s="265"/>
      <c r="Z44" s="265"/>
      <c r="AA44" s="265"/>
      <c r="AB44" s="265"/>
      <c r="AC44" s="265"/>
    </row>
    <row r="45" spans="1:31" ht="15.75" thickBot="1">
      <c r="A45" s="291" t="s">
        <v>1701</v>
      </c>
      <c r="B45" s="292"/>
      <c r="C45" s="3744" t="e">
        <f>R45</f>
        <v>#DIV/0!</v>
      </c>
      <c r="D45" s="3154"/>
      <c r="E45" s="3154"/>
      <c r="F45" s="3154"/>
      <c r="G45" s="3154"/>
      <c r="H45" s="3154"/>
      <c r="I45" s="3154"/>
      <c r="J45" s="3154"/>
      <c r="K45" s="3176"/>
      <c r="L45" s="1981"/>
      <c r="M45" s="1974"/>
      <c r="N45" s="1974"/>
      <c r="O45" s="1974"/>
      <c r="P45" s="4622" t="str">
        <f>A45</f>
        <v>估价对象XX用房的比较价值（楼面单价，元/平方米）</v>
      </c>
      <c r="Q45" s="4623"/>
      <c r="R45" s="4624" t="e">
        <f>ROUND(IF(D44="简单平均",AVERAGE(R44:W44),R44*F44+T44*H44+V44*J44),0)</f>
        <v>#DIV/0!</v>
      </c>
      <c r="S45" s="4624"/>
      <c r="T45" s="4624"/>
      <c r="U45" s="4624"/>
      <c r="V45" s="4624"/>
      <c r="W45" s="4624"/>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30" t="s">
        <v>1794</v>
      </c>
      <c r="H52" s="4647"/>
      <c r="I52" s="3029" t="s">
        <v>1830</v>
      </c>
      <c r="J52" s="3029">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2" t="e">
        <f>C45</f>
        <v>#DIV/0!</v>
      </c>
      <c r="C53" s="3087">
        <v>1</v>
      </c>
      <c r="D53" s="3064">
        <v>1</v>
      </c>
      <c r="E53" s="3063">
        <f>'数据-汇总表'!E8+'数据-汇总表'!E9</f>
        <v>498.23</v>
      </c>
      <c r="F53" s="3066" t="e">
        <f t="shared" ref="F53:F62" si="15">ROUND(B53*E53/10000,0)</f>
        <v>#DIV/0!</v>
      </c>
      <c r="G53" s="4648"/>
      <c r="H53" s="463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2" t="e">
        <f>ROUND($C$45*C54*D54,0)</f>
        <v>#DIV/0!</v>
      </c>
      <c r="C54" s="3062">
        <f t="shared" ref="C54:C62" si="16">IF($C$52="北京市系数",I54,J54)</f>
        <v>0</v>
      </c>
      <c r="D54" s="3065">
        <v>0.25</v>
      </c>
      <c r="E54" s="3067"/>
      <c r="F54" s="3066" t="e">
        <f t="shared" si="15"/>
        <v>#DIV/0!</v>
      </c>
      <c r="G54" s="3074" t="s">
        <v>1799</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2"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2"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2"/>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2" t="e">
        <f t="shared" si="17"/>
        <v>#DIV/0!</v>
      </c>
      <c r="C58" s="3062">
        <f t="shared" si="16"/>
        <v>0</v>
      </c>
      <c r="D58" s="3065">
        <v>0.25</v>
      </c>
      <c r="E58" s="3068">
        <f>'数据-汇总表'!E11</f>
        <v>0</v>
      </c>
      <c r="F58" s="3066" t="e">
        <f t="shared" si="15"/>
        <v>#DIV/0!</v>
      </c>
      <c r="G58" s="3077" t="s">
        <v>1803</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2"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2"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2" t="e">
        <f t="shared" si="17"/>
        <v>#DIV/0!</v>
      </c>
      <c r="C61" s="3062">
        <f t="shared" si="16"/>
        <v>0</v>
      </c>
      <c r="D61" s="3065">
        <v>0.25</v>
      </c>
      <c r="E61" s="3068">
        <f>'数据-汇总表'!E14</f>
        <v>0</v>
      </c>
      <c r="F61" s="3066" t="e">
        <f t="shared" si="15"/>
        <v>#DIV/0!</v>
      </c>
      <c r="G61" s="3077" t="s">
        <v>1799</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2" t="e">
        <f t="shared" si="17"/>
        <v>#DIV/0!</v>
      </c>
      <c r="C62" s="3062">
        <f t="shared" si="16"/>
        <v>0</v>
      </c>
      <c r="D62" s="3065">
        <v>0.25</v>
      </c>
      <c r="E62" s="3068">
        <f>'数据-汇总表'!E15</f>
        <v>0</v>
      </c>
      <c r="F62" s="3066" t="e">
        <f t="shared" si="15"/>
        <v>#DIV/0!</v>
      </c>
      <c r="G62" s="3079" t="s">
        <v>1803</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22">
        <f ca="1">IF(D2="含税",C37,C36)</f>
        <v>-12</v>
      </c>
      <c r="C2" s="171" t="s">
        <v>1531</v>
      </c>
      <c r="D2" s="3324"/>
      <c r="E2" s="2044"/>
      <c r="G2" s="2044"/>
      <c r="H2" s="2044"/>
      <c r="I2" s="2044"/>
      <c r="J2" s="2044"/>
      <c r="K2" s="2044"/>
    </row>
    <row r="3" spans="1:33" ht="18" customHeight="1">
      <c r="A3" s="98" t="s">
        <v>1433</v>
      </c>
      <c r="B3" s="2522">
        <f ca="1">ROUND(B2*10000/IF(C1="",'数据-汇总表'!E3,INDIRECT("'数据-取费表'!K"&amp;$K$1)),0)</f>
        <v>-241</v>
      </c>
      <c r="C3" s="171" t="s">
        <v>1532</v>
      </c>
      <c r="E3" s="514"/>
      <c r="I3" s="2044"/>
      <c r="J3" s="2044"/>
      <c r="K3" s="2044"/>
    </row>
    <row r="4" spans="1:33" ht="18" customHeight="1">
      <c r="A4" s="3377" t="s">
        <v>3627</v>
      </c>
      <c r="B4" s="3382" t="e">
        <f ca="1">ROUND(B2*10000/IF(C1="",'数据-汇总表'!D3,INDIRECT("'数据-取费表'!R"&amp;$K$1)),0)</f>
        <v>#DIV/0!</v>
      </c>
      <c r="C4" s="3381" t="s">
        <v>1532</v>
      </c>
      <c r="E4" s="514"/>
      <c r="I4" s="2044"/>
      <c r="J4" s="2044"/>
      <c r="K4" s="2044"/>
    </row>
    <row r="5" spans="1:33" ht="18" customHeight="1" thickBot="1">
      <c r="A5" s="94"/>
      <c r="B5" s="3378" t="e">
        <f ca="1">ROUND(B2/(IF(C1="",'数据-汇总表'!D3,INDIRECT("'数据-取费表'!R"&amp;$K$1))/666.67),0)</f>
        <v>#DIV/0!</v>
      </c>
      <c r="C5" s="3380" t="s">
        <v>3625</v>
      </c>
      <c r="E5" s="514"/>
      <c r="I5" s="2044"/>
      <c r="J5" s="2044"/>
      <c r="K5" s="2044"/>
    </row>
    <row r="6" spans="1:33" s="515" customFormat="1" ht="16.5" customHeight="1">
      <c r="A6" s="2652" t="s">
        <v>3374</v>
      </c>
      <c r="B6" s="2651"/>
      <c r="C6" s="4653" t="s">
        <v>3376</v>
      </c>
      <c r="D6" s="4653"/>
      <c r="E6" s="4653"/>
      <c r="F6" s="4653"/>
      <c r="G6" s="4653"/>
      <c r="H6" s="4653"/>
      <c r="I6" s="4653"/>
      <c r="J6" s="4653"/>
      <c r="K6" s="4654"/>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3955</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3956</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3958</v>
      </c>
      <c r="B10" s="4073" t="s">
        <v>3957</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7" t="s">
        <v>3389</v>
      </c>
      <c r="B11" s="4658"/>
      <c r="C11" s="4658"/>
      <c r="D11" s="4658"/>
      <c r="E11" s="4658"/>
      <c r="F11" s="4658"/>
      <c r="G11" s="4658"/>
      <c r="H11" s="4658"/>
      <c r="I11" s="4658"/>
      <c r="J11" s="4658"/>
      <c r="K11" s="4659"/>
    </row>
    <row r="12" spans="1:33" s="4070" customFormat="1" ht="13.5" customHeight="1">
      <c r="A12" s="3210" t="s">
        <v>3509</v>
      </c>
      <c r="B12" s="4067" t="s">
        <v>1537</v>
      </c>
      <c r="C12" s="4071" t="s">
        <v>3954</v>
      </c>
      <c r="D12" s="4067" t="s">
        <v>1539</v>
      </c>
      <c r="E12" s="4067" t="s">
        <v>1540</v>
      </c>
      <c r="F12" s="4067" t="s">
        <v>1541</v>
      </c>
      <c r="G12" s="4068" t="s">
        <v>3400</v>
      </c>
      <c r="H12" s="4067"/>
      <c r="I12" s="4067"/>
      <c r="J12" s="4067"/>
      <c r="K12" s="4069"/>
    </row>
    <row r="13" spans="1:33" s="521" customFormat="1" ht="13.5" customHeight="1">
      <c r="A13" s="2492">
        <v>1</v>
      </c>
      <c r="B13" s="2676" t="s">
        <v>3375</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3665</v>
      </c>
      <c r="H14" s="25"/>
      <c r="I14" s="25"/>
      <c r="J14" s="25"/>
      <c r="K14" s="27"/>
    </row>
    <row r="15" spans="1:33" s="523" customFormat="1" ht="13.5" customHeight="1">
      <c r="A15" s="2492">
        <v>3</v>
      </c>
      <c r="B15" s="2654" t="s">
        <v>3377</v>
      </c>
      <c r="C15" s="2662">
        <f ca="1">SUM(C16:C19)+C25+C26</f>
        <v>10</v>
      </c>
      <c r="D15" s="530"/>
      <c r="E15" s="173"/>
      <c r="F15" s="2662"/>
      <c r="G15" s="2714" t="s">
        <v>3666</v>
      </c>
      <c r="H15" s="55"/>
      <c r="I15" s="55"/>
      <c r="J15" s="55"/>
      <c r="K15" s="2679"/>
    </row>
    <row r="16" spans="1:33" s="523" customFormat="1" ht="13.5" customHeight="1">
      <c r="A16" s="519" t="s">
        <v>355</v>
      </c>
      <c r="B16" s="2693" t="s">
        <v>3390</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3391</v>
      </c>
      <c r="C17" s="2701">
        <f ca="1">ROUND(C16*F17,0)</f>
        <v>0</v>
      </c>
      <c r="D17" s="522"/>
      <c r="E17" s="55"/>
      <c r="F17" s="2670">
        <f>'数据-取费表'!B33</f>
        <v>7.0000000000000007E-2</v>
      </c>
      <c r="G17" s="3408" t="s">
        <v>3676</v>
      </c>
      <c r="H17" s="2677"/>
      <c r="I17" s="2677"/>
      <c r="J17" s="2677"/>
      <c r="K17" s="2678"/>
    </row>
    <row r="18" spans="1:33" s="523" customFormat="1" ht="13.5" customHeight="1">
      <c r="A18" s="519" t="s">
        <v>1536</v>
      </c>
      <c r="B18" s="2693" t="s">
        <v>3392</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3379</v>
      </c>
      <c r="B19" s="2693" t="s">
        <v>3393</v>
      </c>
      <c r="C19" s="2701">
        <f ca="1">C20+C23+C24</f>
        <v>10</v>
      </c>
      <c r="D19" s="539"/>
      <c r="E19" s="55"/>
      <c r="F19" s="2670"/>
      <c r="G19" s="2677"/>
      <c r="H19" s="2677"/>
      <c r="I19" s="2677"/>
      <c r="J19" s="2677"/>
      <c r="K19" s="2678"/>
    </row>
    <row r="20" spans="1:33" s="523" customFormat="1" ht="13.5" customHeight="1">
      <c r="A20" s="2655" t="s">
        <v>3382</v>
      </c>
      <c r="B20" s="2680" t="s">
        <v>1547</v>
      </c>
      <c r="C20" s="2701">
        <f ca="1">C21+C22-IF(C1="",'数据-取费表'!B29,IF(G20="已全部缴纳",C21+C22,H20))</f>
        <v>10</v>
      </c>
      <c r="D20" s="539"/>
      <c r="E20" s="12"/>
      <c r="F20" s="2671"/>
      <c r="G20" s="2681"/>
      <c r="H20" s="2682"/>
      <c r="I20" s="2683" t="s">
        <v>1548</v>
      </c>
      <c r="J20" s="55"/>
      <c r="K20" s="2679"/>
    </row>
    <row r="21" spans="1:33" s="523" customFormat="1" ht="13.5" customHeight="1">
      <c r="A21" s="2695" t="s">
        <v>3385</v>
      </c>
      <c r="B21" s="2696" t="s">
        <v>3396</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3386</v>
      </c>
      <c r="B22" s="2696" t="s">
        <v>3397</v>
      </c>
      <c r="C22" s="2702">
        <f ca="1">ROUND(D22*E22/10000,0)</f>
        <v>10</v>
      </c>
      <c r="D22" s="2704">
        <f ca="1">IF(C1="",'数据-汇总表'!E6,IF(INDIRECT("'数据-取费表'!c"&amp;$K$1)="住宅",INDIRECT("'数据-取费表'!s"&amp;$K$1),INDIRECT("'数据-取费表'!k"&amp;$K$1)+INDIRECT("'数据-取费表'!s"&amp;$K$1)))</f>
        <v>498.23</v>
      </c>
      <c r="E22" s="2702">
        <f>'数据-取费表'!B28</f>
        <v>200</v>
      </c>
      <c r="F22" s="2697"/>
      <c r="G22" s="186"/>
      <c r="H22" s="186"/>
      <c r="I22" s="186"/>
      <c r="J22" s="186"/>
      <c r="K22" s="1867"/>
    </row>
    <row r="23" spans="1:33" s="524" customFormat="1" ht="13.5" customHeight="1">
      <c r="A23" s="2655" t="s">
        <v>3383</v>
      </c>
      <c r="B23" s="2680" t="s">
        <v>1543</v>
      </c>
      <c r="C23" s="2701">
        <f ca="1">ROUND(D23*E23*F16/10000,0)</f>
        <v>0</v>
      </c>
      <c r="D23" s="2705">
        <f ca="1">IF(C1="",'数据-汇总表'!E3,INDIRECT("'数据-取费表'!K"&amp;$K$1)+INDIRECT("'数据-取费表'!S"&amp;$K$1))</f>
        <v>498.23</v>
      </c>
      <c r="E23" s="2701">
        <f>'数据-取费表'!B35</f>
        <v>280</v>
      </c>
      <c r="F23" s="2671"/>
      <c r="G23" s="2676" t="s">
        <v>3667</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3384</v>
      </c>
      <c r="B24" s="2680" t="s">
        <v>1545</v>
      </c>
      <c r="C24" s="2701">
        <f ca="1">ROUND(D24*E24/10000,0)</f>
        <v>0</v>
      </c>
      <c r="D24" s="2705">
        <f ca="1">D23</f>
        <v>498.23</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3380</v>
      </c>
      <c r="B25" s="2694" t="s">
        <v>3394</v>
      </c>
      <c r="C25" s="2665">
        <f ca="1">ROUND(C16*F25,0)</f>
        <v>0</v>
      </c>
      <c r="D25" s="2656"/>
      <c r="E25" s="2657"/>
      <c r="F25" s="2670">
        <f>'数据-取费表'!B36</f>
        <v>0.01</v>
      </c>
      <c r="G25" s="2656"/>
      <c r="H25" s="2656"/>
      <c r="I25" s="2656"/>
      <c r="J25" s="2656"/>
      <c r="K25" s="2684"/>
    </row>
    <row r="26" spans="1:33" s="524" customFormat="1" ht="13.5" customHeight="1">
      <c r="A26" s="2653" t="s">
        <v>3381</v>
      </c>
      <c r="B26" s="2693" t="s">
        <v>3395</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0.03</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3668</v>
      </c>
      <c r="H28" s="2677"/>
      <c r="I28" s="2677"/>
      <c r="J28" s="2677"/>
      <c r="K28" s="2678"/>
    </row>
    <row r="29" spans="1:33" s="523" customFormat="1" ht="13.5" customHeight="1">
      <c r="A29" s="2492">
        <v>6</v>
      </c>
      <c r="B29" s="2654" t="s">
        <v>3378</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3398</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55" t="s">
        <v>3388</v>
      </c>
      <c r="H32" s="4655"/>
      <c r="I32" s="4655"/>
      <c r="J32" s="4655"/>
      <c r="K32" s="4656"/>
    </row>
    <row r="33" spans="1:11" s="176" customFormat="1" ht="13.5" customHeight="1">
      <c r="A33" s="2492">
        <v>8</v>
      </c>
      <c r="B33" s="2658" t="s">
        <v>1554</v>
      </c>
      <c r="C33" s="2703" t="str">
        <f ca="1">C35&amp;"+"&amp;C34&amp;"V"</f>
        <v>2+0V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3398</v>
      </c>
      <c r="C35" s="2668">
        <f ca="1">ROUND((C15+C27+C28)*F33,0)</f>
        <v>2</v>
      </c>
      <c r="D35" s="174"/>
      <c r="E35" s="525"/>
      <c r="F35" s="2672"/>
      <c r="G35" s="55"/>
      <c r="H35" s="55"/>
      <c r="I35" s="55"/>
      <c r="J35" s="55"/>
      <c r="K35" s="2679"/>
    </row>
    <row r="36" spans="1:11" s="521" customFormat="1" ht="15">
      <c r="A36" s="2492">
        <v>9</v>
      </c>
      <c r="B36" s="2676" t="s">
        <v>3387</v>
      </c>
      <c r="C36" s="2661">
        <f ca="1">ROUND((C13-C15-C27-C28-C31-C35-C32)/(1+F14+C30+C34),0)</f>
        <v>-12</v>
      </c>
      <c r="D36" s="2677"/>
      <c r="E36" s="2677"/>
      <c r="F36" s="172"/>
      <c r="G36" s="2710" t="s">
        <v>3399</v>
      </c>
      <c r="H36" s="2677"/>
      <c r="I36" s="2677"/>
      <c r="J36" s="2677"/>
      <c r="K36" s="2678"/>
    </row>
    <row r="37" spans="1:11" s="2787" customFormat="1" ht="15.75" thickBot="1">
      <c r="A37" s="2690">
        <v>10</v>
      </c>
      <c r="B37" s="2691" t="s">
        <v>3474</v>
      </c>
      <c r="C37" s="2784">
        <f ca="1">ROUND(C36*(1+F37),0)</f>
        <v>-13</v>
      </c>
      <c r="D37" s="2785"/>
      <c r="E37" s="2786"/>
      <c r="F37" s="2692">
        <v>0.09</v>
      </c>
      <c r="G37" s="2676" t="s">
        <v>3475</v>
      </c>
      <c r="H37" s="2677"/>
      <c r="I37" s="2677"/>
      <c r="J37" s="2677"/>
      <c r="K37" s="2678"/>
    </row>
    <row r="38" spans="1:11" ht="12.75" customHeight="1"/>
    <row r="44" spans="1:11" s="3208" customFormat="1" ht="19.5" thickBot="1">
      <c r="A44" s="3213" t="s">
        <v>3482</v>
      </c>
      <c r="B44" s="1860"/>
      <c r="C44" s="3214"/>
      <c r="D44" s="1860"/>
      <c r="E44" s="1860"/>
      <c r="F44" s="1860"/>
      <c r="G44" s="1860"/>
    </row>
    <row r="45" spans="1:11" s="3208" customFormat="1" ht="15">
      <c r="A45" s="3210" t="s">
        <v>3509</v>
      </c>
      <c r="B45" s="2674" t="s">
        <v>1537</v>
      </c>
      <c r="C45" s="2675" t="s">
        <v>1538</v>
      </c>
      <c r="D45" s="1164" t="s">
        <v>1539</v>
      </c>
      <c r="E45" s="1164" t="s">
        <v>1540</v>
      </c>
      <c r="F45" s="1164" t="s">
        <v>1541</v>
      </c>
      <c r="G45" s="2711" t="s">
        <v>3400</v>
      </c>
    </row>
    <row r="46" spans="1:11" s="3208" customFormat="1">
      <c r="A46" s="626">
        <v>1</v>
      </c>
      <c r="B46" s="2694" t="s">
        <v>3483</v>
      </c>
      <c r="C46" s="2665">
        <f>C13</f>
        <v>0</v>
      </c>
      <c r="D46" s="626"/>
      <c r="E46" s="626"/>
      <c r="F46" s="626"/>
      <c r="G46" s="626"/>
    </row>
    <row r="47" spans="1:11" s="3208" customFormat="1">
      <c r="A47" s="626">
        <v>2</v>
      </c>
      <c r="B47" s="2694" t="s">
        <v>3485</v>
      </c>
      <c r="C47" s="2665" t="str">
        <f>C14</f>
        <v>0.0305V</v>
      </c>
      <c r="D47" s="626"/>
      <c r="E47" s="626"/>
      <c r="F47" s="626"/>
      <c r="G47" s="626"/>
    </row>
    <row r="48" spans="1:11" s="3208" customFormat="1">
      <c r="A48" s="626">
        <v>3</v>
      </c>
      <c r="B48" s="2694" t="s">
        <v>3484</v>
      </c>
      <c r="C48" s="2665" t="e">
        <f ca="1">C49+C59+C60+C63</f>
        <v>#VALUE!</v>
      </c>
      <c r="D48" s="626"/>
      <c r="E48" s="626"/>
      <c r="F48" s="626"/>
      <c r="G48" s="626"/>
    </row>
    <row r="49" spans="1:7" s="3208" customFormat="1">
      <c r="A49" s="3211" t="s">
        <v>355</v>
      </c>
      <c r="B49" s="2694" t="s">
        <v>3494</v>
      </c>
      <c r="C49" s="2665">
        <f ca="1">C50+C51+C52+C53+C57+C58</f>
        <v>10</v>
      </c>
      <c r="D49" s="626"/>
      <c r="E49" s="626"/>
      <c r="F49" s="626"/>
      <c r="G49" s="626"/>
    </row>
    <row r="50" spans="1:7" s="3208" customFormat="1">
      <c r="A50" s="3212" t="s">
        <v>3495</v>
      </c>
      <c r="B50" s="2694" t="s">
        <v>3499</v>
      </c>
      <c r="C50" s="2665">
        <f ca="1">C16</f>
        <v>0</v>
      </c>
      <c r="D50" s="626"/>
      <c r="E50" s="626"/>
      <c r="F50" s="626"/>
      <c r="G50" s="626"/>
    </row>
    <row r="51" spans="1:7" s="3208" customFormat="1">
      <c r="A51" s="3212" t="s">
        <v>3510</v>
      </c>
      <c r="B51" s="626" t="s">
        <v>3496</v>
      </c>
      <c r="C51" s="2665">
        <f t="shared" ref="C51:C53" ca="1" si="0">C17</f>
        <v>0</v>
      </c>
      <c r="D51" s="626"/>
      <c r="E51" s="626"/>
      <c r="F51" s="626"/>
      <c r="G51" s="626"/>
    </row>
    <row r="52" spans="1:7" s="3208" customFormat="1">
      <c r="A52" s="3212" t="s">
        <v>3511</v>
      </c>
      <c r="B52" s="626" t="s">
        <v>3497</v>
      </c>
      <c r="C52" s="2665">
        <f t="shared" ca="1" si="0"/>
        <v>0</v>
      </c>
      <c r="D52" s="626"/>
      <c r="E52" s="626"/>
      <c r="F52" s="626"/>
      <c r="G52" s="626"/>
    </row>
    <row r="53" spans="1:7" s="3208" customFormat="1">
      <c r="A53" s="3212" t="s">
        <v>3512</v>
      </c>
      <c r="B53" s="626" t="s">
        <v>3498</v>
      </c>
      <c r="C53" s="2665">
        <f t="shared" ca="1" si="0"/>
        <v>10</v>
      </c>
      <c r="D53" s="626"/>
      <c r="E53" s="626"/>
      <c r="F53" s="626"/>
      <c r="G53" s="626"/>
    </row>
    <row r="54" spans="1:7" s="3208" customFormat="1">
      <c r="A54" s="3403" t="s">
        <v>3385</v>
      </c>
      <c r="B54" s="3404" t="s">
        <v>3502</v>
      </c>
      <c r="C54" s="3405">
        <f ca="1">C20</f>
        <v>10</v>
      </c>
      <c r="D54" s="626"/>
      <c r="E54" s="626"/>
      <c r="F54" s="626"/>
      <c r="G54" s="626"/>
    </row>
    <row r="55" spans="1:7" s="3208" customFormat="1">
      <c r="A55" s="3403" t="s">
        <v>3386</v>
      </c>
      <c r="B55" s="3404" t="s">
        <v>3503</v>
      </c>
      <c r="C55" s="3405">
        <f ca="1">C23</f>
        <v>0</v>
      </c>
      <c r="D55" s="626"/>
      <c r="E55" s="626"/>
      <c r="F55" s="626"/>
      <c r="G55" s="626"/>
    </row>
    <row r="56" spans="1:7" s="3208" customFormat="1">
      <c r="A56" s="3403" t="s">
        <v>3662</v>
      </c>
      <c r="B56" s="3404" t="s">
        <v>3504</v>
      </c>
      <c r="C56" s="3405">
        <f ca="1">C24</f>
        <v>0</v>
      </c>
      <c r="D56" s="626"/>
      <c r="E56" s="626"/>
      <c r="F56" s="626"/>
      <c r="G56" s="626"/>
    </row>
    <row r="57" spans="1:7" s="3208" customFormat="1">
      <c r="A57" s="3212" t="s">
        <v>3513</v>
      </c>
      <c r="B57" s="626" t="s">
        <v>3500</v>
      </c>
      <c r="C57" s="2665">
        <f ca="1">C25</f>
        <v>0</v>
      </c>
      <c r="D57" s="626"/>
      <c r="E57" s="626"/>
      <c r="F57" s="626"/>
      <c r="G57" s="626"/>
    </row>
    <row r="58" spans="1:7" s="3208" customFormat="1">
      <c r="A58" s="3212" t="s">
        <v>3514</v>
      </c>
      <c r="B58" s="626" t="s">
        <v>3501</v>
      </c>
      <c r="C58" s="2665">
        <f ca="1">C26</f>
        <v>0</v>
      </c>
      <c r="D58" s="626"/>
      <c r="E58" s="626"/>
      <c r="F58" s="626"/>
      <c r="G58" s="626"/>
    </row>
    <row r="59" spans="1:7" s="3208" customFormat="1">
      <c r="A59" s="3211" t="s">
        <v>3493</v>
      </c>
      <c r="B59" s="2694" t="s">
        <v>3487</v>
      </c>
      <c r="C59" s="2665">
        <f ca="1">C27</f>
        <v>0</v>
      </c>
      <c r="D59" s="626"/>
      <c r="E59" s="626"/>
      <c r="F59" s="626"/>
      <c r="G59" s="626"/>
    </row>
    <row r="60" spans="1:7" s="3208" customFormat="1">
      <c r="A60" s="3211" t="s">
        <v>3505</v>
      </c>
      <c r="B60" s="2694" t="s">
        <v>3506</v>
      </c>
      <c r="C60" s="2665">
        <f ca="1">C61+C62</f>
        <v>0</v>
      </c>
      <c r="D60" s="626"/>
      <c r="E60" s="626"/>
      <c r="F60" s="626"/>
      <c r="G60" s="626"/>
    </row>
    <row r="61" spans="1:7" s="3208" customFormat="1">
      <c r="A61" s="3212" t="s">
        <v>3495</v>
      </c>
      <c r="B61" s="2694" t="s">
        <v>3490</v>
      </c>
      <c r="C61" s="2665">
        <f ca="1">C28</f>
        <v>0</v>
      </c>
      <c r="D61" s="626"/>
      <c r="E61" s="626"/>
      <c r="F61" s="626"/>
      <c r="G61" s="626"/>
    </row>
    <row r="62" spans="1:7" s="3208" customFormat="1">
      <c r="A62" s="3212" t="s">
        <v>3507</v>
      </c>
      <c r="B62" s="2694" t="s">
        <v>3489</v>
      </c>
      <c r="C62" s="2665">
        <f>C32</f>
        <v>0</v>
      </c>
      <c r="D62" s="626"/>
      <c r="E62" s="626"/>
      <c r="F62" s="626"/>
      <c r="G62" s="626"/>
    </row>
    <row r="63" spans="1:7" s="3208" customFormat="1">
      <c r="A63" s="3211" t="s">
        <v>3508</v>
      </c>
      <c r="B63" s="2694" t="s">
        <v>3488</v>
      </c>
      <c r="C63" s="2665" t="str">
        <f ca="1">C29</f>
        <v>0+0V</v>
      </c>
      <c r="D63" s="626"/>
      <c r="E63" s="626"/>
      <c r="F63" s="626"/>
      <c r="G63" s="626"/>
    </row>
    <row r="64" spans="1:7" s="3208" customFormat="1">
      <c r="A64" s="626">
        <v>4</v>
      </c>
      <c r="B64" s="2694" t="s">
        <v>3491</v>
      </c>
      <c r="C64" s="2665" t="str">
        <f ca="1">C33</f>
        <v>2+0V</v>
      </c>
      <c r="D64" s="626"/>
      <c r="E64" s="626"/>
      <c r="F64" s="626"/>
      <c r="G64" s="626"/>
    </row>
    <row r="65" spans="1:7" s="3208" customFormat="1">
      <c r="A65" s="626">
        <v>5</v>
      </c>
      <c r="B65" s="2694" t="s">
        <v>3492</v>
      </c>
      <c r="C65" s="2665">
        <f ca="1">C36</f>
        <v>-12</v>
      </c>
      <c r="D65" s="626"/>
      <c r="E65" s="626"/>
      <c r="F65" s="626"/>
      <c r="G65" s="626"/>
    </row>
    <row r="66" spans="1:7" s="3208" customFormat="1">
      <c r="A66" s="1859"/>
      <c r="C66" s="3209"/>
      <c r="E66" s="1859"/>
    </row>
    <row r="67" spans="1:7" s="3208" customFormat="1">
      <c r="A67" s="1859"/>
      <c r="C67" s="3209"/>
      <c r="E67" s="1859"/>
    </row>
    <row r="68" spans="1:7" s="3208" customFormat="1">
      <c r="A68" s="1859"/>
      <c r="C68" s="3209"/>
      <c r="E68" s="1859"/>
    </row>
    <row r="69" spans="1:7" s="3208" customFormat="1">
      <c r="A69" s="1859"/>
      <c r="C69" s="3209"/>
      <c r="E69" s="1859"/>
    </row>
    <row r="70" spans="1:7" s="3208" customFormat="1">
      <c r="A70" s="1859"/>
      <c r="C70" s="3209"/>
      <c r="E70" s="1859"/>
    </row>
    <row r="71" spans="1:7" s="3208" customFormat="1">
      <c r="A71" s="1859"/>
      <c r="C71" s="3209"/>
      <c r="E71" s="1859"/>
    </row>
    <row r="72" spans="1:7" s="3208" customFormat="1">
      <c r="A72" s="1859"/>
      <c r="C72" s="3209"/>
      <c r="E72" s="1859"/>
    </row>
    <row r="73" spans="1:7" s="3208" customFormat="1">
      <c r="A73" s="1859"/>
      <c r="C73" s="3209"/>
      <c r="E73" s="1859"/>
    </row>
    <row r="74" spans="1:7" s="3208" customFormat="1">
      <c r="A74" s="1859"/>
      <c r="C74" s="3209"/>
      <c r="E74" s="1859"/>
    </row>
    <row r="75" spans="1:7" s="3208" customFormat="1">
      <c r="A75" s="1859"/>
      <c r="C75" s="3209"/>
      <c r="E75" s="1859"/>
    </row>
    <row r="76" spans="1:7" s="3208" customFormat="1">
      <c r="A76" s="1859"/>
      <c r="C76" s="3209"/>
      <c r="E76" s="1859"/>
    </row>
    <row r="77" spans="1:7" s="3208" customFormat="1">
      <c r="A77" s="1859"/>
      <c r="C77" s="3209"/>
      <c r="E77" s="1859"/>
    </row>
    <row r="78" spans="1:7" s="3208" customFormat="1">
      <c r="A78" s="1859"/>
      <c r="C78" s="3209"/>
      <c r="E78" s="1859"/>
    </row>
    <row r="79" spans="1:7" s="3208" customFormat="1">
      <c r="A79" s="1859"/>
      <c r="C79" s="3209"/>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75">
      <c r="A2" s="1573" t="s">
        <v>1980</v>
      </c>
      <c r="B2" s="2921" t="e">
        <f ca="1">SUMIF(B6:B13,"&lt;&gt;#ref!",B6:B13)</f>
        <v>#DIV/0!</v>
      </c>
      <c r="C2" s="1573" t="s">
        <v>1981</v>
      </c>
      <c r="D2" s="1573" t="s">
        <v>1982</v>
      </c>
      <c r="E2" s="2922">
        <f ca="1">SUMIF(E6:E13,"&lt;&gt;#ref!",E6:E13)</f>
        <v>0</v>
      </c>
      <c r="F2" s="2031"/>
      <c r="G2" s="2031"/>
      <c r="H2" s="2031"/>
      <c r="I2" s="2031"/>
      <c r="J2" s="2031"/>
      <c r="K2" s="2031"/>
      <c r="L2" s="2031"/>
      <c r="M2" s="2031"/>
      <c r="N2" s="2031"/>
      <c r="O2" s="2031"/>
      <c r="P2" s="2031"/>
    </row>
    <row r="3" spans="1:16" ht="15.75">
      <c r="A3" s="1573" t="s">
        <v>1983</v>
      </c>
      <c r="B3" s="2921"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1" t="e">
        <f ca="1">SUMIF(INDIRECT("'"&amp;A6&amp;"'"&amp;"!A:A"),"总价",INDIRECT("'"&amp;A6&amp;"'"&amp;"!B:B"))</f>
        <v>#DIV/0!</v>
      </c>
      <c r="C6" s="1573" t="s">
        <v>1981</v>
      </c>
      <c r="D6" s="2031"/>
      <c r="E6" s="2922">
        <f ca="1">SUMIF(INDIRECT("'"&amp;A6&amp;"'"&amp;"!C:C"),"建筑面积",INDIRECT("'"&amp;A6&amp;"'"&amp;"!D:D"))</f>
        <v>0</v>
      </c>
      <c r="F6" s="2031"/>
      <c r="G6" s="2031"/>
      <c r="H6" s="2031"/>
      <c r="I6" s="2031"/>
      <c r="J6" s="2031"/>
      <c r="K6" s="2031"/>
      <c r="L6" s="2031"/>
      <c r="M6" s="2031"/>
      <c r="N6" s="2031"/>
      <c r="O6" s="2031"/>
      <c r="P6" s="2031"/>
    </row>
    <row r="7" spans="1:16" ht="15.75">
      <c r="A7" s="1885"/>
      <c r="B7" s="2921" t="e">
        <f ca="1">SUMIF(INDIRECT("'"&amp;A7&amp;"'"&amp;"!A:A"),"总价",INDIRECT("'"&amp;A7&amp;"'"&amp;"!B:B"))</f>
        <v>#REF!</v>
      </c>
      <c r="C7" s="1573"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1" t="e">
        <f t="shared" ref="B8:B13" ca="1" si="1">SUMIF(INDIRECT("'"&amp;A8&amp;"'"&amp;"!A:A"),"总价",INDIRECT("'"&amp;A8&amp;"'"&amp;"!B:B"))</f>
        <v>#REF!</v>
      </c>
      <c r="C8" s="1573" t="s">
        <v>1981</v>
      </c>
      <c r="D8" s="2031"/>
      <c r="E8" s="2922" t="e">
        <f t="shared" ca="1" si="0"/>
        <v>#REF!</v>
      </c>
      <c r="F8" s="2031"/>
      <c r="G8" s="2031"/>
      <c r="H8" s="2031"/>
      <c r="I8" s="2031"/>
      <c r="J8" s="2031"/>
      <c r="K8" s="2031"/>
      <c r="L8" s="2031"/>
      <c r="M8" s="2031"/>
      <c r="N8" s="2031"/>
      <c r="O8" s="2031"/>
      <c r="P8" s="2031"/>
    </row>
    <row r="9" spans="1:16" ht="15.75">
      <c r="A9" s="1885"/>
      <c r="B9" s="2921" t="e">
        <f t="shared" ca="1" si="1"/>
        <v>#REF!</v>
      </c>
      <c r="C9" s="1573" t="s">
        <v>1981</v>
      </c>
      <c r="D9" s="2031"/>
      <c r="E9" s="2922" t="e">
        <f t="shared" ca="1" si="0"/>
        <v>#REF!</v>
      </c>
      <c r="F9" s="2031"/>
      <c r="G9" s="2031"/>
      <c r="H9" s="2031"/>
      <c r="I9" s="2031"/>
      <c r="J9" s="2031"/>
      <c r="K9" s="2031"/>
      <c r="L9" s="2031"/>
      <c r="M9" s="2031"/>
      <c r="N9" s="2031"/>
      <c r="O9" s="2031"/>
      <c r="P9" s="2031"/>
    </row>
    <row r="10" spans="1:16" ht="15.75">
      <c r="A10" s="1885"/>
      <c r="B10" s="2921" t="e">
        <f t="shared" ca="1" si="1"/>
        <v>#REF!</v>
      </c>
      <c r="C10" s="1573" t="s">
        <v>1981</v>
      </c>
      <c r="D10" s="2031"/>
      <c r="E10" s="2922" t="e">
        <f t="shared" ca="1" si="0"/>
        <v>#REF!</v>
      </c>
      <c r="F10" s="2031"/>
      <c r="G10" s="2031"/>
      <c r="H10" s="2031"/>
      <c r="I10" s="2031"/>
      <c r="J10" s="2031"/>
      <c r="K10" s="2031"/>
      <c r="L10" s="2031"/>
      <c r="M10" s="2031"/>
      <c r="N10" s="2031"/>
      <c r="O10" s="2031"/>
      <c r="P10" s="2031"/>
    </row>
    <row r="11" spans="1:16" ht="15.75">
      <c r="A11" s="1885"/>
      <c r="B11" s="2921" t="e">
        <f t="shared" ca="1" si="1"/>
        <v>#REF!</v>
      </c>
      <c r="C11" s="1573" t="s">
        <v>1981</v>
      </c>
      <c r="D11" s="2031"/>
      <c r="E11" s="2922" t="e">
        <f t="shared" ca="1" si="0"/>
        <v>#REF!</v>
      </c>
      <c r="F11" s="2031"/>
      <c r="G11" s="2031"/>
      <c r="H11" s="2031"/>
      <c r="I11" s="2031"/>
      <c r="J11" s="2031"/>
      <c r="K11" s="2031"/>
      <c r="L11" s="2031"/>
      <c r="M11" s="2031"/>
      <c r="N11" s="2031"/>
      <c r="O11" s="2031"/>
      <c r="P11" s="2031"/>
    </row>
    <row r="12" spans="1:16" ht="15.75">
      <c r="A12" s="1885"/>
      <c r="B12" s="2921" t="e">
        <f t="shared" ca="1" si="1"/>
        <v>#REF!</v>
      </c>
      <c r="C12" s="1573" t="s">
        <v>1981</v>
      </c>
      <c r="D12" s="2031"/>
      <c r="E12" s="2922" t="e">
        <f t="shared" ca="1" si="0"/>
        <v>#REF!</v>
      </c>
      <c r="F12" s="2031"/>
      <c r="G12" s="2031"/>
      <c r="H12" s="2031"/>
      <c r="I12" s="2031"/>
      <c r="J12" s="2031"/>
      <c r="K12" s="2031"/>
      <c r="L12" s="2031"/>
      <c r="M12" s="2031"/>
      <c r="N12" s="2031"/>
      <c r="O12" s="2031"/>
      <c r="P12" s="2031"/>
    </row>
    <row r="13" spans="1:16" ht="15.75">
      <c r="A13" s="1885"/>
      <c r="B13" s="2921" t="e">
        <f t="shared" ca="1" si="1"/>
        <v>#REF!</v>
      </c>
      <c r="C13" s="1573"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3515</v>
      </c>
      <c r="B1" s="47"/>
      <c r="C1" s="785"/>
      <c r="D1" s="784"/>
      <c r="E1" s="2044"/>
      <c r="F1" s="2044"/>
      <c r="G1" s="1937"/>
      <c r="H1" s="2044"/>
      <c r="I1" s="2044"/>
      <c r="J1" s="2044"/>
      <c r="K1" s="2045">
        <f>MATCH(C1,'数据-取费表'!A6:A16,0)+5</f>
        <v>7</v>
      </c>
    </row>
    <row r="2" spans="1:33" ht="18" customHeight="1">
      <c r="A2" s="96" t="s">
        <v>1431</v>
      </c>
      <c r="B2" s="2522">
        <f ca="1">C34</f>
        <v>-242</v>
      </c>
      <c r="C2" s="171" t="s">
        <v>1531</v>
      </c>
      <c r="D2" s="171"/>
      <c r="E2" s="2044"/>
      <c r="F2" s="2044"/>
      <c r="G2" s="2044"/>
      <c r="H2" s="2044"/>
      <c r="I2" s="2044"/>
      <c r="J2" s="2044"/>
      <c r="K2" s="2044"/>
    </row>
    <row r="3" spans="1:33" ht="18" customHeight="1">
      <c r="A3" s="98" t="s">
        <v>1433</v>
      </c>
      <c r="B3" s="2522">
        <f ca="1">ROUND(B2*10000/IF(C1="",'数据-汇总表'!E3,INDIRECT("'数据-取费表'!K"&amp;$K$1)),0)</f>
        <v>-4857</v>
      </c>
      <c r="C3" s="171" t="s">
        <v>1532</v>
      </c>
      <c r="D3" s="171"/>
      <c r="E3" s="2044"/>
      <c r="F3" s="2044"/>
      <c r="G3" s="2044"/>
      <c r="H3" s="2044"/>
      <c r="I3" s="2044"/>
      <c r="J3" s="2044"/>
      <c r="K3" s="2044"/>
    </row>
    <row r="4" spans="1:33" ht="18" customHeight="1">
      <c r="A4" s="3385" t="s">
        <v>3630</v>
      </c>
      <c r="B4" s="2521" t="e">
        <f ca="1">ROUND(B2*10000/IF(C1="",'数据-汇总表'!D3,INDIRECT("'数据-取费表'!R"&amp;$K$1)),0)</f>
        <v>#DIV/0!</v>
      </c>
      <c r="C4" s="1336" t="s">
        <v>3632</v>
      </c>
      <c r="D4" s="171"/>
      <c r="E4" s="2044"/>
      <c r="F4" s="2044"/>
      <c r="G4" s="2044"/>
      <c r="H4" s="2044"/>
      <c r="I4" s="2044"/>
      <c r="J4" s="2044"/>
      <c r="K4" s="2044"/>
    </row>
    <row r="5" spans="1:33" ht="18" customHeight="1" thickBot="1">
      <c r="A5" s="94"/>
      <c r="B5" s="3394" t="e">
        <f ca="1">ROUND(B2/(IF(C1="",'数据-汇总表'!D3,INDIRECT("'数据-取费表'!R"&amp;$K$1))/666.67),0)</f>
        <v>#DIV/0!</v>
      </c>
      <c r="C5" s="3388" t="s">
        <v>3631</v>
      </c>
      <c r="D5" s="171"/>
      <c r="E5" s="2044"/>
      <c r="F5" s="2044"/>
      <c r="G5" s="2044"/>
      <c r="H5" s="2044"/>
      <c r="I5" s="2044"/>
      <c r="J5" s="2044"/>
      <c r="K5" s="2044"/>
    </row>
    <row r="6" spans="1:33" s="515" customFormat="1" ht="16.5" customHeight="1">
      <c r="A6" s="2652" t="s">
        <v>3519</v>
      </c>
      <c r="B6" s="2651"/>
      <c r="C6" s="4653" t="s">
        <v>3376</v>
      </c>
      <c r="D6" s="4653"/>
      <c r="E6" s="4653"/>
      <c r="F6" s="4653"/>
      <c r="G6" s="4653"/>
      <c r="H6" s="4653"/>
      <c r="I6" s="4653"/>
      <c r="J6" s="4653"/>
      <c r="K6" s="4654"/>
    </row>
    <row r="7" spans="1:33" s="518" customFormat="1" ht="15">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3955</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2" t="s">
        <v>3956</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3959</v>
      </c>
      <c r="B10" s="4073" t="s">
        <v>3954</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60" t="s">
        <v>3520</v>
      </c>
      <c r="B11" s="4661"/>
      <c r="C11" s="4661"/>
      <c r="D11" s="4661"/>
      <c r="E11" s="4661"/>
      <c r="F11" s="4661"/>
      <c r="G11" s="4661"/>
      <c r="H11" s="4661"/>
      <c r="I11" s="4661"/>
      <c r="J11" s="4661"/>
      <c r="K11" s="4662"/>
    </row>
    <row r="12" spans="1:33" s="4070" customFormat="1" ht="13.5" customHeight="1">
      <c r="A12" s="3210" t="s">
        <v>3509</v>
      </c>
      <c r="B12" s="4067" t="s">
        <v>1537</v>
      </c>
      <c r="C12" s="4071" t="s">
        <v>3954</v>
      </c>
      <c r="D12" s="4067" t="s">
        <v>1539</v>
      </c>
      <c r="E12" s="4067" t="s">
        <v>1540</v>
      </c>
      <c r="F12" s="4067" t="s">
        <v>1541</v>
      </c>
      <c r="G12" s="4079" t="s">
        <v>3400</v>
      </c>
      <c r="H12" s="4080"/>
      <c r="I12" s="4080"/>
      <c r="J12" s="4080"/>
      <c r="K12" s="4081"/>
    </row>
    <row r="13" spans="1:33" s="521" customFormat="1" ht="13.5" customHeight="1">
      <c r="A13" s="2492">
        <v>1</v>
      </c>
      <c r="B13" s="2676" t="s">
        <v>3521</v>
      </c>
      <c r="C13" s="2661">
        <f>SUM(C10:K10)</f>
        <v>0</v>
      </c>
      <c r="D13" s="520"/>
      <c r="E13" s="520"/>
      <c r="F13" s="3224"/>
      <c r="G13" s="3349"/>
      <c r="H13" s="3348"/>
      <c r="I13" s="3348"/>
      <c r="J13" s="3348"/>
      <c r="K13" s="3360"/>
    </row>
    <row r="14" spans="1:33" s="521" customFormat="1" ht="13.5" customHeight="1">
      <c r="A14" s="2492">
        <v>2</v>
      </c>
      <c r="B14" s="2677" t="s">
        <v>3624</v>
      </c>
      <c r="C14" s="2661">
        <v>0</v>
      </c>
      <c r="D14" s="2677"/>
      <c r="E14" s="2677"/>
      <c r="F14" s="2595">
        <v>0</v>
      </c>
      <c r="G14" s="3528" t="s">
        <v>3674</v>
      </c>
      <c r="H14" s="3348"/>
      <c r="I14" s="3348"/>
      <c r="J14" s="3348"/>
      <c r="K14" s="3360"/>
    </row>
    <row r="15" spans="1:33" s="523" customFormat="1" ht="13.5" customHeight="1">
      <c r="A15" s="2492">
        <v>3</v>
      </c>
      <c r="B15" s="530" t="s">
        <v>3594</v>
      </c>
      <c r="C15" s="2533">
        <f ca="1">C32-C33</f>
        <v>242</v>
      </c>
      <c r="D15" s="530"/>
      <c r="E15" s="173"/>
      <c r="F15" s="3225"/>
      <c r="G15" s="3350" t="s">
        <v>3539</v>
      </c>
      <c r="H15" s="526"/>
      <c r="I15" s="526"/>
      <c r="J15" s="526"/>
      <c r="K15" s="527"/>
    </row>
    <row r="16" spans="1:33" s="523" customFormat="1" ht="13.5" customHeight="1">
      <c r="A16" s="3361" t="s">
        <v>3589</v>
      </c>
      <c r="B16" s="3229" t="s">
        <v>3522</v>
      </c>
      <c r="C16" s="3230">
        <f ca="1">SUM(C17:C22)</f>
        <v>234</v>
      </c>
      <c r="D16" s="3229"/>
      <c r="E16" s="3229"/>
      <c r="F16" s="3231"/>
      <c r="G16" s="2631"/>
      <c r="H16" s="3348"/>
      <c r="I16" s="3348"/>
      <c r="J16" s="3348"/>
      <c r="K16" s="3360"/>
    </row>
    <row r="17" spans="1:33" s="523" customFormat="1" ht="13.5" customHeight="1">
      <c r="A17" s="3362" t="s">
        <v>3540</v>
      </c>
      <c r="B17" s="3216" t="s">
        <v>3527</v>
      </c>
      <c r="C17" s="2500">
        <f ca="1">IF(C1="",'数据-取费表'!M16,INDIRECT("'数据-取费表'!M"&amp;$K$1)+INDIRECT("'数据-取费表'!ap"&amp;$K$1))</f>
        <v>204</v>
      </c>
      <c r="D17" s="3232"/>
      <c r="E17" s="3233"/>
      <c r="F17" s="3245"/>
      <c r="G17" s="3351"/>
      <c r="H17" s="3348"/>
      <c r="I17" s="3348"/>
      <c r="J17" s="3348"/>
      <c r="K17" s="3360"/>
    </row>
    <row r="18" spans="1:33" s="523" customFormat="1" ht="13.5" customHeight="1">
      <c r="A18" s="3362" t="s">
        <v>3528</v>
      </c>
      <c r="B18" s="3217" t="s">
        <v>3529</v>
      </c>
      <c r="C18" s="2500">
        <f ca="1">ROUND(C17*F18,0)</f>
        <v>14</v>
      </c>
      <c r="D18" s="3229"/>
      <c r="E18" s="3229"/>
      <c r="F18" s="3246">
        <f>'数据-取费表'!B33</f>
        <v>7.0000000000000007E-2</v>
      </c>
      <c r="G18" s="2631"/>
      <c r="H18" s="3348"/>
      <c r="I18" s="3348"/>
      <c r="J18" s="3348"/>
      <c r="K18" s="3360"/>
    </row>
    <row r="19" spans="1:33" s="523" customFormat="1" ht="13.5" customHeight="1">
      <c r="A19" s="3362" t="s">
        <v>3541</v>
      </c>
      <c r="B19" s="3218" t="s">
        <v>3497</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3542</v>
      </c>
      <c r="B20" s="3218" t="s">
        <v>3550</v>
      </c>
      <c r="C20" s="2500">
        <f ca="1">ROUND(D20*E20/10000,0)</f>
        <v>14</v>
      </c>
      <c r="D20" s="3227">
        <f ca="1">IF(C1="",'数据-汇总表'!E3,INDIRECT("'数据-取费表'!K"&amp;$K$1)+INDIRECT("'数据-取费表'!S"&amp;$K$1))</f>
        <v>498.23</v>
      </c>
      <c r="E20" s="3228">
        <f>'数据-取费表'!B35</f>
        <v>280</v>
      </c>
      <c r="F20" s="3227"/>
      <c r="G20" s="2496"/>
      <c r="H20" s="3348"/>
      <c r="I20" s="3348"/>
      <c r="J20" s="526"/>
      <c r="K20" s="527"/>
    </row>
    <row r="21" spans="1:33" s="523" customFormat="1" ht="13.5" customHeight="1">
      <c r="A21" s="3362" t="s">
        <v>3543</v>
      </c>
      <c r="B21" s="3219" t="s">
        <v>3500</v>
      </c>
      <c r="C21" s="2500">
        <f ca="1">ROUND(C17*F21,0)</f>
        <v>2</v>
      </c>
      <c r="D21" s="3234"/>
      <c r="E21" s="3234"/>
      <c r="F21" s="3246">
        <f>'数据-取费表'!B36</f>
        <v>0.01</v>
      </c>
      <c r="G21" s="2496"/>
      <c r="H21" s="528"/>
      <c r="I21" s="528"/>
      <c r="J21" s="528"/>
      <c r="K21" s="3363"/>
    </row>
    <row r="22" spans="1:33" s="523" customFormat="1" ht="13.5" customHeight="1">
      <c r="A22" s="3362" t="s">
        <v>3544</v>
      </c>
      <c r="B22" s="3219" t="s">
        <v>3551</v>
      </c>
      <c r="C22" s="2500">
        <f ca="1">ROUND(C17*F22,0)</f>
        <v>0</v>
      </c>
      <c r="D22" s="3234"/>
      <c r="E22" s="3234"/>
      <c r="F22" s="3246">
        <f>'数据-取费表'!B37</f>
        <v>0</v>
      </c>
      <c r="G22" s="2496"/>
      <c r="H22" s="528"/>
      <c r="I22" s="528"/>
      <c r="J22" s="528"/>
      <c r="K22" s="3363"/>
    </row>
    <row r="23" spans="1:33" s="524" customFormat="1" ht="13.5" customHeight="1">
      <c r="A23" s="3361" t="s">
        <v>3590</v>
      </c>
      <c r="B23" s="3229" t="s">
        <v>3486</v>
      </c>
      <c r="C23" s="2505">
        <f ca="1">ROUND(C16*F23,0)</f>
        <v>7</v>
      </c>
      <c r="D23" s="3235"/>
      <c r="E23" s="3235"/>
      <c r="F23" s="3247">
        <f>'数据-取费表'!B38</f>
        <v>0.03</v>
      </c>
      <c r="G23" s="2508" t="s">
        <v>3523</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3591</v>
      </c>
      <c r="B24" s="3229" t="s">
        <v>3530</v>
      </c>
      <c r="C24" s="2505" t="str">
        <f>F24&amp;"V建"</f>
        <v>0.02V建</v>
      </c>
      <c r="D24" s="3235"/>
      <c r="E24" s="3235"/>
      <c r="F24" s="3247">
        <f>'数据-取费表'!B39</f>
        <v>0.02</v>
      </c>
      <c r="G24" s="2508"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3592</v>
      </c>
      <c r="B25" s="3229" t="s">
        <v>3417</v>
      </c>
      <c r="C25" s="3236" t="str">
        <f ca="1">C26&amp;"+"&amp;C27&amp;"V建"</f>
        <v>8+0.0006V建</v>
      </c>
      <c r="D25" s="3237"/>
      <c r="E25" s="3237"/>
      <c r="F25" s="3246">
        <f ca="1">'数据-取费表'!B41</f>
        <v>3.1300000000000001E-2</v>
      </c>
      <c r="G25" s="3352" t="s">
        <v>3531</v>
      </c>
      <c r="H25" s="3353"/>
      <c r="I25" s="3353"/>
      <c r="J25" s="3353"/>
      <c r="K25" s="3364"/>
    </row>
    <row r="26" spans="1:33" s="524" customFormat="1" ht="13.5" customHeight="1">
      <c r="A26" s="3362" t="s">
        <v>3532</v>
      </c>
      <c r="B26" s="3219" t="s">
        <v>3555</v>
      </c>
      <c r="C26" s="3236">
        <f ca="1">ROUND(IF('数据-取费表'!B20&lt;=1,(C16+C23)*F25*'数据-取费表'!B20/2,(C23+C16)*(POWER((1+F25),'数据-取费表'!B20/2)-1)),0)</f>
        <v>8</v>
      </c>
      <c r="D26" s="3237"/>
      <c r="E26" s="3237"/>
      <c r="F26" s="3227"/>
      <c r="G26" s="3352"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3534</v>
      </c>
      <c r="B27" s="3219" t="s">
        <v>3556</v>
      </c>
      <c r="C27" s="3238">
        <f>ROUND(IF('数据-取费表'!B20&lt;=1,F24*F25*'数据-取费表'!B20/2,F24*(POWER((1+F23),'数据-取费表'!B20/2)-1)),4)</f>
        <v>5.9999999999999995E-4</v>
      </c>
      <c r="D27" s="3029"/>
      <c r="E27" s="3029"/>
      <c r="F27" s="3245"/>
      <c r="G27" s="3354"/>
      <c r="H27" s="3348"/>
      <c r="I27" s="3348"/>
      <c r="J27" s="3348"/>
      <c r="K27" s="3360"/>
    </row>
    <row r="28" spans="1:33" s="523" customFormat="1" ht="13.5" customHeight="1">
      <c r="A28" s="3361" t="s">
        <v>3535</v>
      </c>
      <c r="B28" s="3229" t="s">
        <v>3552</v>
      </c>
      <c r="C28" s="2649" t="str">
        <f ca="1">C29&amp;"+"&amp;C30&amp;"V建"</f>
        <v>36+0.003V建</v>
      </c>
      <c r="D28" s="1011"/>
      <c r="E28" s="1011"/>
      <c r="F28" s="3248">
        <f ca="1">IF(C1="",'数据-取费表'!Q16,INDIRECT("'数据-取费表'!q"&amp;$K$1))</f>
        <v>0.15</v>
      </c>
      <c r="G28" s="4663" t="s">
        <v>3536</v>
      </c>
      <c r="H28" s="3348"/>
      <c r="I28" s="3348"/>
      <c r="J28" s="3348"/>
      <c r="K28" s="3360"/>
    </row>
    <row r="29" spans="1:33" s="523" customFormat="1" ht="13.5" customHeight="1">
      <c r="A29" s="3362" t="s">
        <v>3548</v>
      </c>
      <c r="B29" s="3219" t="s">
        <v>3553</v>
      </c>
      <c r="C29" s="2650">
        <f ca="1">ROUND((C16+C23)*F28,0)</f>
        <v>36</v>
      </c>
      <c r="D29" s="1011"/>
      <c r="E29" s="1011"/>
      <c r="F29" s="2719"/>
      <c r="G29" s="4663"/>
      <c r="H29" s="3355"/>
      <c r="I29" s="3355"/>
      <c r="J29" s="3355"/>
      <c r="K29" s="3365"/>
    </row>
    <row r="30" spans="1:33" s="531" customFormat="1" ht="13.5" customHeight="1">
      <c r="A30" s="3362" t="s">
        <v>3549</v>
      </c>
      <c r="B30" s="3219" t="s">
        <v>3554</v>
      </c>
      <c r="C30" s="2500">
        <f ca="1">ROUND(F24*F28,4)</f>
        <v>3.0000000000000001E-3</v>
      </c>
      <c r="D30" s="3239"/>
      <c r="E30" s="3237"/>
      <c r="F30" s="3227"/>
      <c r="G30" s="3356"/>
      <c r="H30" s="526"/>
      <c r="I30" s="526"/>
      <c r="J30" s="526"/>
      <c r="K30" s="527"/>
    </row>
    <row r="31" spans="1:33" s="531" customFormat="1" ht="13.5" customHeight="1">
      <c r="A31" s="3361" t="s">
        <v>3545</v>
      </c>
      <c r="B31" s="3229" t="s">
        <v>3557</v>
      </c>
      <c r="C31" s="2500">
        <v>0</v>
      </c>
      <c r="D31" s="3240"/>
      <c r="E31" s="3241"/>
      <c r="F31" s="3227"/>
      <c r="G31" s="3357" t="s">
        <v>3525</v>
      </c>
      <c r="H31" s="526"/>
      <c r="I31" s="526"/>
      <c r="J31" s="526"/>
      <c r="K31" s="527"/>
    </row>
    <row r="32" spans="1:33" s="523" customFormat="1" ht="13.5" customHeight="1">
      <c r="A32" s="3361" t="s">
        <v>3546</v>
      </c>
      <c r="B32" s="3229" t="s">
        <v>3593</v>
      </c>
      <c r="C32" s="3230">
        <f ca="1">ROUND((C16+C23+C26+C29)/(1-F24-C27-C30),0)</f>
        <v>292</v>
      </c>
      <c r="D32" s="3240"/>
      <c r="E32" s="3241"/>
      <c r="F32" s="3227"/>
      <c r="G32" s="3358" t="s">
        <v>3526</v>
      </c>
      <c r="H32" s="3359"/>
      <c r="I32" s="3359"/>
      <c r="J32" s="3359"/>
      <c r="K32" s="3366"/>
    </row>
    <row r="33" spans="1:11" s="176" customFormat="1" ht="13.5" customHeight="1">
      <c r="A33" s="3361" t="s">
        <v>3547</v>
      </c>
      <c r="B33" s="3242" t="s">
        <v>3537</v>
      </c>
      <c r="C33" s="3243">
        <f ca="1">ROUND(C32*(1-F33),0)</f>
        <v>50</v>
      </c>
      <c r="D33" s="3244"/>
      <c r="E33" s="3029"/>
      <c r="F33" s="3247">
        <f>IF('数据-取费表'!B24=0,'数据-取费表'!N16,1)</f>
        <v>0.83</v>
      </c>
      <c r="G33" s="3350" t="s">
        <v>3538</v>
      </c>
      <c r="H33" s="3355"/>
      <c r="I33" s="3355"/>
      <c r="J33" s="3355"/>
      <c r="K33" s="3365"/>
    </row>
    <row r="34" spans="1:11" s="521" customFormat="1" ht="15.75" thickBot="1">
      <c r="A34" s="3367">
        <v>4</v>
      </c>
      <c r="B34" s="3368" t="s">
        <v>3595</v>
      </c>
      <c r="C34" s="3369">
        <f ca="1">C13-C15</f>
        <v>-242</v>
      </c>
      <c r="D34" s="3368"/>
      <c r="E34" s="3368"/>
      <c r="F34" s="3370"/>
      <c r="G34" s="3371" t="s">
        <v>3623</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9"/>
      <c r="C2" s="4269"/>
      <c r="D2" s="4269"/>
      <c r="E2" s="4269"/>
    </row>
    <row r="3" spans="1:5" ht="18">
      <c r="A3" s="4270" t="str">
        <f>IF(项目基本情况!B9="房地产市场价值","估价结果一览表（市场价值不需“结果表-1”）","估价结果一览表")</f>
        <v>估价结果一览表</v>
      </c>
      <c r="B3" s="4270"/>
      <c r="C3" s="4270"/>
      <c r="D3" s="4270"/>
      <c r="E3" s="4270"/>
    </row>
    <row r="4" spans="1:5" ht="19.5" thickBot="1">
      <c r="A4" s="1035"/>
      <c r="B4" s="4268" t="s">
        <v>901</v>
      </c>
      <c r="C4" s="4268"/>
      <c r="D4" s="4268"/>
      <c r="E4" s="1035"/>
    </row>
    <row r="5" spans="1:5" ht="16.5" thickTop="1">
      <c r="B5" s="4266" t="s">
        <v>893</v>
      </c>
      <c r="C5" s="1036" t="s">
        <v>894</v>
      </c>
      <c r="D5" s="540">
        <f ca="1">结果表!H101</f>
        <v>952.06769999999995</v>
      </c>
    </row>
    <row r="6" spans="1:5" ht="31.5">
      <c r="B6" s="4266"/>
      <c r="C6" s="1036" t="s">
        <v>895</v>
      </c>
      <c r="D6" s="540" t="str">
        <f ca="1">NUMBERSTRING(INT(D5*10000),2)&amp;"元整"</f>
        <v>玖佰伍拾贰万零陆佰柒拾柒元整</v>
      </c>
    </row>
    <row r="7" spans="1:5" ht="15.75">
      <c r="B7" s="4271"/>
      <c r="C7" s="1037" t="s">
        <v>896</v>
      </c>
      <c r="D7" s="541">
        <f ca="1">结果表!H102</f>
        <v>19109</v>
      </c>
    </row>
    <row r="8" spans="1:5" ht="15.75">
      <c r="B8" s="4272" t="str">
        <f>结果表!E103</f>
        <v>2.估价师知悉的法定优先受偿款</v>
      </c>
      <c r="C8" s="1038" t="s">
        <v>897</v>
      </c>
      <c r="D8" s="541">
        <f>结果表!H103</f>
        <v>0</v>
      </c>
    </row>
    <row r="9" spans="1:5" ht="15.75">
      <c r="B9" s="4274"/>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5" t="str">
        <f>结果表!E107</f>
        <v>3.房地产抵押价值</v>
      </c>
      <c r="C13" s="1041" t="s">
        <v>894</v>
      </c>
      <c r="D13" s="543">
        <f ca="1">结果表!H107</f>
        <v>952.06769999999995</v>
      </c>
    </row>
    <row r="14" spans="1:5" ht="31.5">
      <c r="B14" s="4266"/>
      <c r="C14" s="1036" t="s">
        <v>895</v>
      </c>
      <c r="D14" s="540" t="str">
        <f ca="1">NUMBERSTRING(INT(D13*10000),2)&amp;"元整"</f>
        <v>玖佰伍拾贰万零陆佰柒拾柒元整</v>
      </c>
    </row>
    <row r="15" spans="1:5" ht="15">
      <c r="B15" s="4271"/>
      <c r="C15" s="1037" t="s">
        <v>905</v>
      </c>
      <c r="D15" s="548">
        <f ca="1">结果表!H108</f>
        <v>19109</v>
      </c>
    </row>
    <row r="16" spans="1:5" ht="15">
      <c r="B16" s="4272" t="str">
        <f>结果表!E109</f>
        <v>——</v>
      </c>
      <c r="C16" s="1041" t="s">
        <v>906</v>
      </c>
      <c r="D16" s="1042" t="str">
        <f>结果表!H109</f>
        <v>——</v>
      </c>
    </row>
    <row r="17" spans="1:5" ht="15.75">
      <c r="B17" s="4273"/>
      <c r="C17" s="1036" t="s">
        <v>907</v>
      </c>
      <c r="D17" s="540" t="e">
        <f>NUMBERSTRING(INT(D16*10000),2)&amp;"元整"</f>
        <v>#VALUE!</v>
      </c>
    </row>
    <row r="18" spans="1:5" ht="15">
      <c r="B18" s="4274"/>
      <c r="C18" s="1037" t="s">
        <v>896</v>
      </c>
      <c r="D18" s="548" t="str">
        <f>结果表!H110</f>
        <v>——</v>
      </c>
    </row>
    <row r="19" spans="1:5" ht="15.75">
      <c r="B19" s="4265" t="str">
        <f>结果表!E111</f>
        <v>——</v>
      </c>
      <c r="C19" s="1041" t="s">
        <v>894</v>
      </c>
      <c r="D19" s="541" t="str">
        <f>结果表!H111</f>
        <v>——</v>
      </c>
    </row>
    <row r="20" spans="1:5" ht="15.75">
      <c r="B20" s="4266"/>
      <c r="C20" s="1036" t="s">
        <v>907</v>
      </c>
      <c r="D20" s="540" t="e">
        <f>NUMBERSTRING(INT(D19*10000),2)&amp;"元整"</f>
        <v>#VALUE!</v>
      </c>
    </row>
    <row r="21" spans="1:5" ht="15.75" thickBot="1">
      <c r="B21" s="4267"/>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3516</v>
      </c>
      <c r="B1" s="3223"/>
      <c r="C1" s="2827"/>
      <c r="D1" s="93"/>
      <c r="E1" s="93"/>
      <c r="F1" s="93"/>
      <c r="G1" s="756">
        <f>MATCH(C1,'数据-取费表'!A6:A16,0)+5</f>
        <v>7</v>
      </c>
    </row>
    <row r="2" spans="1:7" s="95" customFormat="1" ht="15.75">
      <c r="A2" s="96" t="s">
        <v>1431</v>
      </c>
      <c r="B2" s="2521">
        <f ca="1">C34</f>
        <v>21</v>
      </c>
      <c r="C2" s="94" t="s">
        <v>1432</v>
      </c>
      <c r="D2" s="94"/>
      <c r="E2" s="2509"/>
      <c r="F2" s="94"/>
      <c r="G2" s="94"/>
    </row>
    <row r="3" spans="1:7" s="95" customFormat="1" ht="15.75">
      <c r="A3" s="98" t="s">
        <v>1433</v>
      </c>
      <c r="B3" s="2522">
        <f ca="1">ROUND(B2*10000/(IF(C1="",'数据-汇总表'!E3,INDIRECT("'数据-取费表'!k"&amp;$G$1))),0)</f>
        <v>421</v>
      </c>
      <c r="C3" s="94" t="s">
        <v>1434</v>
      </c>
      <c r="D3" s="94"/>
      <c r="E3" s="2509"/>
      <c r="F3" s="94"/>
      <c r="G3" s="94"/>
    </row>
    <row r="4" spans="1:7" s="95" customFormat="1" ht="15.75">
      <c r="A4" s="3385" t="s">
        <v>3630</v>
      </c>
      <c r="B4" s="2521" t="e">
        <f ca="1">ROUND(B2*10000/'数据-汇总表'!D3,0)</f>
        <v>#DIV/0!</v>
      </c>
      <c r="C4" s="96" t="s">
        <v>3632</v>
      </c>
      <c r="D4" s="94"/>
      <c r="E4" s="2509"/>
      <c r="F4" s="94"/>
      <c r="G4" s="94"/>
    </row>
    <row r="5" spans="1:7" s="95" customFormat="1" ht="16.5" thickBot="1">
      <c r="A5" s="94"/>
      <c r="B5" s="3394" t="e">
        <f ca="1">ROUND(B2/('数据-汇总表'!D3/666.67),0)</f>
        <v>#DIV/0!</v>
      </c>
      <c r="C5" s="3379" t="s">
        <v>3631</v>
      </c>
      <c r="D5" s="94"/>
      <c r="E5" s="2509"/>
      <c r="F5" s="94"/>
      <c r="G5" s="94"/>
    </row>
    <row r="6" spans="1:7" s="95" customFormat="1" ht="15.75">
      <c r="A6" s="3267" t="s">
        <v>3329</v>
      </c>
      <c r="B6" s="3268" t="s">
        <v>3330</v>
      </c>
      <c r="C6" s="3269" t="s">
        <v>3951</v>
      </c>
      <c r="D6" s="3270" t="s">
        <v>3335</v>
      </c>
      <c r="E6" s="3271" t="s">
        <v>3336</v>
      </c>
      <c r="F6" s="3271" t="s">
        <v>3337</v>
      </c>
      <c r="G6" s="3272" t="s">
        <v>3331</v>
      </c>
    </row>
    <row r="7" spans="1:7" s="103" customFormat="1" ht="15.75">
      <c r="A7" s="3273" t="s">
        <v>3328</v>
      </c>
      <c r="B7" s="2502" t="s">
        <v>3575</v>
      </c>
      <c r="C7" s="2524">
        <f>IF(G7="征收国有地",C8,IF(G7="征收集体地",C11,C17))</f>
        <v>0</v>
      </c>
      <c r="D7" s="3255"/>
      <c r="E7" s="3255"/>
      <c r="F7" s="3255"/>
      <c r="G7" s="3330"/>
    </row>
    <row r="8" spans="1:7" s="109" customFormat="1">
      <c r="A8" s="3274" t="s">
        <v>3599</v>
      </c>
      <c r="B8" s="3262" t="s">
        <v>3570</v>
      </c>
      <c r="C8" s="2561">
        <f>C9+C10</f>
        <v>0</v>
      </c>
      <c r="D8" s="3221"/>
      <c r="E8" s="3221"/>
      <c r="F8" s="3221"/>
      <c r="G8" s="3253"/>
    </row>
    <row r="9" spans="1:7" s="109" customFormat="1">
      <c r="A9" s="2580" t="s">
        <v>1451</v>
      </c>
      <c r="B9" s="124" t="s">
        <v>3558</v>
      </c>
      <c r="C9" s="3406">
        <f>ROUND(D9*E9/10000,0)</f>
        <v>0</v>
      </c>
      <c r="D9" s="3251"/>
      <c r="E9" s="3251"/>
      <c r="F9" s="3221"/>
      <c r="G9" s="3275"/>
    </row>
    <row r="10" spans="1:7" s="109" customFormat="1">
      <c r="A10" s="2580" t="s">
        <v>1453</v>
      </c>
      <c r="B10" s="124" t="s">
        <v>3559</v>
      </c>
      <c r="C10" s="3406">
        <f>ROUND(D10*E10/10000,0)</f>
        <v>0</v>
      </c>
      <c r="D10" s="3251"/>
      <c r="E10" s="3251"/>
      <c r="F10" s="3221"/>
      <c r="G10" s="3275"/>
    </row>
    <row r="11" spans="1:7" s="109" customFormat="1" ht="13.5">
      <c r="A11" s="3222" t="s">
        <v>3581</v>
      </c>
      <c r="B11" s="3325" t="s">
        <v>3571</v>
      </c>
      <c r="C11" s="136">
        <f>C12+C15+C16</f>
        <v>0</v>
      </c>
      <c r="D11" s="3221"/>
      <c r="E11" s="3221"/>
      <c r="F11" s="3221"/>
      <c r="G11" s="3275"/>
    </row>
    <row r="12" spans="1:7" s="109" customFormat="1">
      <c r="A12" s="2580" t="s">
        <v>1451</v>
      </c>
      <c r="B12" s="124" t="s">
        <v>3560</v>
      </c>
      <c r="C12" s="124">
        <f>C13+C14</f>
        <v>0</v>
      </c>
      <c r="D12" s="994"/>
      <c r="E12" s="994"/>
      <c r="F12" s="3221"/>
      <c r="G12" s="3276" t="s">
        <v>3561</v>
      </c>
    </row>
    <row r="13" spans="1:7" s="109" customFormat="1">
      <c r="A13" s="3326" t="s">
        <v>3583</v>
      </c>
      <c r="B13" s="3327" t="s">
        <v>3582</v>
      </c>
      <c r="C13" s="3406">
        <f>ROUND(D13*E13/10000,0)</f>
        <v>0</v>
      </c>
      <c r="D13" s="3251"/>
      <c r="E13" s="3251"/>
      <c r="F13" s="3221"/>
      <c r="G13" s="3277" t="s">
        <v>3663</v>
      </c>
    </row>
    <row r="14" spans="1:7" s="109" customFormat="1">
      <c r="A14" s="3326" t="s">
        <v>3585</v>
      </c>
      <c r="B14" s="3327" t="s">
        <v>3584</v>
      </c>
      <c r="C14" s="3251">
        <v>0</v>
      </c>
      <c r="D14" s="994"/>
      <c r="E14" s="994"/>
      <c r="F14" s="3221"/>
      <c r="G14" s="3277"/>
    </row>
    <row r="15" spans="1:7" s="109" customFormat="1">
      <c r="A15" s="2580" t="s">
        <v>1453</v>
      </c>
      <c r="B15" s="124" t="s">
        <v>3562</v>
      </c>
      <c r="C15" s="3406">
        <f t="shared" ref="C15" si="0">ROUND(D15*E15/10000,0)</f>
        <v>0</v>
      </c>
      <c r="D15" s="3251"/>
      <c r="E15" s="3251"/>
      <c r="F15" s="3221"/>
      <c r="G15" s="3277" t="s">
        <v>3563</v>
      </c>
    </row>
    <row r="16" spans="1:7" s="109" customFormat="1">
      <c r="A16" s="2580" t="s">
        <v>3574</v>
      </c>
      <c r="B16" s="3263" t="s">
        <v>3564</v>
      </c>
      <c r="C16" s="3406">
        <f>C13*F16</f>
        <v>0</v>
      </c>
      <c r="D16" s="3251"/>
      <c r="E16" s="3251"/>
      <c r="F16" s="3407">
        <v>0.25</v>
      </c>
      <c r="G16" s="3340" t="s">
        <v>3565</v>
      </c>
    </row>
    <row r="17" spans="1:9" s="109" customFormat="1" ht="13.5">
      <c r="A17" s="3222" t="s">
        <v>337</v>
      </c>
      <c r="B17" s="3262" t="s">
        <v>3572</v>
      </c>
      <c r="C17" s="2520">
        <f>C18+C19</f>
        <v>0</v>
      </c>
      <c r="D17" s="3332"/>
      <c r="E17" s="3333"/>
      <c r="F17" s="2552"/>
      <c r="G17" s="3341"/>
    </row>
    <row r="18" spans="1:9" s="109" customFormat="1">
      <c r="A18" s="3220" t="s">
        <v>347</v>
      </c>
      <c r="B18" s="3263" t="s">
        <v>1442</v>
      </c>
      <c r="C18" s="3019"/>
      <c r="D18" s="3334"/>
      <c r="E18" s="3333"/>
      <c r="F18" s="2551"/>
      <c r="G18" s="3408" t="s">
        <v>3664</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75">
      <c r="A20" s="3273" t="s">
        <v>3600</v>
      </c>
      <c r="B20" s="2502" t="s">
        <v>3573</v>
      </c>
      <c r="C20" s="2533">
        <f ca="1">C21+C24+C25</f>
        <v>20</v>
      </c>
      <c r="D20" s="3335"/>
      <c r="E20" s="3336"/>
      <c r="F20" s="2556"/>
      <c r="G20" s="3342"/>
    </row>
    <row r="21" spans="1:9" s="118" customFormat="1" ht="15">
      <c r="A21" s="3278" t="s">
        <v>3596</v>
      </c>
      <c r="B21" s="3256" t="s">
        <v>3321</v>
      </c>
      <c r="C21" s="2561">
        <f>IF(G21="已包含在土地购买价格中","0",IF(C1="",'数据-取费表'!B29,IF(G22="全部缴纳",C22+C23,H22)))</f>
        <v>0</v>
      </c>
      <c r="D21" s="3337"/>
      <c r="E21" s="3338"/>
      <c r="F21" s="3252"/>
      <c r="G21" s="1338"/>
    </row>
    <row r="22" spans="1:9" s="109" customFormat="1">
      <c r="A22" s="2504" t="s">
        <v>3579</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c r="A23" s="2504" t="s">
        <v>3580</v>
      </c>
      <c r="B23" s="3257" t="s">
        <v>1449</v>
      </c>
      <c r="C23" s="2560">
        <f ca="1">ROUND(D23*E23/10000,0)</f>
        <v>10</v>
      </c>
      <c r="D23" s="3249">
        <f ca="1">IF(C1="",'数据-汇总表'!E6,IF(INDIRECT("'数据-取费表'!c"&amp;$G$1)="住宅",INDIRECT("'数据-取费表'!s"&amp;$G$1),INDIRECT("'数据-取费表'!k"&amp;$G$1)+INDIRECT("'数据-取费表'!s"&amp;$G$1)))</f>
        <v>498.23</v>
      </c>
      <c r="E23" s="3249">
        <f>'数据-取费表'!B28</f>
        <v>200</v>
      </c>
      <c r="F23" s="2552"/>
      <c r="G23" s="3343"/>
    </row>
    <row r="24" spans="1:9" s="109" customFormat="1" ht="13.5">
      <c r="A24" s="3222" t="s">
        <v>3581</v>
      </c>
      <c r="B24" s="3258" t="s">
        <v>3597</v>
      </c>
      <c r="C24" s="2561">
        <f ca="1">IF(G24="已包含在土地取得成本中","0",ROUND(D24*E24/10000,0))</f>
        <v>6</v>
      </c>
      <c r="D24" s="3250">
        <f ca="1">D22+D23</f>
        <v>498.23</v>
      </c>
      <c r="E24" s="3250">
        <f>'数据-取费表'!B31</f>
        <v>120</v>
      </c>
      <c r="F24" s="3259"/>
      <c r="G24" s="1338"/>
    </row>
    <row r="25" spans="1:9" s="109" customFormat="1" ht="13.5">
      <c r="A25" s="3222" t="s">
        <v>337</v>
      </c>
      <c r="B25" s="3258" t="s">
        <v>3598</v>
      </c>
      <c r="C25" s="2561">
        <f ca="1">ROUND(E25*D25/10000,0)</f>
        <v>14</v>
      </c>
      <c r="D25" s="3250">
        <f ca="1">D24</f>
        <v>498.23</v>
      </c>
      <c r="E25" s="3250">
        <f>'数据-取费表'!B35</f>
        <v>280</v>
      </c>
      <c r="F25" s="3252"/>
      <c r="G25" s="3344"/>
    </row>
    <row r="26" spans="1:9" s="103" customFormat="1" ht="15.75">
      <c r="A26" s="3273" t="s">
        <v>3601</v>
      </c>
      <c r="B26" s="2502" t="s">
        <v>3602</v>
      </c>
      <c r="C26" s="2521">
        <f>C27+C28</f>
        <v>0</v>
      </c>
      <c r="D26" s="3339"/>
      <c r="E26" s="3339"/>
      <c r="F26" s="3252"/>
      <c r="G26" s="3345"/>
    </row>
    <row r="27" spans="1:9" s="109" customFormat="1">
      <c r="A27" s="3274" t="s">
        <v>3599</v>
      </c>
      <c r="B27" s="3260" t="s">
        <v>3566</v>
      </c>
      <c r="C27" s="2561">
        <f>ROUND(E27*D27/10000,0)</f>
        <v>0</v>
      </c>
      <c r="D27" s="3261"/>
      <c r="E27" s="3283">
        <v>25</v>
      </c>
      <c r="F27" s="3252"/>
      <c r="G27" s="3340" t="s">
        <v>3567</v>
      </c>
    </row>
    <row r="28" spans="1:9" s="109" customFormat="1">
      <c r="A28" s="3279" t="s">
        <v>3581</v>
      </c>
      <c r="B28" s="3260" t="s">
        <v>3568</v>
      </c>
      <c r="C28" s="2561">
        <f>ROUND(E28*D28/10000,0)</f>
        <v>0</v>
      </c>
      <c r="D28" s="3261"/>
      <c r="E28" s="3283">
        <v>60.1</v>
      </c>
      <c r="F28" s="3252"/>
      <c r="G28" s="3340" t="s">
        <v>3569</v>
      </c>
    </row>
    <row r="29" spans="1:9" s="2532" customFormat="1" ht="15.75">
      <c r="A29" s="3273" t="s">
        <v>3603</v>
      </c>
      <c r="B29" s="2502" t="s">
        <v>3604</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75">
      <c r="A30" s="3273" t="s">
        <v>3605</v>
      </c>
      <c r="B30" s="2502" t="s">
        <v>3606</v>
      </c>
      <c r="C30" s="2539">
        <f ca="1">ROUND((C7+C20+C26)*F30,0)</f>
        <v>3</v>
      </c>
      <c r="D30" s="2537"/>
      <c r="E30" s="296"/>
      <c r="F30" s="3264">
        <f ca="1">IF(C1="",'数据-取费表'!Q16,INDIRECT("'数据-取费表'!q"&amp;$G$1))</f>
        <v>0.15</v>
      </c>
      <c r="G30" s="3346"/>
    </row>
    <row r="31" spans="1:9" s="109" customFormat="1" ht="15.75">
      <c r="A31" s="2503" t="s">
        <v>3586</v>
      </c>
      <c r="B31" s="2502" t="s">
        <v>3578</v>
      </c>
      <c r="C31" s="2524">
        <f ca="1">C7+C20+C29+C30</f>
        <v>23</v>
      </c>
      <c r="D31" s="2515"/>
      <c r="E31" s="2515"/>
      <c r="F31" s="2514"/>
      <c r="G31" s="2516" t="s">
        <v>3609</v>
      </c>
    </row>
    <row r="32" spans="1:9" s="109" customFormat="1" ht="15.75">
      <c r="A32" s="2503" t="s">
        <v>3577</v>
      </c>
      <c r="B32" s="2502" t="s">
        <v>3576</v>
      </c>
      <c r="C32" s="3329">
        <f ca="1">ROUND(C31*F32,0)</f>
        <v>2</v>
      </c>
      <c r="D32" s="130"/>
      <c r="E32" s="131"/>
      <c r="F32" s="3265">
        <v>0.1</v>
      </c>
      <c r="G32" s="3347"/>
    </row>
    <row r="33" spans="1:14" s="109" customFormat="1" ht="15.75">
      <c r="A33" s="3328">
        <v>8</v>
      </c>
      <c r="B33" s="2502" t="s">
        <v>3588</v>
      </c>
      <c r="C33" s="2524">
        <f ca="1">C31+C32</f>
        <v>25</v>
      </c>
      <c r="D33" s="2515"/>
      <c r="E33" s="2515"/>
      <c r="F33" s="3266"/>
      <c r="G33" s="2516" t="s">
        <v>3608</v>
      </c>
    </row>
    <row r="34" spans="1:14" s="118" customFormat="1" ht="16.5" thickBot="1">
      <c r="A34" s="3280">
        <v>9</v>
      </c>
      <c r="B34" s="3281" t="s">
        <v>3587</v>
      </c>
      <c r="C34" s="2524">
        <f ca="1">ROUND(C33*F34,0)</f>
        <v>21</v>
      </c>
      <c r="D34" s="3282"/>
      <c r="E34" s="3282"/>
      <c r="F34" s="3331">
        <f>'数据-取费表'!AS16</f>
        <v>0.84299999999999997</v>
      </c>
      <c r="G34" s="2516" t="s">
        <v>3610</v>
      </c>
    </row>
    <row r="35" spans="1:14" s="109" customFormat="1"/>
    <row r="36" spans="1:14" s="109" customFormat="1"/>
    <row r="41" spans="1:14">
      <c r="J41" s="4229" t="s">
        <v>4061</v>
      </c>
    </row>
    <row r="42" spans="1:14">
      <c r="J42" s="4229" t="s">
        <v>4058</v>
      </c>
    </row>
    <row r="43" spans="1:14">
      <c r="J43" s="4230" t="s">
        <v>3997</v>
      </c>
      <c r="K43" s="4230"/>
      <c r="L43" s="4231"/>
      <c r="M43" s="4231"/>
      <c r="N43" s="4231"/>
    </row>
    <row r="44" spans="1:14" ht="25.5">
      <c r="J44" s="4672" t="s">
        <v>3998</v>
      </c>
      <c r="K44" s="4673"/>
      <c r="L44" s="4674"/>
      <c r="M44" s="4232" t="s">
        <v>3999</v>
      </c>
      <c r="N44" s="4232" t="s">
        <v>4000</v>
      </c>
    </row>
    <row r="45" spans="1:14">
      <c r="J45" s="4672" t="s">
        <v>4001</v>
      </c>
      <c r="K45" s="4673"/>
      <c r="L45" s="4674"/>
      <c r="M45" s="4232" t="s">
        <v>4002</v>
      </c>
      <c r="N45" s="4669" t="s">
        <v>4003</v>
      </c>
    </row>
    <row r="46" spans="1:14">
      <c r="J46" s="4672" t="s">
        <v>4004</v>
      </c>
      <c r="K46" s="4673"/>
      <c r="L46" s="4674"/>
      <c r="M46" s="4665" t="s">
        <v>4005</v>
      </c>
      <c r="N46" s="4670"/>
    </row>
    <row r="47" spans="1:14">
      <c r="J47" s="4672" t="s">
        <v>4006</v>
      </c>
      <c r="K47" s="4673"/>
      <c r="L47" s="4674"/>
      <c r="M47" s="4667"/>
      <c r="N47" s="4670"/>
    </row>
    <row r="48" spans="1:14">
      <c r="J48" s="4669" t="s">
        <v>4017</v>
      </c>
      <c r="K48" s="4665"/>
      <c r="L48" s="4232" t="s">
        <v>4007</v>
      </c>
      <c r="M48" s="4665" t="s">
        <v>4008</v>
      </c>
      <c r="N48" s="4670"/>
    </row>
    <row r="49" spans="10:15">
      <c r="J49" s="4670"/>
      <c r="K49" s="4666"/>
      <c r="L49" s="4232" t="s">
        <v>4009</v>
      </c>
      <c r="M49" s="4666"/>
      <c r="N49" s="4670"/>
    </row>
    <row r="50" spans="10:15">
      <c r="J50" s="4670"/>
      <c r="K50" s="4667"/>
      <c r="L50" s="4232" t="s">
        <v>4010</v>
      </c>
      <c r="M50" s="4666"/>
      <c r="N50" s="4670"/>
    </row>
    <row r="51" spans="10:15">
      <c r="J51" s="4670"/>
      <c r="K51" s="4669" t="s">
        <v>4018</v>
      </c>
      <c r="L51" s="4232" t="s">
        <v>4011</v>
      </c>
      <c r="M51" s="4666"/>
      <c r="N51" s="4670"/>
    </row>
    <row r="52" spans="10:15">
      <c r="J52" s="4671"/>
      <c r="K52" s="4670"/>
      <c r="L52" s="4232" t="s">
        <v>4019</v>
      </c>
      <c r="M52" s="4666"/>
      <c r="N52" s="4670"/>
    </row>
    <row r="53" spans="10:15">
      <c r="J53" s="4665"/>
      <c r="K53" s="4670"/>
      <c r="L53" s="4232" t="s">
        <v>4020</v>
      </c>
      <c r="M53" s="4666"/>
      <c r="N53" s="4670"/>
    </row>
    <row r="54" spans="10:15">
      <c r="J54" s="4666"/>
      <c r="K54" s="4670"/>
      <c r="L54" s="4232" t="s">
        <v>4012</v>
      </c>
      <c r="M54" s="4666"/>
      <c r="N54" s="4670"/>
    </row>
    <row r="55" spans="10:15">
      <c r="J55" s="4666"/>
      <c r="K55" s="4670"/>
      <c r="L55" s="4232" t="s">
        <v>4013</v>
      </c>
      <c r="M55" s="4666"/>
      <c r="N55" s="4670"/>
    </row>
    <row r="56" spans="10:15">
      <c r="J56" s="4666"/>
      <c r="K56" s="4670"/>
      <c r="L56" s="4232" t="s">
        <v>4014</v>
      </c>
      <c r="M56" s="4667"/>
      <c r="N56" s="4670"/>
    </row>
    <row r="57" spans="10:15">
      <c r="J57" s="4667"/>
      <c r="K57" s="4671"/>
      <c r="L57" s="4232" t="s">
        <v>4015</v>
      </c>
      <c r="M57" s="4233" t="s">
        <v>4016</v>
      </c>
      <c r="N57" s="4671"/>
    </row>
    <row r="60" spans="10:15">
      <c r="J60" s="4231" t="s">
        <v>4021</v>
      </c>
      <c r="K60" s="4231"/>
      <c r="L60" s="4231"/>
      <c r="M60" s="4231"/>
      <c r="N60" s="4231"/>
      <c r="O60" s="4231"/>
    </row>
    <row r="61" spans="10:15">
      <c r="J61" s="4230" t="s">
        <v>4022</v>
      </c>
      <c r="K61" s="4230" t="s">
        <v>4023</v>
      </c>
      <c r="L61" s="4230" t="s">
        <v>4024</v>
      </c>
      <c r="M61" s="4230" t="s">
        <v>4025</v>
      </c>
      <c r="N61" s="4230" t="s">
        <v>4026</v>
      </c>
      <c r="O61" s="4230" t="s">
        <v>4018</v>
      </c>
    </row>
    <row r="62" spans="10:15">
      <c r="J62" s="4230" t="s">
        <v>4027</v>
      </c>
      <c r="K62" s="4234" t="s">
        <v>4060</v>
      </c>
      <c r="L62" s="4230" t="s">
        <v>4028</v>
      </c>
      <c r="M62" s="4230" t="s">
        <v>4028</v>
      </c>
      <c r="N62" s="4230" t="s">
        <v>4029</v>
      </c>
      <c r="O62" s="4230" t="s">
        <v>4029</v>
      </c>
    </row>
    <row r="63" spans="10:15">
      <c r="J63" s="4230" t="s">
        <v>4030</v>
      </c>
      <c r="K63" s="4230" t="s">
        <v>4031</v>
      </c>
      <c r="L63" s="4230" t="s">
        <v>4032</v>
      </c>
      <c r="M63" s="4230" t="s">
        <v>4032</v>
      </c>
      <c r="N63" s="4230" t="s">
        <v>4033</v>
      </c>
      <c r="O63" s="4230" t="s">
        <v>4033</v>
      </c>
    </row>
    <row r="67" spans="10:15">
      <c r="J67" s="4231" t="s">
        <v>4034</v>
      </c>
      <c r="K67" s="4231"/>
      <c r="L67" s="4231"/>
      <c r="M67" s="4231"/>
      <c r="N67" s="4231"/>
      <c r="O67" s="4231"/>
    </row>
    <row r="68" spans="10:15">
      <c r="J68" s="4230" t="s">
        <v>4022</v>
      </c>
      <c r="K68" s="4230" t="s">
        <v>4035</v>
      </c>
      <c r="L68" s="4668" t="s">
        <v>4036</v>
      </c>
      <c r="M68" s="4668"/>
      <c r="N68" s="4668"/>
      <c r="O68" s="4230" t="s">
        <v>4000</v>
      </c>
    </row>
    <row r="69" spans="10:15" ht="25.5">
      <c r="J69" s="4230" t="s">
        <v>4037</v>
      </c>
      <c r="K69" s="4235" t="s">
        <v>4038</v>
      </c>
      <c r="L69" s="4664" t="s">
        <v>4039</v>
      </c>
      <c r="M69" s="4664"/>
      <c r="N69" s="4664"/>
      <c r="O69" s="4230"/>
    </row>
    <row r="70" spans="10:15" ht="25.5">
      <c r="J70" s="4230" t="s">
        <v>4040</v>
      </c>
      <c r="K70" s="4235" t="s">
        <v>4041</v>
      </c>
      <c r="L70" s="4664" t="s">
        <v>4042</v>
      </c>
      <c r="M70" s="4664"/>
      <c r="N70" s="4664"/>
      <c r="O70" s="4230"/>
    </row>
    <row r="71" spans="10:15" ht="25.5">
      <c r="J71" s="4230" t="s">
        <v>4043</v>
      </c>
      <c r="K71" s="4235" t="s">
        <v>4044</v>
      </c>
      <c r="L71" s="4664" t="s">
        <v>4045</v>
      </c>
      <c r="M71" s="4664"/>
      <c r="N71" s="4664"/>
      <c r="O71" s="4230"/>
    </row>
    <row r="72" spans="10:15" ht="27" customHeight="1">
      <c r="J72" s="4230" t="s">
        <v>4046</v>
      </c>
      <c r="K72" s="4235" t="s">
        <v>4047</v>
      </c>
      <c r="L72" s="4664" t="s">
        <v>4059</v>
      </c>
      <c r="M72" s="4664"/>
      <c r="N72" s="4664"/>
      <c r="O72" s="4230"/>
    </row>
    <row r="73" spans="10:15" ht="30" customHeight="1">
      <c r="J73" s="4230" t="s">
        <v>4048</v>
      </c>
      <c r="K73" s="4235" t="s">
        <v>4049</v>
      </c>
      <c r="L73" s="4664" t="s">
        <v>4050</v>
      </c>
      <c r="M73" s="4664"/>
      <c r="N73" s="4664"/>
      <c r="O73" s="4230" t="s">
        <v>2204</v>
      </c>
    </row>
    <row r="74" spans="10:15" ht="57.75" customHeight="1">
      <c r="J74" s="4230" t="s">
        <v>4051</v>
      </c>
      <c r="K74" s="4235" t="s">
        <v>4052</v>
      </c>
      <c r="L74" s="4664" t="s">
        <v>4053</v>
      </c>
      <c r="M74" s="4664"/>
      <c r="N74" s="4664"/>
      <c r="O74" s="4230" t="s">
        <v>4054</v>
      </c>
    </row>
    <row r="75" spans="10:15" ht="32.25" customHeight="1">
      <c r="J75" s="4230" t="s">
        <v>4055</v>
      </c>
      <c r="K75" s="4235" t="s">
        <v>4056</v>
      </c>
      <c r="L75" s="4664" t="s">
        <v>4057</v>
      </c>
      <c r="M75" s="4664"/>
      <c r="N75" s="4664"/>
      <c r="O75" s="4230"/>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2483</v>
      </c>
      <c r="B1" s="2225" t="s">
        <v>2484</v>
      </c>
      <c r="C1" s="2225" t="s">
        <v>2485</v>
      </c>
      <c r="D1" s="2225" t="s">
        <v>2486</v>
      </c>
      <c r="E1" s="2225" t="s">
        <v>2487</v>
      </c>
      <c r="F1" s="2225" t="s">
        <v>2488</v>
      </c>
      <c r="G1" s="2225" t="s">
        <v>2489</v>
      </c>
      <c r="H1" s="2225" t="s">
        <v>2490</v>
      </c>
      <c r="I1" s="2225" t="s">
        <v>2491</v>
      </c>
      <c r="J1" s="2225" t="s">
        <v>2492</v>
      </c>
      <c r="K1" s="2225" t="s">
        <v>2493</v>
      </c>
      <c r="L1" s="2225" t="s">
        <v>2494</v>
      </c>
      <c r="M1" s="2226" t="s">
        <v>2495</v>
      </c>
    </row>
    <row r="2" spans="1:13" ht="19.5" customHeight="1">
      <c r="A2" s="2228" t="s">
        <v>2496</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2497</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2498</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2499</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2500</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2501</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2502</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2503</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2504</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2505</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2506</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2507</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2508</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2509</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2510</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2511</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2512</v>
      </c>
      <c r="B18" s="2237"/>
      <c r="C18" s="2238"/>
      <c r="D18" s="2238"/>
      <c r="E18" s="2237"/>
      <c r="F18" s="2238"/>
      <c r="G18" s="2238"/>
    </row>
    <row r="19" spans="1:13" ht="19.5" customHeight="1" thickBot="1">
      <c r="A19" s="2236" t="s">
        <v>2513</v>
      </c>
      <c r="B19" s="2240" t="s">
        <v>2514</v>
      </c>
      <c r="C19" s="2240" t="s">
        <v>2515</v>
      </c>
      <c r="D19" s="2241"/>
      <c r="E19" s="2236" t="s">
        <v>2516</v>
      </c>
      <c r="F19" s="2242"/>
      <c r="G19" s="2242"/>
    </row>
    <row r="20" spans="1:13" ht="19.5" customHeight="1">
      <c r="A20" s="4685" t="s">
        <v>2496</v>
      </c>
      <c r="B20" s="4675" t="s">
        <v>2517</v>
      </c>
      <c r="C20" s="2491" t="s">
        <v>2328</v>
      </c>
      <c r="D20" s="2491"/>
      <c r="E20" s="3054">
        <v>1</v>
      </c>
      <c r="F20" s="2245" t="s">
        <v>2329</v>
      </c>
      <c r="G20" s="2245"/>
    </row>
    <row r="21" spans="1:13" ht="19.5" customHeight="1">
      <c r="A21" s="4686"/>
      <c r="B21" s="4676"/>
      <c r="C21" s="2254" t="s">
        <v>2330</v>
      </c>
      <c r="D21" s="2254"/>
      <c r="E21" s="3055">
        <v>1</v>
      </c>
      <c r="F21" s="2245" t="s">
        <v>2331</v>
      </c>
      <c r="G21" s="2245"/>
    </row>
    <row r="22" spans="1:13" ht="19.5" customHeight="1">
      <c r="A22" s="4686"/>
      <c r="B22" s="4676"/>
      <c r="C22" s="2254" t="s">
        <v>2332</v>
      </c>
      <c r="D22" s="2254"/>
      <c r="E22" s="3055">
        <v>0.9</v>
      </c>
      <c r="F22" s="2245" t="s">
        <v>2333</v>
      </c>
      <c r="G22" s="2245"/>
    </row>
    <row r="23" spans="1:13" ht="19.5" customHeight="1">
      <c r="A23" s="4686"/>
      <c r="B23" s="4676"/>
      <c r="C23" s="2254" t="s">
        <v>2334</v>
      </c>
      <c r="D23" s="2254"/>
      <c r="E23" s="3055">
        <v>0.9</v>
      </c>
      <c r="F23" s="2245" t="s">
        <v>2335</v>
      </c>
      <c r="G23" s="2245"/>
    </row>
    <row r="24" spans="1:13" ht="19.5" customHeight="1">
      <c r="A24" s="4686"/>
      <c r="B24" s="4676"/>
      <c r="C24" s="2254" t="s">
        <v>2336</v>
      </c>
      <c r="D24" s="2254"/>
      <c r="E24" s="3055">
        <v>0.8</v>
      </c>
      <c r="F24" s="2245" t="s">
        <v>2337</v>
      </c>
      <c r="G24" s="2245"/>
    </row>
    <row r="25" spans="1:13" ht="19.5" customHeight="1">
      <c r="A25" s="4686"/>
      <c r="B25" s="4676"/>
      <c r="C25" s="2254" t="s">
        <v>2338</v>
      </c>
      <c r="D25" s="2254"/>
      <c r="E25" s="3055">
        <v>0.8</v>
      </c>
      <c r="F25" s="2245"/>
      <c r="G25" s="2245"/>
    </row>
    <row r="26" spans="1:13" ht="19.5" customHeight="1">
      <c r="A26" s="4686"/>
      <c r="B26" s="4676"/>
      <c r="C26" s="2254" t="s">
        <v>3277</v>
      </c>
      <c r="D26" s="2254"/>
      <c r="E26" s="3055">
        <v>0.43</v>
      </c>
      <c r="F26" s="2245"/>
      <c r="G26" s="2245"/>
    </row>
    <row r="27" spans="1:13" ht="19.5" customHeight="1" thickBot="1">
      <c r="A27" s="4687"/>
      <c r="B27" s="4677"/>
      <c r="C27" s="2488" t="s">
        <v>3278</v>
      </c>
      <c r="D27" s="2488"/>
      <c r="E27" s="3056">
        <f>E26*0.9</f>
        <v>0.38700000000000001</v>
      </c>
      <c r="F27" s="2245" t="s">
        <v>2339</v>
      </c>
      <c r="G27" s="2245"/>
    </row>
    <row r="28" spans="1:13" ht="19.5" customHeight="1" thickBot="1">
      <c r="A28" s="2487" t="s">
        <v>2518</v>
      </c>
      <c r="B28" s="2486" t="s">
        <v>2517</v>
      </c>
      <c r="C28" s="2489" t="s">
        <v>2519</v>
      </c>
      <c r="D28" s="2490"/>
      <c r="E28" s="3057">
        <v>1</v>
      </c>
      <c r="F28" s="2245" t="s">
        <v>2340</v>
      </c>
      <c r="G28" s="2245"/>
    </row>
    <row r="29" spans="1:13" ht="19.5" customHeight="1">
      <c r="A29" s="4678" t="s">
        <v>2520</v>
      </c>
      <c r="B29" s="4681" t="s">
        <v>2501</v>
      </c>
      <c r="C29" s="2243" t="s">
        <v>2341</v>
      </c>
      <c r="D29" s="2244"/>
      <c r="E29" s="3054">
        <v>1</v>
      </c>
      <c r="F29" s="2245" t="s">
        <v>2342</v>
      </c>
      <c r="G29" s="2245"/>
    </row>
    <row r="30" spans="1:13" ht="19.5" customHeight="1">
      <c r="A30" s="4679"/>
      <c r="B30" s="4682"/>
      <c r="C30" s="2246" t="s">
        <v>2343</v>
      </c>
      <c r="D30" s="2247"/>
      <c r="E30" s="3055">
        <v>1</v>
      </c>
      <c r="F30" s="2245" t="s">
        <v>2344</v>
      </c>
      <c r="G30" s="2245"/>
    </row>
    <row r="31" spans="1:13" ht="19.5" customHeight="1">
      <c r="A31" s="4679"/>
      <c r="B31" s="4682"/>
      <c r="C31" s="2246" t="s">
        <v>2345</v>
      </c>
      <c r="D31" s="2247"/>
      <c r="E31" s="3055">
        <v>0.8</v>
      </c>
      <c r="F31" s="2245" t="s">
        <v>2346</v>
      </c>
      <c r="G31" s="2245"/>
    </row>
    <row r="32" spans="1:13" ht="19.5" customHeight="1">
      <c r="A32" s="4679"/>
      <c r="B32" s="4682"/>
      <c r="C32" s="2246" t="s">
        <v>2347</v>
      </c>
      <c r="D32" s="2247"/>
      <c r="E32" s="3055">
        <v>0.8</v>
      </c>
      <c r="F32" s="2245" t="s">
        <v>2348</v>
      </c>
      <c r="G32" s="2245"/>
    </row>
    <row r="33" spans="1:7" ht="19.5" customHeight="1">
      <c r="A33" s="4679"/>
      <c r="B33" s="4682"/>
      <c r="C33" s="2246" t="s">
        <v>2349</v>
      </c>
      <c r="D33" s="2247"/>
      <c r="E33" s="3055">
        <v>0.8</v>
      </c>
      <c r="F33" s="2245" t="s">
        <v>2350</v>
      </c>
      <c r="G33" s="2245"/>
    </row>
    <row r="34" spans="1:7" ht="19.5" customHeight="1">
      <c r="A34" s="4679"/>
      <c r="B34" s="4682"/>
      <c r="C34" s="2246" t="s">
        <v>2351</v>
      </c>
      <c r="D34" s="2247"/>
      <c r="E34" s="3055">
        <v>0.7</v>
      </c>
      <c r="F34" s="2245" t="s">
        <v>2352</v>
      </c>
      <c r="G34" s="2245"/>
    </row>
    <row r="35" spans="1:7" ht="19.5" customHeight="1">
      <c r="A35" s="4679"/>
      <c r="B35" s="4682"/>
      <c r="C35" s="2246" t="s">
        <v>2353</v>
      </c>
      <c r="D35" s="2247"/>
      <c r="E35" s="3055">
        <v>0.8</v>
      </c>
      <c r="F35" s="2245" t="s">
        <v>2354</v>
      </c>
      <c r="G35" s="2245"/>
    </row>
    <row r="36" spans="1:7" ht="19.5" customHeight="1">
      <c r="A36" s="4679"/>
      <c r="B36" s="4682"/>
      <c r="C36" s="2246" t="s">
        <v>2355</v>
      </c>
      <c r="D36" s="2247"/>
      <c r="E36" s="3055">
        <v>0.6</v>
      </c>
      <c r="F36" s="2245" t="s">
        <v>2356</v>
      </c>
      <c r="G36" s="2245"/>
    </row>
    <row r="37" spans="1:7" ht="19.5" customHeight="1">
      <c r="A37" s="4679"/>
      <c r="B37" s="4682"/>
      <c r="C37" s="2246" t="s">
        <v>2357</v>
      </c>
      <c r="D37" s="2247"/>
      <c r="E37" s="3055">
        <v>0.2</v>
      </c>
      <c r="F37" s="2245" t="s">
        <v>2358</v>
      </c>
      <c r="G37" s="2245"/>
    </row>
    <row r="38" spans="1:7" ht="19.5" customHeight="1">
      <c r="A38" s="4679"/>
      <c r="B38" s="4682"/>
      <c r="C38" s="2246" t="s">
        <v>2359</v>
      </c>
      <c r="D38" s="2247"/>
      <c r="E38" s="3055">
        <v>0.2</v>
      </c>
      <c r="F38" s="2245" t="s">
        <v>2360</v>
      </c>
      <c r="G38" s="2245"/>
    </row>
    <row r="39" spans="1:7" ht="19.5" customHeight="1">
      <c r="A39" s="4679"/>
      <c r="B39" s="4683" t="s">
        <v>2521</v>
      </c>
      <c r="C39" s="2246" t="s">
        <v>2361</v>
      </c>
      <c r="D39" s="2247"/>
      <c r="E39" s="3055">
        <v>0.6</v>
      </c>
      <c r="F39" s="2245" t="s">
        <v>2362</v>
      </c>
      <c r="G39" s="2245"/>
    </row>
    <row r="40" spans="1:7" ht="19.5" customHeight="1">
      <c r="A40" s="4679"/>
      <c r="B40" s="4682"/>
      <c r="C40" s="2246" t="s">
        <v>2363</v>
      </c>
      <c r="D40" s="2247"/>
      <c r="E40" s="3055">
        <v>0.6</v>
      </c>
      <c r="F40" s="2245" t="s">
        <v>2364</v>
      </c>
      <c r="G40" s="2245"/>
    </row>
    <row r="41" spans="1:7" ht="19.5" customHeight="1" thickBot="1">
      <c r="A41" s="4680"/>
      <c r="B41" s="4684"/>
      <c r="C41" s="2248" t="s">
        <v>2365</v>
      </c>
      <c r="D41" s="2249"/>
      <c r="E41" s="3056">
        <v>0.6</v>
      </c>
      <c r="F41" s="2245" t="s">
        <v>2366</v>
      </c>
      <c r="G41" s="2245"/>
    </row>
    <row r="42" spans="1:7" ht="19.5" customHeight="1" thickBot="1">
      <c r="A42" s="2250" t="s">
        <v>2498</v>
      </c>
      <c r="B42" s="2251" t="s">
        <v>2498</v>
      </c>
      <c r="C42" s="2252" t="s">
        <v>2522</v>
      </c>
      <c r="D42" s="2253"/>
      <c r="E42" s="3058">
        <v>1</v>
      </c>
      <c r="F42" s="2245" t="s">
        <v>2367</v>
      </c>
      <c r="G42" s="2245"/>
    </row>
    <row r="43" spans="1:7" ht="19.5" customHeight="1">
      <c r="A43" s="4685" t="s">
        <v>2499</v>
      </c>
      <c r="B43" s="4681" t="s">
        <v>2523</v>
      </c>
      <c r="C43" s="2243" t="s">
        <v>2368</v>
      </c>
      <c r="D43" s="2244"/>
      <c r="E43" s="3054">
        <v>1</v>
      </c>
      <c r="F43" s="2245" t="s">
        <v>2369</v>
      </c>
      <c r="G43" s="2245"/>
    </row>
    <row r="44" spans="1:7" ht="19.5" customHeight="1">
      <c r="A44" s="4686"/>
      <c r="B44" s="4682"/>
      <c r="C44" s="2246" t="s">
        <v>2370</v>
      </c>
      <c r="D44" s="2247"/>
      <c r="E44" s="3055">
        <v>1</v>
      </c>
      <c r="F44" s="2245" t="s">
        <v>2371</v>
      </c>
      <c r="G44" s="2245"/>
    </row>
    <row r="45" spans="1:7" ht="19.5" customHeight="1">
      <c r="A45" s="4686"/>
      <c r="B45" s="4688"/>
      <c r="C45" s="2246" t="s">
        <v>2372</v>
      </c>
      <c r="D45" s="2247"/>
      <c r="E45" s="3055">
        <v>1.5</v>
      </c>
      <c r="F45" s="2245" t="s">
        <v>2373</v>
      </c>
      <c r="G45" s="2245"/>
    </row>
    <row r="46" spans="1:7" ht="19.5" customHeight="1">
      <c r="A46" s="4686"/>
      <c r="B46" s="2254" t="s">
        <v>2524</v>
      </c>
      <c r="C46" s="2246" t="s">
        <v>2525</v>
      </c>
      <c r="D46" s="2247"/>
      <c r="E46" s="3055">
        <v>2</v>
      </c>
      <c r="F46" s="2245" t="s">
        <v>2374</v>
      </c>
      <c r="G46" s="2245"/>
    </row>
    <row r="47" spans="1:7" ht="19.5" customHeight="1">
      <c r="A47" s="4686"/>
      <c r="B47" s="4683" t="s">
        <v>2526</v>
      </c>
      <c r="C47" s="2246" t="s">
        <v>2375</v>
      </c>
      <c r="D47" s="2247"/>
      <c r="E47" s="3055">
        <v>1</v>
      </c>
      <c r="F47" s="2245" t="s">
        <v>2376</v>
      </c>
      <c r="G47" s="2245"/>
    </row>
    <row r="48" spans="1:7" ht="19.5" customHeight="1">
      <c r="A48" s="4686"/>
      <c r="B48" s="4682"/>
      <c r="C48" s="2246" t="s">
        <v>2377</v>
      </c>
      <c r="D48" s="2247"/>
      <c r="E48" s="3055">
        <v>1</v>
      </c>
      <c r="F48" s="2245" t="s">
        <v>2378</v>
      </c>
      <c r="G48" s="2245"/>
    </row>
    <row r="49" spans="1:7" ht="19.5" customHeight="1">
      <c r="A49" s="4686"/>
      <c r="B49" s="4682"/>
      <c r="C49" s="2246" t="s">
        <v>2379</v>
      </c>
      <c r="D49" s="2247"/>
      <c r="E49" s="3055">
        <v>1</v>
      </c>
      <c r="F49" s="2245" t="s">
        <v>2380</v>
      </c>
      <c r="G49" s="2245"/>
    </row>
    <row r="50" spans="1:7" ht="19.5" customHeight="1">
      <c r="A50" s="4686"/>
      <c r="B50" s="4682"/>
      <c r="C50" s="2246" t="s">
        <v>2381</v>
      </c>
      <c r="D50" s="2247"/>
      <c r="E50" s="3055">
        <v>1</v>
      </c>
      <c r="F50" s="2245" t="s">
        <v>2382</v>
      </c>
      <c r="G50" s="2245"/>
    </row>
    <row r="51" spans="1:7" ht="19.5" customHeight="1">
      <c r="A51" s="4686"/>
      <c r="B51" s="4682"/>
      <c r="C51" s="2246" t="s">
        <v>2383</v>
      </c>
      <c r="D51" s="2247"/>
      <c r="E51" s="3055">
        <v>1</v>
      </c>
      <c r="F51" s="2245" t="s">
        <v>2384</v>
      </c>
      <c r="G51" s="2245"/>
    </row>
    <row r="52" spans="1:7" ht="19.5" customHeight="1">
      <c r="A52" s="4686"/>
      <c r="B52" s="4682"/>
      <c r="C52" s="2246" t="s">
        <v>2385</v>
      </c>
      <c r="D52" s="2247"/>
      <c r="E52" s="3055">
        <v>1</v>
      </c>
      <c r="F52" s="2245" t="s">
        <v>2386</v>
      </c>
      <c r="G52" s="2245"/>
    </row>
    <row r="53" spans="1:7" ht="19.5" customHeight="1" thickBot="1">
      <c r="A53" s="4687"/>
      <c r="B53" s="4684"/>
      <c r="C53" s="2248" t="s">
        <v>2387</v>
      </c>
      <c r="D53" s="2249"/>
      <c r="E53" s="3056">
        <v>1</v>
      </c>
      <c r="F53" s="2245" t="s">
        <v>2388</v>
      </c>
      <c r="G53" s="2245"/>
    </row>
    <row r="54" spans="1:7" ht="19.5" customHeight="1">
      <c r="A54" s="2255"/>
      <c r="B54" s="2255"/>
      <c r="C54" s="2255"/>
      <c r="D54" s="2255"/>
      <c r="E54" s="2255"/>
      <c r="F54" s="2255"/>
      <c r="G54" s="2255"/>
    </row>
    <row r="56" spans="1:7" ht="19.5" customHeight="1">
      <c r="A56" s="2256"/>
      <c r="B56" s="2234" t="s">
        <v>2527</v>
      </c>
      <c r="C56" s="2234" t="s">
        <v>2527</v>
      </c>
      <c r="D56" s="2234" t="s">
        <v>2527</v>
      </c>
      <c r="E56" s="2236" t="s">
        <v>2527</v>
      </c>
      <c r="F56" s="2236" t="s">
        <v>2528</v>
      </c>
      <c r="G56" s="2236" t="s">
        <v>2529</v>
      </c>
    </row>
    <row r="57" spans="1:7" ht="19.5" customHeight="1">
      <c r="A57" s="2257"/>
      <c r="B57" s="2236" t="s">
        <v>2496</v>
      </c>
      <c r="C57" s="2236" t="s">
        <v>2496</v>
      </c>
      <c r="D57" s="2236" t="s">
        <v>2496</v>
      </c>
      <c r="E57" s="2234" t="s">
        <v>2497</v>
      </c>
      <c r="F57" s="2234" t="s">
        <v>2499</v>
      </c>
      <c r="G57" s="2234" t="s">
        <v>2530</v>
      </c>
    </row>
    <row r="58" spans="1:7" ht="19.5" customHeight="1">
      <c r="A58" s="2258"/>
      <c r="B58" s="3049">
        <v>1</v>
      </c>
      <c r="C58" s="3049">
        <v>2</v>
      </c>
      <c r="D58" s="3049">
        <v>3</v>
      </c>
      <c r="E58" s="2259" t="s">
        <v>2531</v>
      </c>
      <c r="F58" s="2259" t="s">
        <v>2531</v>
      </c>
      <c r="G58" s="2259" t="s">
        <v>2531</v>
      </c>
    </row>
    <row r="59" spans="1:7" ht="19.5" customHeight="1">
      <c r="A59" s="2260" t="s">
        <v>2484</v>
      </c>
      <c r="B59" s="3046">
        <v>0.7</v>
      </c>
      <c r="C59" s="3046">
        <v>0.4</v>
      </c>
      <c r="D59" s="3046">
        <v>0.3</v>
      </c>
      <c r="E59" s="3059">
        <v>0.3</v>
      </c>
      <c r="F59" s="3046">
        <v>0.3</v>
      </c>
      <c r="G59" s="3046">
        <v>0.2</v>
      </c>
    </row>
    <row r="60" spans="1:7" ht="19.5" customHeight="1">
      <c r="A60" s="2260" t="s">
        <v>2485</v>
      </c>
      <c r="B60" s="3046">
        <v>0.7</v>
      </c>
      <c r="C60" s="3046">
        <v>0.4</v>
      </c>
      <c r="D60" s="3046">
        <v>0.3</v>
      </c>
      <c r="E60" s="3046">
        <v>0.3</v>
      </c>
      <c r="F60" s="3046">
        <v>0.3</v>
      </c>
      <c r="G60" s="3046">
        <v>0.2</v>
      </c>
    </row>
    <row r="61" spans="1:7" ht="19.5" customHeight="1">
      <c r="A61" s="2260" t="s">
        <v>2486</v>
      </c>
      <c r="B61" s="3046">
        <v>0.6</v>
      </c>
      <c r="C61" s="3046">
        <v>0.3</v>
      </c>
      <c r="D61" s="3046">
        <v>0.25</v>
      </c>
      <c r="E61" s="3046">
        <v>0.25</v>
      </c>
      <c r="F61" s="3046">
        <v>0.25</v>
      </c>
      <c r="G61" s="3046">
        <v>0.15</v>
      </c>
    </row>
    <row r="62" spans="1:7" ht="19.5" customHeight="1">
      <c r="A62" s="2260" t="s">
        <v>2487</v>
      </c>
      <c r="B62" s="3046">
        <v>0.6</v>
      </c>
      <c r="C62" s="3046">
        <v>0.3</v>
      </c>
      <c r="D62" s="3046">
        <v>0.25</v>
      </c>
      <c r="E62" s="3046">
        <v>0.25</v>
      </c>
      <c r="F62" s="3046">
        <v>0.25</v>
      </c>
      <c r="G62" s="3046">
        <v>0.15</v>
      </c>
    </row>
    <row r="63" spans="1:7" ht="19.5" customHeight="1">
      <c r="A63" s="2260" t="s">
        <v>2488</v>
      </c>
      <c r="B63" s="3046">
        <v>0.6</v>
      </c>
      <c r="C63" s="3046">
        <v>0.3</v>
      </c>
      <c r="D63" s="3046">
        <v>0.25</v>
      </c>
      <c r="E63" s="3046">
        <v>0.25</v>
      </c>
      <c r="F63" s="3046">
        <v>0.25</v>
      </c>
      <c r="G63" s="3046">
        <v>0.15</v>
      </c>
    </row>
    <row r="64" spans="1:7" ht="19.5" customHeight="1">
      <c r="A64" s="2260" t="s">
        <v>2489</v>
      </c>
      <c r="B64" s="3046">
        <v>0.6</v>
      </c>
      <c r="C64" s="3046">
        <v>0.3</v>
      </c>
      <c r="D64" s="3046">
        <v>0.25</v>
      </c>
      <c r="E64" s="3046">
        <v>0.25</v>
      </c>
      <c r="F64" s="3046">
        <v>0.25</v>
      </c>
      <c r="G64" s="3046">
        <v>0.15</v>
      </c>
    </row>
    <row r="65" spans="1:7" ht="19.5" customHeight="1">
      <c r="A65" s="2260" t="s">
        <v>2490</v>
      </c>
      <c r="B65" s="3046">
        <v>0.6</v>
      </c>
      <c r="C65" s="3046">
        <v>0.3</v>
      </c>
      <c r="D65" s="3046">
        <v>0.25</v>
      </c>
      <c r="E65" s="3046">
        <v>0.25</v>
      </c>
      <c r="F65" s="3046">
        <v>0.25</v>
      </c>
      <c r="G65" s="3046">
        <v>0.15</v>
      </c>
    </row>
    <row r="66" spans="1:7" ht="19.5" customHeight="1">
      <c r="A66" s="2260" t="s">
        <v>2491</v>
      </c>
      <c r="B66" s="3046">
        <v>0.5</v>
      </c>
      <c r="C66" s="3046">
        <v>0.2</v>
      </c>
      <c r="D66" s="3046">
        <v>0.2</v>
      </c>
      <c r="E66" s="3046">
        <v>0.2</v>
      </c>
      <c r="F66" s="3046">
        <v>0.2</v>
      </c>
      <c r="G66" s="3046">
        <v>0.1</v>
      </c>
    </row>
    <row r="67" spans="1:7" ht="19.5" customHeight="1">
      <c r="A67" s="2260" t="s">
        <v>2492</v>
      </c>
      <c r="B67" s="3046">
        <v>0.5</v>
      </c>
      <c r="C67" s="3046">
        <v>0.2</v>
      </c>
      <c r="D67" s="3046">
        <v>0.2</v>
      </c>
      <c r="E67" s="3046">
        <v>0.2</v>
      </c>
      <c r="F67" s="3046">
        <v>0.2</v>
      </c>
      <c r="G67" s="3046">
        <v>0.1</v>
      </c>
    </row>
    <row r="68" spans="1:7" ht="19.5" customHeight="1">
      <c r="A68" s="2260" t="s">
        <v>2493</v>
      </c>
      <c r="B68" s="3046">
        <v>0.5</v>
      </c>
      <c r="C68" s="3046">
        <v>0.2</v>
      </c>
      <c r="D68" s="3046">
        <v>0.2</v>
      </c>
      <c r="E68" s="3046">
        <v>0.2</v>
      </c>
      <c r="F68" s="3046">
        <v>0.2</v>
      </c>
      <c r="G68" s="3046">
        <v>0.1</v>
      </c>
    </row>
    <row r="69" spans="1:7" ht="19.5" customHeight="1">
      <c r="A69" s="2260" t="s">
        <v>2494</v>
      </c>
      <c r="B69" s="3046">
        <v>0.5</v>
      </c>
      <c r="C69" s="3046">
        <v>0.2</v>
      </c>
      <c r="D69" s="3046">
        <v>0.2</v>
      </c>
      <c r="E69" s="3046">
        <v>0.2</v>
      </c>
      <c r="F69" s="3046">
        <v>0.2</v>
      </c>
      <c r="G69" s="3046">
        <v>0.1</v>
      </c>
    </row>
    <row r="70" spans="1:7" ht="19.5" customHeight="1">
      <c r="A70" s="2260" t="s">
        <v>2495</v>
      </c>
      <c r="B70" s="3046">
        <v>0.5</v>
      </c>
      <c r="C70" s="3046">
        <v>0.2</v>
      </c>
      <c r="D70" s="3046">
        <v>0.2</v>
      </c>
      <c r="E70" s="3046">
        <v>0.2</v>
      </c>
      <c r="F70" s="3046">
        <v>0.2</v>
      </c>
      <c r="G70" s="3046">
        <v>0.1</v>
      </c>
    </row>
    <row r="72" spans="1:7" ht="19.5" customHeight="1">
      <c r="A72" s="2245"/>
      <c r="B72" s="2261"/>
      <c r="C72" s="2261"/>
      <c r="D72" s="2261" t="s">
        <v>2532</v>
      </c>
      <c r="E72" s="2261"/>
      <c r="F72" s="2261"/>
    </row>
    <row r="73" spans="1:7" ht="19.5" customHeight="1">
      <c r="A73" s="2254" t="s">
        <v>2533</v>
      </c>
      <c r="B73" s="2254" t="s">
        <v>2534</v>
      </c>
      <c r="C73" s="2254" t="s">
        <v>2535</v>
      </c>
      <c r="D73" s="2254" t="s">
        <v>2536</v>
      </c>
      <c r="E73" s="2254" t="s">
        <v>2537</v>
      </c>
      <c r="F73" s="2254" t="s">
        <v>2538</v>
      </c>
    </row>
    <row r="74" spans="1:7" ht="13.5">
      <c r="A74" s="2254"/>
      <c r="B74" s="2254"/>
      <c r="C74" s="2254" t="s">
        <v>2539</v>
      </c>
      <c r="D74" s="2254"/>
      <c r="E74" s="2254" t="s">
        <v>2510</v>
      </c>
      <c r="F74" s="2254" t="s">
        <v>2510</v>
      </c>
    </row>
    <row r="75" spans="1:7" ht="13.5">
      <c r="A75" s="2254">
        <v>1</v>
      </c>
      <c r="B75" s="4683" t="s">
        <v>2540</v>
      </c>
      <c r="C75" s="2234" t="s">
        <v>2541</v>
      </c>
      <c r="D75" s="2234" t="s">
        <v>2542</v>
      </c>
      <c r="E75" s="3060">
        <v>0.2</v>
      </c>
      <c r="F75" s="3061">
        <v>25</v>
      </c>
    </row>
    <row r="76" spans="1:7" ht="24">
      <c r="A76" s="2254">
        <v>2</v>
      </c>
      <c r="B76" s="4682"/>
      <c r="C76" s="2234" t="s">
        <v>2543</v>
      </c>
      <c r="D76" s="2234" t="s">
        <v>2544</v>
      </c>
      <c r="E76" s="3060">
        <v>0.2</v>
      </c>
      <c r="F76" s="3061">
        <v>25</v>
      </c>
    </row>
    <row r="77" spans="1:7" ht="24">
      <c r="A77" s="2254">
        <v>3</v>
      </c>
      <c r="B77" s="4682"/>
      <c r="C77" s="2234" t="s">
        <v>2545</v>
      </c>
      <c r="D77" s="2234" t="s">
        <v>2546</v>
      </c>
      <c r="E77" s="3060">
        <v>0.2</v>
      </c>
      <c r="F77" s="3061">
        <v>25</v>
      </c>
    </row>
    <row r="78" spans="1:7" ht="13.5">
      <c r="A78" s="2254">
        <v>4</v>
      </c>
      <c r="B78" s="4682"/>
      <c r="C78" s="2234" t="s">
        <v>2547</v>
      </c>
      <c r="D78" s="2234" t="s">
        <v>2548</v>
      </c>
      <c r="E78" s="3060">
        <v>0.15</v>
      </c>
      <c r="F78" s="3061">
        <v>20</v>
      </c>
    </row>
    <row r="79" spans="1:7" ht="24">
      <c r="A79" s="2254">
        <v>5</v>
      </c>
      <c r="B79" s="4682"/>
      <c r="C79" s="2234" t="s">
        <v>2549</v>
      </c>
      <c r="D79" s="2234" t="s">
        <v>2550</v>
      </c>
      <c r="E79" s="3060">
        <v>0.15</v>
      </c>
      <c r="F79" s="3061">
        <v>20</v>
      </c>
    </row>
    <row r="80" spans="1:7" ht="24">
      <c r="A80" s="2254">
        <v>6</v>
      </c>
      <c r="B80" s="4682"/>
      <c r="C80" s="2234" t="s">
        <v>2551</v>
      </c>
      <c r="D80" s="2234" t="s">
        <v>2552</v>
      </c>
      <c r="E80" s="3060">
        <v>0.15</v>
      </c>
      <c r="F80" s="3061">
        <v>20</v>
      </c>
    </row>
    <row r="81" spans="1:6" ht="24">
      <c r="A81" s="2254">
        <v>7</v>
      </c>
      <c r="B81" s="4682"/>
      <c r="C81" s="2234" t="s">
        <v>2553</v>
      </c>
      <c r="D81" s="2234" t="s">
        <v>2554</v>
      </c>
      <c r="E81" s="3060">
        <v>0.15</v>
      </c>
      <c r="F81" s="3061">
        <v>20</v>
      </c>
    </row>
    <row r="82" spans="1:6" ht="24">
      <c r="A82" s="2254">
        <v>8</v>
      </c>
      <c r="B82" s="4682"/>
      <c r="C82" s="2234" t="s">
        <v>2555</v>
      </c>
      <c r="D82" s="2234" t="s">
        <v>2556</v>
      </c>
      <c r="E82" s="3060">
        <v>0.1</v>
      </c>
      <c r="F82" s="3061">
        <v>15</v>
      </c>
    </row>
    <row r="83" spans="1:6" ht="24">
      <c r="A83" s="2254">
        <v>9</v>
      </c>
      <c r="B83" s="4682"/>
      <c r="C83" s="2234" t="s">
        <v>2557</v>
      </c>
      <c r="D83" s="2234" t="s">
        <v>2558</v>
      </c>
      <c r="E83" s="3060">
        <v>0.1</v>
      </c>
      <c r="F83" s="3061">
        <v>15</v>
      </c>
    </row>
    <row r="84" spans="1:6" ht="24">
      <c r="A84" s="2254">
        <v>10</v>
      </c>
      <c r="B84" s="4682"/>
      <c r="C84" s="2234" t="s">
        <v>2559</v>
      </c>
      <c r="D84" s="2234" t="s">
        <v>2560</v>
      </c>
      <c r="E84" s="3060">
        <v>0.1</v>
      </c>
      <c r="F84" s="3061">
        <v>15</v>
      </c>
    </row>
    <row r="85" spans="1:6" ht="24">
      <c r="A85" s="2254">
        <v>11</v>
      </c>
      <c r="B85" s="4682"/>
      <c r="C85" s="2234" t="s">
        <v>2561</v>
      </c>
      <c r="D85" s="2234" t="s">
        <v>2562</v>
      </c>
      <c r="E85" s="3060">
        <v>0.1</v>
      </c>
      <c r="F85" s="3061">
        <v>15</v>
      </c>
    </row>
    <row r="86" spans="1:6" ht="24">
      <c r="A86" s="2254">
        <v>12</v>
      </c>
      <c r="B86" s="4682"/>
      <c r="C86" s="2234" t="s">
        <v>2563</v>
      </c>
      <c r="D86" s="2234" t="s">
        <v>2564</v>
      </c>
      <c r="E86" s="3060">
        <v>0.1</v>
      </c>
      <c r="F86" s="3061">
        <v>15</v>
      </c>
    </row>
    <row r="87" spans="1:6" ht="13.5">
      <c r="A87" s="2254">
        <v>13</v>
      </c>
      <c r="B87" s="4682"/>
      <c r="C87" s="2234" t="s">
        <v>2565</v>
      </c>
      <c r="D87" s="2234" t="s">
        <v>2566</v>
      </c>
      <c r="E87" s="3060">
        <v>0.1</v>
      </c>
      <c r="F87" s="3061">
        <v>15</v>
      </c>
    </row>
    <row r="88" spans="1:6" ht="13.5">
      <c r="A88" s="2254">
        <v>14</v>
      </c>
      <c r="B88" s="4682"/>
      <c r="C88" s="2234" t="s">
        <v>2567</v>
      </c>
      <c r="D88" s="2234" t="s">
        <v>2568</v>
      </c>
      <c r="E88" s="3060">
        <v>0.1</v>
      </c>
      <c r="F88" s="3061">
        <v>15</v>
      </c>
    </row>
    <row r="89" spans="1:6" ht="13.5">
      <c r="A89" s="2254">
        <v>15</v>
      </c>
      <c r="B89" s="4682"/>
      <c r="C89" s="2234" t="s">
        <v>2569</v>
      </c>
      <c r="D89" s="2234" t="s">
        <v>2570</v>
      </c>
      <c r="E89" s="3060">
        <v>0.1</v>
      </c>
      <c r="F89" s="3061">
        <v>15</v>
      </c>
    </row>
    <row r="90" spans="1:6" ht="24">
      <c r="A90" s="2254">
        <v>16</v>
      </c>
      <c r="B90" s="4682"/>
      <c r="C90" s="2234" t="s">
        <v>2571</v>
      </c>
      <c r="D90" s="2234" t="s">
        <v>2572</v>
      </c>
      <c r="E90" s="3060">
        <v>0.1</v>
      </c>
      <c r="F90" s="3061">
        <v>15</v>
      </c>
    </row>
    <row r="91" spans="1:6" ht="24">
      <c r="A91" s="2254">
        <v>17</v>
      </c>
      <c r="B91" s="4688"/>
      <c r="C91" s="2234" t="s">
        <v>2573</v>
      </c>
      <c r="D91" s="2234" t="s">
        <v>2574</v>
      </c>
      <c r="E91" s="3060">
        <v>0.1</v>
      </c>
      <c r="F91" s="3061">
        <v>15</v>
      </c>
    </row>
    <row r="92" spans="1:6" ht="13.5">
      <c r="A92" s="2254">
        <v>18</v>
      </c>
      <c r="B92" s="4683" t="s">
        <v>2575</v>
      </c>
      <c r="C92" s="2234" t="s">
        <v>2576</v>
      </c>
      <c r="D92" s="2234" t="s">
        <v>2577</v>
      </c>
      <c r="E92" s="3060">
        <v>0.2</v>
      </c>
      <c r="F92" s="3061">
        <v>25</v>
      </c>
    </row>
    <row r="93" spans="1:6" ht="24">
      <c r="A93" s="2254">
        <v>19</v>
      </c>
      <c r="B93" s="4682"/>
      <c r="C93" s="2234" t="s">
        <v>2578</v>
      </c>
      <c r="D93" s="2234" t="s">
        <v>2579</v>
      </c>
      <c r="E93" s="3060">
        <v>0.2</v>
      </c>
      <c r="F93" s="3061">
        <v>25</v>
      </c>
    </row>
    <row r="94" spans="1:6" ht="13.5">
      <c r="A94" s="2254">
        <v>20</v>
      </c>
      <c r="B94" s="4682"/>
      <c r="C94" s="2234" t="s">
        <v>2580</v>
      </c>
      <c r="D94" s="2234" t="s">
        <v>2581</v>
      </c>
      <c r="E94" s="3060">
        <v>0.15</v>
      </c>
      <c r="F94" s="3061">
        <v>20</v>
      </c>
    </row>
    <row r="95" spans="1:6" ht="13.5">
      <c r="A95" s="2254">
        <v>21</v>
      </c>
      <c r="B95" s="4682"/>
      <c r="C95" s="2234" t="s">
        <v>2582</v>
      </c>
      <c r="D95" s="2234" t="s">
        <v>2583</v>
      </c>
      <c r="E95" s="3060">
        <v>0.15</v>
      </c>
      <c r="F95" s="3061">
        <v>20</v>
      </c>
    </row>
    <row r="96" spans="1:6" ht="13.5">
      <c r="A96" s="2254">
        <v>22</v>
      </c>
      <c r="B96" s="4682"/>
      <c r="C96" s="2234" t="s">
        <v>2584</v>
      </c>
      <c r="D96" s="2234" t="s">
        <v>2585</v>
      </c>
      <c r="E96" s="3060">
        <v>0.15</v>
      </c>
      <c r="F96" s="3061">
        <v>20</v>
      </c>
    </row>
    <row r="97" spans="1:6" ht="36">
      <c r="A97" s="2254">
        <v>23</v>
      </c>
      <c r="B97" s="4682"/>
      <c r="C97" s="2234" t="s">
        <v>2586</v>
      </c>
      <c r="D97" s="2234" t="s">
        <v>2587</v>
      </c>
      <c r="E97" s="3060">
        <v>0.15</v>
      </c>
      <c r="F97" s="3061">
        <v>20</v>
      </c>
    </row>
    <row r="98" spans="1:6" ht="13.5">
      <c r="A98" s="2254">
        <v>24</v>
      </c>
      <c r="B98" s="4682"/>
      <c r="C98" s="2234" t="s">
        <v>2588</v>
      </c>
      <c r="D98" s="2234" t="s">
        <v>2589</v>
      </c>
      <c r="E98" s="3060">
        <v>0.1</v>
      </c>
      <c r="F98" s="3061">
        <v>15</v>
      </c>
    </row>
    <row r="99" spans="1:6" ht="13.5">
      <c r="A99" s="2254">
        <v>25</v>
      </c>
      <c r="B99" s="4682"/>
      <c r="C99" s="2234" t="s">
        <v>2590</v>
      </c>
      <c r="D99" s="2234" t="s">
        <v>2591</v>
      </c>
      <c r="E99" s="3060">
        <v>0.1</v>
      </c>
      <c r="F99" s="3061">
        <v>15</v>
      </c>
    </row>
    <row r="100" spans="1:6" ht="24">
      <c r="A100" s="2254">
        <v>26</v>
      </c>
      <c r="B100" s="4682"/>
      <c r="C100" s="2234" t="s">
        <v>2592</v>
      </c>
      <c r="D100" s="2234" t="s">
        <v>2593</v>
      </c>
      <c r="E100" s="3060">
        <v>0.1</v>
      </c>
      <c r="F100" s="3061">
        <v>15</v>
      </c>
    </row>
    <row r="101" spans="1:6" ht="24">
      <c r="A101" s="2254">
        <v>27</v>
      </c>
      <c r="B101" s="4682"/>
      <c r="C101" s="2234" t="s">
        <v>2594</v>
      </c>
      <c r="D101" s="2234" t="s">
        <v>2595</v>
      </c>
      <c r="E101" s="3060">
        <v>0.1</v>
      </c>
      <c r="F101" s="3061">
        <v>15</v>
      </c>
    </row>
    <row r="102" spans="1:6" ht="13.5">
      <c r="A102" s="2254">
        <v>28</v>
      </c>
      <c r="B102" s="4682"/>
      <c r="C102" s="2234" t="s">
        <v>2596</v>
      </c>
      <c r="D102" s="2234" t="s">
        <v>2597</v>
      </c>
      <c r="E102" s="3060">
        <v>0.1</v>
      </c>
      <c r="F102" s="3061">
        <v>15</v>
      </c>
    </row>
    <row r="103" spans="1:6" ht="13.5">
      <c r="A103" s="2254">
        <v>29</v>
      </c>
      <c r="B103" s="4682"/>
      <c r="C103" s="2234" t="s">
        <v>2598</v>
      </c>
      <c r="D103" s="2234" t="s">
        <v>2599</v>
      </c>
      <c r="E103" s="3060">
        <v>0.1</v>
      </c>
      <c r="F103" s="3061">
        <v>15</v>
      </c>
    </row>
    <row r="104" spans="1:6" ht="13.5">
      <c r="A104" s="2254">
        <v>30</v>
      </c>
      <c r="B104" s="4682"/>
      <c r="C104" s="2234" t="s">
        <v>2600</v>
      </c>
      <c r="D104" s="2234" t="s">
        <v>2601</v>
      </c>
      <c r="E104" s="3060">
        <v>0.1</v>
      </c>
      <c r="F104" s="3061">
        <v>15</v>
      </c>
    </row>
    <row r="105" spans="1:6" ht="24">
      <c r="A105" s="2254">
        <v>31</v>
      </c>
      <c r="B105" s="4682"/>
      <c r="C105" s="2234" t="s">
        <v>2602</v>
      </c>
      <c r="D105" s="2234" t="s">
        <v>2603</v>
      </c>
      <c r="E105" s="3060">
        <v>0.1</v>
      </c>
      <c r="F105" s="3061">
        <v>15</v>
      </c>
    </row>
    <row r="106" spans="1:6" ht="24">
      <c r="A106" s="2254">
        <v>32</v>
      </c>
      <c r="B106" s="4682"/>
      <c r="C106" s="2234" t="s">
        <v>2604</v>
      </c>
      <c r="D106" s="2234" t="s">
        <v>2605</v>
      </c>
      <c r="E106" s="3060">
        <v>0.1</v>
      </c>
      <c r="F106" s="3061">
        <v>15</v>
      </c>
    </row>
    <row r="107" spans="1:6" ht="24">
      <c r="A107" s="2254">
        <v>33</v>
      </c>
      <c r="B107" s="4682"/>
      <c r="C107" s="2234" t="s">
        <v>2606</v>
      </c>
      <c r="D107" s="2234" t="s">
        <v>2607</v>
      </c>
      <c r="E107" s="3060">
        <v>0.1</v>
      </c>
      <c r="F107" s="3061">
        <v>15</v>
      </c>
    </row>
    <row r="108" spans="1:6" ht="24">
      <c r="A108" s="2254">
        <v>34</v>
      </c>
      <c r="B108" s="4688"/>
      <c r="C108" s="2234" t="s">
        <v>2608</v>
      </c>
      <c r="D108" s="2234" t="s">
        <v>2609</v>
      </c>
      <c r="E108" s="3060">
        <v>0.1</v>
      </c>
      <c r="F108" s="3061">
        <v>15</v>
      </c>
    </row>
    <row r="109" spans="1:6" ht="24">
      <c r="A109" s="2254">
        <v>35</v>
      </c>
      <c r="B109" s="4683" t="s">
        <v>2610</v>
      </c>
      <c r="C109" s="2254" t="s">
        <v>2611</v>
      </c>
      <c r="D109" s="2234" t="s">
        <v>2612</v>
      </c>
      <c r="E109" s="3060">
        <v>0.15</v>
      </c>
      <c r="F109" s="3061">
        <v>20</v>
      </c>
    </row>
    <row r="110" spans="1:6" ht="13.5">
      <c r="A110" s="2254">
        <v>36</v>
      </c>
      <c r="B110" s="4682"/>
      <c r="C110" s="2254" t="s">
        <v>2613</v>
      </c>
      <c r="D110" s="2234" t="s">
        <v>2614</v>
      </c>
      <c r="E110" s="3060">
        <v>0.15</v>
      </c>
      <c r="F110" s="3061">
        <v>20</v>
      </c>
    </row>
    <row r="111" spans="1:6" ht="13.5">
      <c r="A111" s="2254">
        <v>37</v>
      </c>
      <c r="B111" s="4682"/>
      <c r="C111" s="2254" t="s">
        <v>2615</v>
      </c>
      <c r="D111" s="2234" t="s">
        <v>2616</v>
      </c>
      <c r="E111" s="3060">
        <v>0.15</v>
      </c>
      <c r="F111" s="3061">
        <v>20</v>
      </c>
    </row>
    <row r="112" spans="1:6" ht="13.5">
      <c r="A112" s="2254">
        <v>38</v>
      </c>
      <c r="B112" s="4682"/>
      <c r="C112" s="2254" t="s">
        <v>2617</v>
      </c>
      <c r="D112" s="2234" t="s">
        <v>2618</v>
      </c>
      <c r="E112" s="3060">
        <v>0.1</v>
      </c>
      <c r="F112" s="3061">
        <v>15</v>
      </c>
    </row>
    <row r="113" spans="1:6" ht="24">
      <c r="A113" s="2254">
        <v>39</v>
      </c>
      <c r="B113" s="4682"/>
      <c r="C113" s="2254" t="s">
        <v>2619</v>
      </c>
      <c r="D113" s="2234" t="s">
        <v>2620</v>
      </c>
      <c r="E113" s="3060">
        <v>0.1</v>
      </c>
      <c r="F113" s="3061">
        <v>15</v>
      </c>
    </row>
    <row r="114" spans="1:6" ht="24">
      <c r="A114" s="2254">
        <v>40</v>
      </c>
      <c r="B114" s="4688"/>
      <c r="C114" s="2254" t="s">
        <v>2621</v>
      </c>
      <c r="D114" s="2234" t="s">
        <v>2622</v>
      </c>
      <c r="E114" s="3060">
        <v>0.1</v>
      </c>
      <c r="F114" s="3061">
        <v>15</v>
      </c>
    </row>
    <row r="115" spans="1:6" ht="13.5">
      <c r="A115" s="2254">
        <v>41</v>
      </c>
      <c r="B115" s="4676" t="s">
        <v>2623</v>
      </c>
      <c r="C115" s="2254" t="s">
        <v>2624</v>
      </c>
      <c r="D115" s="2234" t="s">
        <v>2625</v>
      </c>
      <c r="E115" s="3060">
        <v>0.1</v>
      </c>
      <c r="F115" s="3061">
        <v>15</v>
      </c>
    </row>
    <row r="116" spans="1:6" ht="13.5">
      <c r="A116" s="2254">
        <v>42</v>
      </c>
      <c r="B116" s="4676"/>
      <c r="C116" s="2254" t="s">
        <v>2626</v>
      </c>
      <c r="D116" s="2234" t="s">
        <v>2627</v>
      </c>
      <c r="E116" s="3060">
        <v>0.1</v>
      </c>
      <c r="F116" s="3061">
        <v>15</v>
      </c>
    </row>
    <row r="117" spans="1:6" ht="24">
      <c r="A117" s="2254">
        <v>43</v>
      </c>
      <c r="B117" s="4676"/>
      <c r="C117" s="2254" t="s">
        <v>2628</v>
      </c>
      <c r="D117" s="2234" t="s">
        <v>2629</v>
      </c>
      <c r="E117" s="3060">
        <v>0.1</v>
      </c>
      <c r="F117" s="3061">
        <v>15</v>
      </c>
    </row>
    <row r="118" spans="1:6" ht="13.5">
      <c r="A118" s="2254">
        <v>44</v>
      </c>
      <c r="B118" s="4683" t="s">
        <v>2630</v>
      </c>
      <c r="C118" s="2254" t="s">
        <v>2631</v>
      </c>
      <c r="D118" s="2234" t="s">
        <v>2632</v>
      </c>
      <c r="E118" s="3060">
        <v>0.1</v>
      </c>
      <c r="F118" s="3061">
        <v>15</v>
      </c>
    </row>
    <row r="119" spans="1:6" ht="24">
      <c r="A119" s="2254">
        <v>45</v>
      </c>
      <c r="B119" s="4688"/>
      <c r="C119" s="2234" t="s">
        <v>2633</v>
      </c>
      <c r="D119" s="2234" t="s">
        <v>2634</v>
      </c>
      <c r="E119" s="3060">
        <v>0.1</v>
      </c>
      <c r="F119" s="3061">
        <v>15</v>
      </c>
    </row>
    <row r="120" spans="1:6" ht="24">
      <c r="A120" s="2254">
        <v>46</v>
      </c>
      <c r="B120" s="4683" t="s">
        <v>2635</v>
      </c>
      <c r="C120" s="2254" t="s">
        <v>2636</v>
      </c>
      <c r="D120" s="2234" t="s">
        <v>2637</v>
      </c>
      <c r="E120" s="3060">
        <v>0.1</v>
      </c>
      <c r="F120" s="3061">
        <v>15</v>
      </c>
    </row>
    <row r="121" spans="1:6" ht="24">
      <c r="A121" s="2254">
        <v>47</v>
      </c>
      <c r="B121" s="4688"/>
      <c r="C121" s="2254" t="s">
        <v>2638</v>
      </c>
      <c r="D121" s="2234" t="s">
        <v>2639</v>
      </c>
      <c r="E121" s="3060">
        <v>0.1</v>
      </c>
      <c r="F121" s="3061">
        <v>15</v>
      </c>
    </row>
    <row r="122" spans="1:6" ht="13.5">
      <c r="A122" s="2254">
        <v>48</v>
      </c>
      <c r="B122" s="4683" t="s">
        <v>2640</v>
      </c>
      <c r="C122" s="2254" t="s">
        <v>2641</v>
      </c>
      <c r="D122" s="2234" t="s">
        <v>2642</v>
      </c>
      <c r="E122" s="3060">
        <v>0.1</v>
      </c>
      <c r="F122" s="3061">
        <v>15</v>
      </c>
    </row>
    <row r="123" spans="1:6" ht="13.5">
      <c r="A123" s="2254">
        <v>49</v>
      </c>
      <c r="B123" s="4688"/>
      <c r="C123" s="2254" t="s">
        <v>2643</v>
      </c>
      <c r="D123" s="2234" t="s">
        <v>2644</v>
      </c>
      <c r="E123" s="3060">
        <v>0.1</v>
      </c>
      <c r="F123" s="3061">
        <v>15</v>
      </c>
    </row>
    <row r="124" spans="1:6" ht="24">
      <c r="A124" s="2254">
        <v>50</v>
      </c>
      <c r="B124" s="4676" t="s">
        <v>2645</v>
      </c>
      <c r="C124" s="2254" t="s">
        <v>2646</v>
      </c>
      <c r="D124" s="2234" t="s">
        <v>2647</v>
      </c>
      <c r="E124" s="3060">
        <v>0.1</v>
      </c>
      <c r="F124" s="3061">
        <v>15</v>
      </c>
    </row>
    <row r="125" spans="1:6" ht="24">
      <c r="A125" s="2254">
        <v>51</v>
      </c>
      <c r="B125" s="4676"/>
      <c r="C125" s="2254" t="s">
        <v>2648</v>
      </c>
      <c r="D125" s="2234" t="s">
        <v>2649</v>
      </c>
      <c r="E125" s="3060">
        <v>0.1</v>
      </c>
      <c r="F125" s="3061">
        <v>15</v>
      </c>
    </row>
    <row r="126" spans="1:6" ht="24">
      <c r="A126" s="2254">
        <v>52</v>
      </c>
      <c r="B126" s="4676" t="s">
        <v>2650</v>
      </c>
      <c r="C126" s="2254" t="s">
        <v>2651</v>
      </c>
      <c r="D126" s="2234" t="s">
        <v>2652</v>
      </c>
      <c r="E126" s="3060">
        <v>0.1</v>
      </c>
      <c r="F126" s="3061">
        <v>15</v>
      </c>
    </row>
    <row r="127" spans="1:6" ht="24">
      <c r="A127" s="2254">
        <v>53</v>
      </c>
      <c r="B127" s="4676"/>
      <c r="C127" s="2254" t="s">
        <v>2653</v>
      </c>
      <c r="D127" s="2234" t="s">
        <v>2654</v>
      </c>
      <c r="E127" s="3060">
        <v>0.1</v>
      </c>
      <c r="F127" s="3061">
        <v>15</v>
      </c>
    </row>
    <row r="128" spans="1:6" ht="13.5">
      <c r="A128" s="2254">
        <v>54</v>
      </c>
      <c r="B128" s="2254" t="s">
        <v>2655</v>
      </c>
      <c r="C128" s="2254" t="s">
        <v>2656</v>
      </c>
      <c r="D128" s="2234" t="s">
        <v>2657</v>
      </c>
      <c r="E128" s="3060">
        <v>0.1</v>
      </c>
      <c r="F128" s="3061">
        <v>15</v>
      </c>
    </row>
    <row r="129" spans="1:6" ht="13.5">
      <c r="A129" s="2254">
        <v>55</v>
      </c>
      <c r="B129" s="4676" t="s">
        <v>2658</v>
      </c>
      <c r="C129" s="2254" t="s">
        <v>2659</v>
      </c>
      <c r="D129" s="2234" t="s">
        <v>2660</v>
      </c>
      <c r="E129" s="3060">
        <v>0.1</v>
      </c>
      <c r="F129" s="3061">
        <v>15</v>
      </c>
    </row>
    <row r="130" spans="1:6" ht="13.5">
      <c r="A130" s="2254">
        <v>56</v>
      </c>
      <c r="B130" s="4676"/>
      <c r="C130" s="2254" t="s">
        <v>2661</v>
      </c>
      <c r="D130" s="2234" t="s">
        <v>2662</v>
      </c>
      <c r="E130" s="3060">
        <v>0.1</v>
      </c>
      <c r="F130" s="3061">
        <v>15</v>
      </c>
    </row>
    <row r="131" spans="1:6" ht="24">
      <c r="A131" s="2254">
        <v>57</v>
      </c>
      <c r="B131" s="4676"/>
      <c r="C131" s="2254" t="s">
        <v>2663</v>
      </c>
      <c r="D131" s="2234" t="s">
        <v>2664</v>
      </c>
      <c r="E131" s="3060">
        <v>0.1</v>
      </c>
      <c r="F131" s="3061">
        <v>15</v>
      </c>
    </row>
    <row r="132" spans="1:6" ht="24">
      <c r="A132" s="2254">
        <v>58</v>
      </c>
      <c r="B132" s="4676" t="s">
        <v>2665</v>
      </c>
      <c r="C132" s="2254" t="s">
        <v>2666</v>
      </c>
      <c r="D132" s="2234" t="s">
        <v>2667</v>
      </c>
      <c r="E132" s="3060">
        <v>0.1</v>
      </c>
      <c r="F132" s="3061">
        <v>15</v>
      </c>
    </row>
    <row r="133" spans="1:6" ht="13.5">
      <c r="A133" s="2254">
        <v>59</v>
      </c>
      <c r="B133" s="4676"/>
      <c r="C133" s="2254" t="s">
        <v>2668</v>
      </c>
      <c r="D133" s="2234" t="s">
        <v>2669</v>
      </c>
      <c r="E133" s="3060">
        <v>0.1</v>
      </c>
      <c r="F133" s="3061">
        <v>15</v>
      </c>
    </row>
    <row r="134" spans="1:6" ht="13.5">
      <c r="A134" s="2254">
        <v>60</v>
      </c>
      <c r="B134" s="4683" t="s">
        <v>2670</v>
      </c>
      <c r="C134" s="2254" t="s">
        <v>2671</v>
      </c>
      <c r="D134" s="2234" t="s">
        <v>2672</v>
      </c>
      <c r="E134" s="3060">
        <v>0.1</v>
      </c>
      <c r="F134" s="3061">
        <v>15</v>
      </c>
    </row>
    <row r="135" spans="1:6" ht="13.5">
      <c r="A135" s="2254">
        <v>61</v>
      </c>
      <c r="B135" s="4688"/>
      <c r="C135" s="2254" t="s">
        <v>2673</v>
      </c>
      <c r="D135" s="2234" t="s">
        <v>2674</v>
      </c>
      <c r="E135" s="3060">
        <v>0.1</v>
      </c>
      <c r="F135" s="3061">
        <v>15</v>
      </c>
    </row>
    <row r="136" spans="1:6" ht="24">
      <c r="A136" s="2254">
        <v>62</v>
      </c>
      <c r="B136" s="2254" t="s">
        <v>2675</v>
      </c>
      <c r="C136" s="2254" t="s">
        <v>2676</v>
      </c>
      <c r="D136" s="2234" t="s">
        <v>2677</v>
      </c>
      <c r="E136" s="3060">
        <v>0.1</v>
      </c>
      <c r="F136" s="3061">
        <v>15</v>
      </c>
    </row>
    <row r="137" spans="1:6" ht="13.5">
      <c r="A137" s="2254">
        <v>63</v>
      </c>
      <c r="B137" s="4676" t="s">
        <v>2678</v>
      </c>
      <c r="C137" s="2254" t="s">
        <v>2679</v>
      </c>
      <c r="D137" s="2234" t="s">
        <v>2680</v>
      </c>
      <c r="E137" s="3060">
        <v>0.1</v>
      </c>
      <c r="F137" s="3061">
        <v>15</v>
      </c>
    </row>
    <row r="138" spans="1:6" ht="13.5">
      <c r="A138" s="2254">
        <v>64</v>
      </c>
      <c r="B138" s="4676"/>
      <c r="C138" s="2254" t="s">
        <v>2681</v>
      </c>
      <c r="D138" s="2234" t="s">
        <v>2682</v>
      </c>
      <c r="E138" s="3060">
        <v>0.1</v>
      </c>
      <c r="F138" s="3061">
        <v>15</v>
      </c>
    </row>
    <row r="139" spans="1:6" ht="13.5">
      <c r="A139" s="2254">
        <v>65</v>
      </c>
      <c r="B139" s="2254" t="s">
        <v>2683</v>
      </c>
      <c r="C139" s="2254" t="s">
        <v>2684</v>
      </c>
      <c r="D139" s="2234" t="s">
        <v>2685</v>
      </c>
      <c r="E139" s="3060">
        <v>0.1</v>
      </c>
      <c r="F139" s="3061">
        <v>15</v>
      </c>
    </row>
    <row r="140" spans="1:6" ht="13.5">
      <c r="A140" s="2254"/>
      <c r="B140" s="2254"/>
      <c r="C140" s="2254"/>
      <c r="D140" s="2254"/>
      <c r="E140" s="2254" t="s">
        <v>2686</v>
      </c>
      <c r="F140" s="2254"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2687</v>
      </c>
      <c r="B1" s="2262"/>
      <c r="C1" s="2262"/>
      <c r="D1" s="2262"/>
      <c r="E1" s="2262"/>
      <c r="F1" s="2262"/>
      <c r="G1" s="2262"/>
      <c r="H1" s="2262"/>
      <c r="I1" s="2262"/>
      <c r="J1" s="2262"/>
      <c r="K1" s="2262"/>
      <c r="L1" s="2262"/>
      <c r="M1" s="2262"/>
      <c r="N1" s="507"/>
    </row>
    <row r="2" spans="1:20">
      <c r="A2" s="2263" t="s">
        <v>2688</v>
      </c>
      <c r="B2" s="2264" t="s">
        <v>2484</v>
      </c>
      <c r="C2" s="2264" t="s">
        <v>2485</v>
      </c>
      <c r="D2" s="2264" t="s">
        <v>2486</v>
      </c>
      <c r="E2" s="2264" t="s">
        <v>2487</v>
      </c>
      <c r="F2" s="2264" t="s">
        <v>2488</v>
      </c>
      <c r="G2" s="2264" t="s">
        <v>2489</v>
      </c>
      <c r="H2" s="2265" t="s">
        <v>2490</v>
      </c>
      <c r="I2" s="2265" t="s">
        <v>2491</v>
      </c>
      <c r="J2" s="2266" t="s">
        <v>2492</v>
      </c>
      <c r="K2" s="2266" t="s">
        <v>2493</v>
      </c>
      <c r="L2" s="2266" t="s">
        <v>2494</v>
      </c>
      <c r="M2" s="2267" t="s">
        <v>2495</v>
      </c>
      <c r="Q2" s="2277" t="s">
        <v>2693</v>
      </c>
      <c r="R2" s="2277" t="s">
        <v>2694</v>
      </c>
      <c r="S2" s="2277" t="s">
        <v>2695</v>
      </c>
      <c r="T2" s="2277" t="s">
        <v>2696</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2689</v>
      </c>
      <c r="B93" s="2262"/>
      <c r="C93" s="2262"/>
      <c r="D93" s="2262"/>
      <c r="E93" s="2262"/>
      <c r="F93" s="2262"/>
      <c r="G93" s="2262"/>
      <c r="H93" s="2262"/>
      <c r="I93" s="2262"/>
      <c r="J93" s="2262"/>
      <c r="K93" s="2262"/>
      <c r="L93" s="2262"/>
      <c r="M93" s="2262"/>
    </row>
    <row r="94" spans="1:20">
      <c r="A94" s="2263" t="s">
        <v>2688</v>
      </c>
      <c r="B94" s="2264" t="s">
        <v>2484</v>
      </c>
      <c r="C94" s="2264" t="s">
        <v>2485</v>
      </c>
      <c r="D94" s="2264" t="s">
        <v>2486</v>
      </c>
      <c r="E94" s="2264" t="s">
        <v>2487</v>
      </c>
      <c r="F94" s="2264" t="s">
        <v>2488</v>
      </c>
      <c r="G94" s="2264" t="s">
        <v>2489</v>
      </c>
      <c r="H94" s="2265" t="s">
        <v>2490</v>
      </c>
      <c r="I94" s="2265" t="s">
        <v>2491</v>
      </c>
      <c r="J94" s="2266" t="s">
        <v>2492</v>
      </c>
      <c r="K94" s="2266" t="s">
        <v>2493</v>
      </c>
      <c r="L94" s="2266" t="s">
        <v>2494</v>
      </c>
      <c r="M94" s="2267" t="s">
        <v>2495</v>
      </c>
      <c r="N94">
        <f>SUMPRODUCT((A95:A184=ROUNDDOWN(基准地价修正!G3,1))*(B94:M94=基准地价修正!G2)*(B95:M184))</f>
        <v>0</v>
      </c>
      <c r="Q94" s="2277" t="s">
        <v>2693</v>
      </c>
      <c r="R94" s="2277" t="s">
        <v>2694</v>
      </c>
      <c r="S94" s="2277" t="s">
        <v>2695</v>
      </c>
      <c r="T94" s="2277" t="s">
        <v>2696</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2690</v>
      </c>
      <c r="B185" s="2262"/>
      <c r="C185" s="2262"/>
      <c r="D185" s="2262"/>
      <c r="E185" s="2262"/>
      <c r="F185" s="2262"/>
      <c r="G185" s="2262"/>
      <c r="H185" s="2262"/>
      <c r="I185" s="2262"/>
      <c r="J185" s="2262"/>
      <c r="K185" s="2262"/>
      <c r="L185" s="2262"/>
      <c r="M185" s="2262"/>
    </row>
    <row r="186" spans="1:20">
      <c r="A186" s="2263" t="s">
        <v>2688</v>
      </c>
      <c r="B186" s="2264" t="s">
        <v>2484</v>
      </c>
      <c r="C186" s="2264" t="s">
        <v>2485</v>
      </c>
      <c r="D186" s="2264" t="s">
        <v>2486</v>
      </c>
      <c r="E186" s="2264" t="s">
        <v>2487</v>
      </c>
      <c r="F186" s="2264" t="s">
        <v>2488</v>
      </c>
      <c r="G186" s="2264" t="s">
        <v>2489</v>
      </c>
      <c r="H186" s="2265" t="s">
        <v>2490</v>
      </c>
      <c r="I186" s="2265" t="s">
        <v>2491</v>
      </c>
      <c r="J186" s="2266" t="s">
        <v>2492</v>
      </c>
      <c r="K186" s="2266" t="s">
        <v>2493</v>
      </c>
      <c r="L186" s="2266" t="s">
        <v>2494</v>
      </c>
      <c r="M186" s="2267" t="s">
        <v>2495</v>
      </c>
      <c r="Q186" s="2277" t="s">
        <v>2693</v>
      </c>
      <c r="R186" s="2277" t="s">
        <v>2694</v>
      </c>
      <c r="S186" s="2277" t="s">
        <v>2695</v>
      </c>
      <c r="T186" s="2277" t="s">
        <v>2696</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2691</v>
      </c>
      <c r="B277" s="2262"/>
      <c r="C277" s="2262"/>
      <c r="D277" s="2262"/>
      <c r="E277" s="2262"/>
      <c r="F277" s="2262"/>
      <c r="G277" s="2262"/>
      <c r="H277" s="2262"/>
      <c r="I277" s="2262"/>
      <c r="J277" s="2262"/>
      <c r="K277" s="2262"/>
      <c r="L277" s="2262"/>
      <c r="M277" s="2262"/>
    </row>
    <row r="278" spans="1:21">
      <c r="A278" s="2263" t="s">
        <v>2688</v>
      </c>
      <c r="B278" s="2264" t="s">
        <v>2484</v>
      </c>
      <c r="C278" s="2264" t="s">
        <v>2485</v>
      </c>
      <c r="D278" s="2264" t="s">
        <v>2486</v>
      </c>
      <c r="E278" s="2264" t="s">
        <v>2487</v>
      </c>
      <c r="F278" s="2264" t="s">
        <v>2488</v>
      </c>
      <c r="G278" s="2264" t="s">
        <v>2489</v>
      </c>
      <c r="H278" s="2265" t="s">
        <v>2490</v>
      </c>
      <c r="I278" s="2265" t="s">
        <v>2491</v>
      </c>
      <c r="J278" s="2266" t="s">
        <v>2492</v>
      </c>
      <c r="K278" s="2266" t="s">
        <v>2493</v>
      </c>
      <c r="L278" s="2266" t="s">
        <v>2494</v>
      </c>
      <c r="M278" s="2267" t="s">
        <v>2495</v>
      </c>
      <c r="Q278" s="2277" t="s">
        <v>2693</v>
      </c>
      <c r="R278" s="2277" t="s">
        <v>2694</v>
      </c>
      <c r="S278" s="2277" t="s">
        <v>2697</v>
      </c>
      <c r="T278" s="2277" t="s">
        <v>2698</v>
      </c>
      <c r="U278" s="2277" t="s">
        <v>2696</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2692</v>
      </c>
      <c r="B369" s="2275"/>
      <c r="C369" s="2275"/>
      <c r="D369" s="2275"/>
      <c r="E369" s="2275"/>
      <c r="F369" s="2275"/>
      <c r="G369" s="2275"/>
      <c r="H369" s="2275"/>
      <c r="I369" s="2275"/>
      <c r="J369" s="2275"/>
      <c r="K369" s="2275"/>
      <c r="L369" s="2275"/>
      <c r="M369" s="2275"/>
    </row>
    <row r="370" spans="1:20">
      <c r="A370" s="2263" t="s">
        <v>2688</v>
      </c>
      <c r="B370" s="2264" t="s">
        <v>2484</v>
      </c>
      <c r="C370" s="2264" t="s">
        <v>2485</v>
      </c>
      <c r="D370" s="2264" t="s">
        <v>2486</v>
      </c>
      <c r="E370" s="2264" t="s">
        <v>2487</v>
      </c>
      <c r="F370" s="2264" t="s">
        <v>2488</v>
      </c>
      <c r="G370" s="2264" t="s">
        <v>2489</v>
      </c>
      <c r="H370" s="2265" t="s">
        <v>2490</v>
      </c>
      <c r="I370" s="2265" t="s">
        <v>2491</v>
      </c>
      <c r="J370" s="2266" t="s">
        <v>2492</v>
      </c>
      <c r="K370" s="2266" t="s">
        <v>2493</v>
      </c>
      <c r="L370" s="2266" t="s">
        <v>2494</v>
      </c>
      <c r="M370" s="2267" t="s">
        <v>2495</v>
      </c>
      <c r="N370">
        <f>SUMPRODUCT((A371:A460=ROUNDDOWN(基准地价修正!G3,1))*(B370:M370=基准地价修正!G2)*(B371:M460))</f>
        <v>0</v>
      </c>
      <c r="Q370" s="2277" t="s">
        <v>2693</v>
      </c>
      <c r="R370" s="2277" t="s">
        <v>2694</v>
      </c>
      <c r="S370" s="2277" t="s">
        <v>2695</v>
      </c>
      <c r="T370" s="2277" t="s">
        <v>2696</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26612</v>
      </c>
      <c r="C2" s="2" t="s">
        <v>104</v>
      </c>
      <c r="D2" s="94"/>
      <c r="E2" s="94"/>
      <c r="F2" s="94"/>
      <c r="G2" s="94"/>
    </row>
    <row r="3" spans="1:7" s="95" customFormat="1" ht="18" customHeight="1" thickBot="1">
      <c r="A3" s="98" t="s">
        <v>56</v>
      </c>
      <c r="B3" s="99">
        <f ca="1">ROUND(B2*10000/'数据-汇总表'!E3,0)</f>
        <v>534131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10</v>
      </c>
      <c r="D10" s="538">
        <f>'数据-汇总表'!E6</f>
        <v>498.23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6</v>
      </c>
      <c r="D19" s="107">
        <f>'数据-汇总表'!E3</f>
        <v>498.23</v>
      </c>
      <c r="E19" s="106">
        <f>'数据-取费表'!B31</f>
        <v>120</v>
      </c>
      <c r="F19" s="126"/>
      <c r="G19" s="1" t="s">
        <v>430</v>
      </c>
    </row>
    <row r="20" spans="1:7" s="109" customFormat="1" ht="13.5" customHeight="1">
      <c r="A20" s="510" t="s">
        <v>413</v>
      </c>
      <c r="B20" s="105" t="s">
        <v>75</v>
      </c>
      <c r="C20" s="127">
        <f>ROUND((C5+C19)*F20,0)</f>
        <v>618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1329</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3185</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3185</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26370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204</v>
      </c>
      <c r="D34" s="112"/>
      <c r="E34" s="115"/>
      <c r="F34" s="152">
        <f>IF('数据-取费表'!B24=0,1,'数据-取费表'!N16)</f>
        <v>1</v>
      </c>
      <c r="G34" s="114" t="s">
        <v>87</v>
      </c>
    </row>
    <row r="35" spans="1:7" ht="13.5" customHeight="1">
      <c r="A35" s="513" t="s">
        <v>349</v>
      </c>
      <c r="B35" s="110" t="s">
        <v>31</v>
      </c>
      <c r="C35" s="115">
        <f>ROUND(C34*F35,0)</f>
        <v>14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v>
      </c>
      <c r="D37" s="112">
        <f>'数据-汇总表'!E3</f>
        <v>498.23</v>
      </c>
      <c r="E37" s="144">
        <f>'数据-取费表'!B35</f>
        <v>280</v>
      </c>
      <c r="F37" s="154"/>
      <c r="G37" s="156" t="s">
        <v>90</v>
      </c>
    </row>
    <row r="38" spans="1:7" ht="13.5" customHeight="1">
      <c r="A38" s="513" t="s">
        <v>352</v>
      </c>
      <c r="B38" s="110" t="s">
        <v>34</v>
      </c>
      <c r="C38" s="115">
        <f>ROUND(C34*F38,0)</f>
        <v>2</v>
      </c>
      <c r="D38" s="115"/>
      <c r="E38" s="115"/>
      <c r="F38" s="154">
        <f>'数据-取费表'!B36</f>
        <v>0.01</v>
      </c>
      <c r="G38" s="114" t="s">
        <v>88</v>
      </c>
    </row>
    <row r="39" spans="1:7" s="109" customFormat="1" ht="13.5" customHeight="1">
      <c r="A39" s="510" t="s">
        <v>336</v>
      </c>
      <c r="B39" s="105" t="s">
        <v>75</v>
      </c>
      <c r="C39" s="127">
        <f>ROUND(C33*F20,0)</f>
        <v>7</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7</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7</v>
      </c>
      <c r="D42" s="133"/>
      <c r="E42" s="133"/>
      <c r="F42" s="134"/>
      <c r="G42" s="4479" t="s">
        <v>92</v>
      </c>
    </row>
    <row r="43" spans="1:7" ht="13.5" customHeight="1">
      <c r="A43" s="513" t="s">
        <v>345</v>
      </c>
      <c r="B43" s="110" t="s">
        <v>420</v>
      </c>
      <c r="C43" s="133">
        <f ca="1">ROUND(IF('数据-取费表'!B22&lt;=1,C39*F22*'数据-取费表'!B21/2,C39*(POWER((1+F22),'数据-取费表'!B21/2)-1)),0)</f>
        <v>0</v>
      </c>
      <c r="D43" s="133"/>
      <c r="E43" s="133"/>
      <c r="F43" s="134"/>
      <c r="G43" s="4481"/>
    </row>
    <row r="44" spans="1:7" ht="13.5" customHeight="1">
      <c r="A44" s="513" t="s">
        <v>346</v>
      </c>
      <c r="B44" s="110" t="s">
        <v>422</v>
      </c>
      <c r="C44" s="133">
        <f ca="1">ROUND(IF('数据-取费表'!B22&lt;=1,C40*F22*'数据-取费表'!B21/2,C40*(POWER((1+F22),'数据-取费表'!B21/2)-1)),4)</f>
        <v>5.9999999999999995E-4</v>
      </c>
      <c r="D44" s="133"/>
      <c r="E44" s="133"/>
      <c r="F44" s="134"/>
      <c r="G44" s="4480"/>
    </row>
    <row r="45" spans="1:7" s="109" customFormat="1" ht="13.5" customHeight="1">
      <c r="A45" s="510" t="s">
        <v>339</v>
      </c>
      <c r="B45" s="139" t="s">
        <v>83</v>
      </c>
      <c r="C45" s="140">
        <f>C46</f>
        <v>36</v>
      </c>
      <c r="D45" s="130">
        <f>C47</f>
        <v>3.0000000000000001E-3</v>
      </c>
      <c r="E45" s="131" t="s">
        <v>100</v>
      </c>
      <c r="F45" s="141"/>
      <c r="G45" s="142" t="s">
        <v>428</v>
      </c>
    </row>
    <row r="46" spans="1:7" s="109" customFormat="1" ht="13.5" customHeight="1">
      <c r="A46" s="513" t="s">
        <v>347</v>
      </c>
      <c r="B46" s="143" t="s">
        <v>421</v>
      </c>
      <c r="C46" s="144">
        <f>ROUND((C33+C39)*F27,0)</f>
        <v>36</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291</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242</v>
      </c>
      <c r="D51" s="127"/>
      <c r="E51" s="127"/>
      <c r="F51" s="159"/>
      <c r="G51" s="129" t="s">
        <v>35</v>
      </c>
    </row>
    <row r="52" spans="1:7" s="103" customFormat="1" ht="16.5" thickBot="1">
      <c r="A52" s="160" t="s">
        <v>36</v>
      </c>
      <c r="B52" s="161"/>
      <c r="C52" s="162">
        <f ca="1">C31+C51</f>
        <v>26612</v>
      </c>
      <c r="D52" s="161"/>
      <c r="E52" s="161"/>
      <c r="F52" s="161"/>
      <c r="G52" s="163"/>
    </row>
    <row r="55" spans="1:7" ht="15">
      <c r="B55" s="165" t="s">
        <v>37</v>
      </c>
      <c r="C55" s="166"/>
    </row>
    <row r="56" spans="1:7">
      <c r="B56" s="168" t="s">
        <v>38</v>
      </c>
      <c r="C56" s="169">
        <f ca="1">ROUND(C51/C52,3)</f>
        <v>8.9999999999999993E-3</v>
      </c>
    </row>
    <row r="57" spans="1:7">
      <c r="B57" s="168" t="s">
        <v>39</v>
      </c>
      <c r="C57" s="170">
        <f ca="1">1-C56</f>
        <v>0.99099999999999999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89" t="s">
        <v>3070</v>
      </c>
      <c r="B1" s="4689"/>
    </row>
    <row r="2" spans="1:7" ht="14.25" thickBot="1">
      <c r="A2" s="2352"/>
      <c r="B2" s="2352"/>
    </row>
    <row r="3" spans="1:7" ht="14.25" thickBot="1">
      <c r="A3" s="2352"/>
      <c r="B3" s="2352"/>
      <c r="C3" s="2353" t="s">
        <v>2700</v>
      </c>
      <c r="D3" s="2353" t="s">
        <v>2756</v>
      </c>
      <c r="E3" s="2353" t="s">
        <v>2702</v>
      </c>
      <c r="F3" s="2353" t="s">
        <v>2757</v>
      </c>
      <c r="G3" s="2353" t="s">
        <v>2520</v>
      </c>
    </row>
    <row r="4" spans="1:7" ht="14.25" thickBot="1">
      <c r="A4" s="2354" t="s">
        <v>2755</v>
      </c>
      <c r="B4" s="2355" t="s">
        <v>2761</v>
      </c>
      <c r="C4" s="2353"/>
      <c r="D4" s="2353"/>
      <c r="E4" s="2353"/>
      <c r="F4" s="2353"/>
      <c r="G4" s="2353"/>
    </row>
    <row r="5" spans="1:7">
      <c r="A5" s="2356" t="s">
        <v>2729</v>
      </c>
      <c r="B5" s="2357" t="s">
        <v>2743</v>
      </c>
      <c r="C5" s="2358">
        <v>9.8000000000000004E-2</v>
      </c>
      <c r="D5" s="2358">
        <v>8.6999999999999994E-2</v>
      </c>
      <c r="E5" s="2358">
        <v>8.6999999999999994E-2</v>
      </c>
      <c r="F5" s="2358">
        <v>9.8000000000000004E-2</v>
      </c>
      <c r="G5" s="2359">
        <v>9.5000000000000001E-2</v>
      </c>
    </row>
    <row r="6" spans="1:7">
      <c r="A6" s="2360" t="s">
        <v>142</v>
      </c>
      <c r="B6" s="2361" t="s">
        <v>2758</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2744</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2794</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2812</v>
      </c>
      <c r="C29" s="2370"/>
      <c r="D29" s="2366">
        <v>5.1999999999999998E-2</v>
      </c>
      <c r="E29" s="2366">
        <v>7.0000000000000007E-2</v>
      </c>
      <c r="F29" s="2370"/>
      <c r="G29" s="2368">
        <v>7.0999999999999994E-2</v>
      </c>
    </row>
    <row r="30" spans="1:7">
      <c r="A30" s="2371" t="s">
        <v>294</v>
      </c>
      <c r="B30" s="2357" t="s">
        <v>2745</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2731</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2815</v>
      </c>
      <c r="C50" s="2362">
        <v>9.8000000000000004E-2</v>
      </c>
      <c r="D50" s="2362">
        <v>7.2999999999999995E-2</v>
      </c>
      <c r="E50" s="2362">
        <v>7.0999999999999994E-2</v>
      </c>
      <c r="F50" s="2373"/>
      <c r="G50" s="2363">
        <v>7.2999999999999995E-2</v>
      </c>
    </row>
    <row r="51" spans="1:7">
      <c r="A51" s="2372" t="s">
        <v>294</v>
      </c>
      <c r="B51" s="2361" t="s">
        <v>2817</v>
      </c>
      <c r="C51" s="2362">
        <v>9.9000000000000005E-2</v>
      </c>
      <c r="D51" s="2362">
        <v>8.5000000000000006E-2</v>
      </c>
      <c r="E51" s="2362">
        <v>6.3E-2</v>
      </c>
      <c r="F51" s="2373"/>
      <c r="G51" s="2363">
        <v>9.6000000000000002E-2</v>
      </c>
    </row>
    <row r="52" spans="1:7">
      <c r="A52" s="2372" t="s">
        <v>294</v>
      </c>
      <c r="B52" s="2361" t="s">
        <v>2821</v>
      </c>
      <c r="C52" s="2362">
        <v>7.3999999999999996E-2</v>
      </c>
      <c r="D52" s="2362">
        <v>9.6000000000000002E-2</v>
      </c>
      <c r="E52" s="2362">
        <v>0.05</v>
      </c>
      <c r="F52" s="2373"/>
      <c r="G52" s="2363">
        <v>9.8000000000000004E-2</v>
      </c>
    </row>
    <row r="53" spans="1:7">
      <c r="A53" s="2372" t="s">
        <v>294</v>
      </c>
      <c r="B53" s="2361" t="s">
        <v>2826</v>
      </c>
      <c r="C53" s="2362">
        <v>8.5999999999999993E-2</v>
      </c>
      <c r="D53" s="2373"/>
      <c r="E53" s="2362">
        <v>9.1999999999999998E-2</v>
      </c>
      <c r="F53" s="2373"/>
      <c r="G53" s="2374"/>
    </row>
    <row r="54" spans="1:7" ht="14.25" thickBot="1">
      <c r="A54" s="2375" t="s">
        <v>294</v>
      </c>
      <c r="B54" s="2365" t="s">
        <v>2829</v>
      </c>
      <c r="C54" s="2366">
        <v>9.6000000000000002E-2</v>
      </c>
      <c r="D54" s="2367"/>
      <c r="E54" s="2376"/>
      <c r="F54" s="2367"/>
      <c r="G54" s="2377"/>
    </row>
    <row r="55" spans="1:7">
      <c r="A55" s="2371" t="s">
        <v>108</v>
      </c>
      <c r="B55" s="2357" t="s">
        <v>2746</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2827</v>
      </c>
      <c r="C78" s="2362">
        <v>0.1</v>
      </c>
      <c r="D78" s="2362">
        <v>8.5000000000000006E-2</v>
      </c>
      <c r="E78" s="2362">
        <v>9.6000000000000002E-2</v>
      </c>
      <c r="F78" s="2373"/>
      <c r="G78" s="2363">
        <v>9.6000000000000002E-2</v>
      </c>
    </row>
    <row r="79" spans="1:7">
      <c r="A79" s="2372" t="s">
        <v>108</v>
      </c>
      <c r="B79" s="2361" t="s">
        <v>2830</v>
      </c>
      <c r="C79" s="2362">
        <v>0.05</v>
      </c>
      <c r="D79" s="2362">
        <v>9.6000000000000002E-2</v>
      </c>
      <c r="E79" s="2362">
        <v>9.5000000000000001E-2</v>
      </c>
      <c r="F79" s="2373"/>
      <c r="G79" s="2363">
        <v>9.8000000000000004E-2</v>
      </c>
    </row>
    <row r="80" spans="1:7">
      <c r="A80" s="2372" t="s">
        <v>108</v>
      </c>
      <c r="B80" s="2361" t="s">
        <v>2834</v>
      </c>
      <c r="C80" s="2362">
        <v>8.5999999999999993E-2</v>
      </c>
      <c r="D80" s="2378"/>
      <c r="E80" s="2362">
        <v>0.1</v>
      </c>
      <c r="F80" s="2373"/>
      <c r="G80" s="2374"/>
    </row>
    <row r="81" spans="1:7">
      <c r="A81" s="2372" t="s">
        <v>108</v>
      </c>
      <c r="B81" s="2361" t="s">
        <v>2839</v>
      </c>
      <c r="C81" s="2362">
        <v>9.6000000000000002E-2</v>
      </c>
      <c r="D81" s="2373"/>
      <c r="E81" s="2362">
        <v>9.8000000000000004E-2</v>
      </c>
      <c r="F81" s="2373"/>
      <c r="G81" s="2374"/>
    </row>
    <row r="82" spans="1:7">
      <c r="A82" s="2372" t="s">
        <v>108</v>
      </c>
      <c r="B82" s="2361" t="s">
        <v>2846</v>
      </c>
      <c r="C82" s="2378"/>
      <c r="D82" s="2373"/>
      <c r="E82" s="2362">
        <v>7.6999999999999999E-2</v>
      </c>
      <c r="F82" s="2373"/>
      <c r="G82" s="2374"/>
    </row>
    <row r="83" spans="1:7">
      <c r="A83" s="2372" t="s">
        <v>108</v>
      </c>
      <c r="B83" s="2361" t="s">
        <v>2852</v>
      </c>
      <c r="C83" s="2373"/>
      <c r="D83" s="2373"/>
      <c r="E83" s="2373"/>
      <c r="F83" s="2362">
        <v>0.1</v>
      </c>
      <c r="G83" s="2379"/>
    </row>
    <row r="84" spans="1:7">
      <c r="A84" s="2372" t="s">
        <v>108</v>
      </c>
      <c r="B84" s="2361" t="s">
        <v>2859</v>
      </c>
      <c r="C84" s="2373"/>
      <c r="D84" s="2373"/>
      <c r="E84" s="2373"/>
      <c r="F84" s="2362">
        <v>0.1</v>
      </c>
      <c r="G84" s="2379"/>
    </row>
    <row r="85" spans="1:7">
      <c r="A85" s="2372" t="s">
        <v>108</v>
      </c>
      <c r="B85" s="2361" t="s">
        <v>2866</v>
      </c>
      <c r="C85" s="2373"/>
      <c r="D85" s="2373"/>
      <c r="E85" s="2373"/>
      <c r="F85" s="2362">
        <v>0.1</v>
      </c>
      <c r="G85" s="2379"/>
    </row>
    <row r="86" spans="1:7" ht="14.25" thickBot="1">
      <c r="A86" s="2375" t="s">
        <v>108</v>
      </c>
      <c r="B86" s="2365" t="s">
        <v>2871</v>
      </c>
      <c r="C86" s="2366">
        <v>9.8000000000000004E-2</v>
      </c>
      <c r="D86" s="2366">
        <v>9.8000000000000004E-2</v>
      </c>
      <c r="E86" s="2366">
        <v>9.6000000000000002E-2</v>
      </c>
      <c r="F86" s="2376"/>
      <c r="G86" s="2368">
        <v>0.1</v>
      </c>
    </row>
    <row r="87" spans="1:7">
      <c r="A87" s="2371" t="s">
        <v>301</v>
      </c>
      <c r="B87" s="2357" t="s">
        <v>2747</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2840</v>
      </c>
      <c r="C113" s="2362">
        <v>0.1</v>
      </c>
      <c r="D113" s="2362">
        <v>0.1</v>
      </c>
      <c r="E113" s="2373"/>
      <c r="F113" s="2373"/>
      <c r="G113" s="2363">
        <v>0.1</v>
      </c>
    </row>
    <row r="114" spans="1:7">
      <c r="A114" s="2372" t="s">
        <v>301</v>
      </c>
      <c r="B114" s="2361" t="s">
        <v>2847</v>
      </c>
      <c r="C114" s="2362">
        <v>9.7000000000000003E-2</v>
      </c>
      <c r="D114" s="2362">
        <v>9.7000000000000003E-2</v>
      </c>
      <c r="E114" s="2373"/>
      <c r="F114" s="2373"/>
      <c r="G114" s="2363">
        <v>9.9000000000000005E-2</v>
      </c>
    </row>
    <row r="115" spans="1:7">
      <c r="A115" s="2372" t="s">
        <v>301</v>
      </c>
      <c r="B115" s="2361" t="s">
        <v>2853</v>
      </c>
      <c r="C115" s="2362">
        <v>0.1</v>
      </c>
      <c r="D115" s="2362">
        <v>0.1</v>
      </c>
      <c r="E115" s="2373"/>
      <c r="F115" s="2373"/>
      <c r="G115" s="2363">
        <v>0.1</v>
      </c>
    </row>
    <row r="116" spans="1:7">
      <c r="A116" s="2372" t="s">
        <v>301</v>
      </c>
      <c r="B116" s="2361" t="s">
        <v>2860</v>
      </c>
      <c r="C116" s="2362">
        <v>0.1</v>
      </c>
      <c r="D116" s="2362">
        <v>0.1</v>
      </c>
      <c r="E116" s="2373"/>
      <c r="F116" s="2373"/>
      <c r="G116" s="2363">
        <v>0.1</v>
      </c>
    </row>
    <row r="117" spans="1:7">
      <c r="A117" s="2372" t="s">
        <v>301</v>
      </c>
      <c r="B117" s="2361" t="s">
        <v>2867</v>
      </c>
      <c r="C117" s="2362">
        <v>9.7000000000000003E-2</v>
      </c>
      <c r="D117" s="2362">
        <v>9.7000000000000003E-2</v>
      </c>
      <c r="E117" s="2373"/>
      <c r="F117" s="2373"/>
      <c r="G117" s="2363">
        <v>9.7000000000000003E-2</v>
      </c>
    </row>
    <row r="118" spans="1:7">
      <c r="A118" s="2372" t="s">
        <v>301</v>
      </c>
      <c r="B118" s="2361" t="s">
        <v>2872</v>
      </c>
      <c r="C118" s="2362">
        <v>0.1</v>
      </c>
      <c r="D118" s="2362">
        <v>0.1</v>
      </c>
      <c r="E118" s="2373"/>
      <c r="F118" s="2373"/>
      <c r="G118" s="2363">
        <v>0.1</v>
      </c>
    </row>
    <row r="119" spans="1:7">
      <c r="A119" s="2372" t="s">
        <v>301</v>
      </c>
      <c r="B119" s="2361" t="s">
        <v>2876</v>
      </c>
      <c r="C119" s="2362">
        <v>5.0999999999999997E-2</v>
      </c>
      <c r="D119" s="2362">
        <v>5.1999999999999998E-2</v>
      </c>
      <c r="E119" s="2373"/>
      <c r="F119" s="2378"/>
      <c r="G119" s="2363">
        <v>0.06</v>
      </c>
    </row>
    <row r="120" spans="1:7">
      <c r="A120" s="2372" t="s">
        <v>301</v>
      </c>
      <c r="B120" s="2361" t="s">
        <v>2880</v>
      </c>
      <c r="C120" s="2373"/>
      <c r="D120" s="2373"/>
      <c r="E120" s="2373"/>
      <c r="F120" s="2362">
        <v>0.1</v>
      </c>
      <c r="G120" s="2379"/>
    </row>
    <row r="121" spans="1:7">
      <c r="A121" s="2372" t="s">
        <v>301</v>
      </c>
      <c r="B121" s="2361" t="s">
        <v>2885</v>
      </c>
      <c r="C121" s="2373"/>
      <c r="D121" s="2373"/>
      <c r="E121" s="2373"/>
      <c r="F121" s="2362">
        <v>0.1</v>
      </c>
      <c r="G121" s="2379"/>
    </row>
    <row r="122" spans="1:7">
      <c r="A122" s="2372" t="s">
        <v>301</v>
      </c>
      <c r="B122" s="2361" t="s">
        <v>2890</v>
      </c>
      <c r="C122" s="2362">
        <v>0.1</v>
      </c>
      <c r="D122" s="2362">
        <v>0.1</v>
      </c>
      <c r="E122" s="2362">
        <v>9.8000000000000004E-2</v>
      </c>
      <c r="F122" s="2362">
        <v>0.1</v>
      </c>
      <c r="G122" s="2363">
        <v>0.1</v>
      </c>
    </row>
    <row r="123" spans="1:7">
      <c r="A123" s="2372" t="s">
        <v>301</v>
      </c>
      <c r="B123" s="2361" t="s">
        <v>2895</v>
      </c>
      <c r="C123" s="2362">
        <v>0.1</v>
      </c>
      <c r="D123" s="2362">
        <v>0.1</v>
      </c>
      <c r="E123" s="2362">
        <v>9.8000000000000004E-2</v>
      </c>
      <c r="F123" s="2362">
        <v>0.1</v>
      </c>
      <c r="G123" s="2363">
        <v>0.1</v>
      </c>
    </row>
    <row r="124" spans="1:7">
      <c r="A124" s="2372" t="s">
        <v>301</v>
      </c>
      <c r="B124" s="2361" t="s">
        <v>2900</v>
      </c>
      <c r="C124" s="2362">
        <v>0.1</v>
      </c>
      <c r="D124" s="2362">
        <v>0.1</v>
      </c>
      <c r="E124" s="2362">
        <v>9.8000000000000004E-2</v>
      </c>
      <c r="F124" s="2378"/>
      <c r="G124" s="2363">
        <v>0.1</v>
      </c>
    </row>
    <row r="125" spans="1:7">
      <c r="A125" s="2372" t="s">
        <v>301</v>
      </c>
      <c r="B125" s="2361" t="s">
        <v>2905</v>
      </c>
      <c r="C125" s="2362">
        <v>9.8000000000000004E-2</v>
      </c>
      <c r="D125" s="2362">
        <v>9.8000000000000004E-2</v>
      </c>
      <c r="E125" s="2362">
        <v>9.6000000000000002E-2</v>
      </c>
      <c r="F125" s="2378"/>
      <c r="G125" s="2363">
        <v>0.1</v>
      </c>
    </row>
    <row r="126" spans="1:7" ht="14.25" thickBot="1">
      <c r="A126" s="2375" t="s">
        <v>301</v>
      </c>
      <c r="B126" s="2365" t="s">
        <v>3071</v>
      </c>
      <c r="C126" s="2366">
        <v>0.1</v>
      </c>
      <c r="D126" s="2366">
        <v>0.1</v>
      </c>
      <c r="E126" s="2366">
        <v>9.8000000000000004E-2</v>
      </c>
      <c r="F126" s="2366">
        <v>0.1</v>
      </c>
      <c r="G126" s="2368">
        <v>0.1</v>
      </c>
    </row>
    <row r="127" spans="1:7">
      <c r="A127" s="2371" t="s">
        <v>27</v>
      </c>
      <c r="B127" s="2357" t="s">
        <v>2748</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2818</v>
      </c>
      <c r="C148" s="2362">
        <v>0.13</v>
      </c>
      <c r="D148" s="2362">
        <v>0.13</v>
      </c>
      <c r="E148" s="2362">
        <v>0.13</v>
      </c>
      <c r="F148" s="2373"/>
      <c r="G148" s="2363">
        <v>0.13</v>
      </c>
    </row>
    <row r="149" spans="1:7">
      <c r="A149" s="2372" t="s">
        <v>27</v>
      </c>
      <c r="B149" s="2361" t="s">
        <v>2822</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2841</v>
      </c>
      <c r="C153" s="2362">
        <v>0.13</v>
      </c>
      <c r="D153" s="2362">
        <v>0.13</v>
      </c>
      <c r="E153" s="2362">
        <v>0.13</v>
      </c>
      <c r="F153" s="2362">
        <v>0.13</v>
      </c>
      <c r="G153" s="2363">
        <v>0.13</v>
      </c>
    </row>
    <row r="154" spans="1:7">
      <c r="A154" s="2372" t="s">
        <v>27</v>
      </c>
      <c r="B154" s="2361" t="s">
        <v>2848</v>
      </c>
      <c r="C154" s="2362">
        <v>0.121</v>
      </c>
      <c r="D154" s="2362">
        <v>0.121</v>
      </c>
      <c r="E154" s="2362">
        <v>0.105</v>
      </c>
      <c r="F154" s="2362">
        <v>0.121</v>
      </c>
      <c r="G154" s="2363">
        <v>0.123</v>
      </c>
    </row>
    <row r="155" spans="1:7">
      <c r="A155" s="2372" t="s">
        <v>27</v>
      </c>
      <c r="B155" s="2361" t="s">
        <v>2854</v>
      </c>
      <c r="C155" s="2362">
        <v>0.1</v>
      </c>
      <c r="D155" s="2362">
        <v>0.1</v>
      </c>
      <c r="E155" s="2362">
        <v>0.1</v>
      </c>
      <c r="F155" s="2362">
        <v>0.1</v>
      </c>
      <c r="G155" s="2363">
        <v>0.1</v>
      </c>
    </row>
    <row r="156" spans="1:7">
      <c r="A156" s="2372" t="s">
        <v>27</v>
      </c>
      <c r="B156" s="2361" t="s">
        <v>2861</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2881</v>
      </c>
      <c r="C160" s="2362">
        <v>0.13</v>
      </c>
      <c r="D160" s="2362">
        <v>0.13</v>
      </c>
      <c r="E160" s="2362">
        <v>0.124</v>
      </c>
      <c r="F160" s="2362">
        <v>0.126</v>
      </c>
      <c r="G160" s="2363">
        <v>0.13</v>
      </c>
    </row>
    <row r="161" spans="1:7">
      <c r="A161" s="2372" t="s">
        <v>27</v>
      </c>
      <c r="B161" s="2361" t="s">
        <v>2886</v>
      </c>
      <c r="C161" s="2362">
        <v>0.13</v>
      </c>
      <c r="D161" s="2362">
        <v>0.13</v>
      </c>
      <c r="E161" s="2362">
        <v>0.124</v>
      </c>
      <c r="F161" s="2362">
        <v>0.127</v>
      </c>
      <c r="G161" s="2363">
        <v>0.13</v>
      </c>
    </row>
    <row r="162" spans="1:7">
      <c r="A162" s="2372" t="s">
        <v>27</v>
      </c>
      <c r="B162" s="2361" t="s">
        <v>2891</v>
      </c>
      <c r="C162" s="2362">
        <v>0.1</v>
      </c>
      <c r="D162" s="2362">
        <v>0.1</v>
      </c>
      <c r="E162" s="2362">
        <v>0.1</v>
      </c>
      <c r="F162" s="2362">
        <v>0.121</v>
      </c>
      <c r="G162" s="2363">
        <v>0.105</v>
      </c>
    </row>
    <row r="163" spans="1:7">
      <c r="A163" s="2372" t="s">
        <v>27</v>
      </c>
      <c r="B163" s="2361" t="s">
        <v>2896</v>
      </c>
      <c r="C163" s="2362">
        <v>0.1</v>
      </c>
      <c r="D163" s="2362">
        <v>0.1</v>
      </c>
      <c r="E163" s="2362">
        <v>0.1</v>
      </c>
      <c r="F163" s="2362">
        <v>0.1</v>
      </c>
      <c r="G163" s="2363">
        <v>0.1</v>
      </c>
    </row>
    <row r="164" spans="1:7">
      <c r="A164" s="2372" t="s">
        <v>27</v>
      </c>
      <c r="B164" s="2361" t="s">
        <v>2901</v>
      </c>
      <c r="C164" s="2378"/>
      <c r="D164" s="2378"/>
      <c r="E164" s="2378"/>
      <c r="F164" s="2362">
        <v>0.1</v>
      </c>
      <c r="G164" s="2374"/>
    </row>
    <row r="165" spans="1:7">
      <c r="A165" s="2372" t="s">
        <v>27</v>
      </c>
      <c r="B165" s="2361" t="s">
        <v>3072</v>
      </c>
      <c r="C165" s="2362">
        <v>0.126</v>
      </c>
      <c r="D165" s="2362">
        <v>0.126</v>
      </c>
      <c r="E165" s="2362">
        <v>0.11899999999999999</v>
      </c>
      <c r="F165" s="2362">
        <v>0.13</v>
      </c>
      <c r="G165" s="2363">
        <v>0.128</v>
      </c>
    </row>
    <row r="166" spans="1:7">
      <c r="A166" s="2372" t="s">
        <v>27</v>
      </c>
      <c r="B166" s="2361" t="s">
        <v>2911</v>
      </c>
      <c r="C166" s="2362">
        <v>0.129</v>
      </c>
      <c r="D166" s="2362">
        <v>0.129</v>
      </c>
      <c r="E166" s="2362">
        <v>0.123</v>
      </c>
      <c r="F166" s="2362">
        <v>0.128</v>
      </c>
      <c r="G166" s="2363">
        <v>0.13</v>
      </c>
    </row>
    <row r="167" spans="1:7">
      <c r="A167" s="2372" t="s">
        <v>27</v>
      </c>
      <c r="B167" s="2361" t="s">
        <v>2915</v>
      </c>
      <c r="C167" s="2362">
        <v>0.125</v>
      </c>
      <c r="D167" s="2362">
        <v>0.125</v>
      </c>
      <c r="E167" s="2362">
        <v>0.11700000000000001</v>
      </c>
      <c r="F167" s="2362">
        <v>0.13</v>
      </c>
      <c r="G167" s="2363">
        <v>0.126</v>
      </c>
    </row>
    <row r="168" spans="1:7">
      <c r="A168" s="2372" t="s">
        <v>27</v>
      </c>
      <c r="B168" s="2361" t="s">
        <v>2920</v>
      </c>
      <c r="C168" s="2362">
        <v>0.128</v>
      </c>
      <c r="D168" s="2362">
        <v>0.128</v>
      </c>
      <c r="E168" s="2362">
        <v>0.123</v>
      </c>
      <c r="F168" s="2373"/>
      <c r="G168" s="2363">
        <v>0.13</v>
      </c>
    </row>
    <row r="169" spans="1:7">
      <c r="A169" s="2372" t="s">
        <v>27</v>
      </c>
      <c r="B169" s="2361" t="s">
        <v>3073</v>
      </c>
      <c r="C169" s="2378"/>
      <c r="D169" s="2378"/>
      <c r="E169" s="2378"/>
      <c r="F169" s="2362">
        <v>0.05</v>
      </c>
      <c r="G169" s="2374"/>
    </row>
    <row r="170" spans="1:7">
      <c r="A170" s="2372" t="s">
        <v>27</v>
      </c>
      <c r="B170" s="2361" t="s">
        <v>3074</v>
      </c>
      <c r="C170" s="2378"/>
      <c r="D170" s="2378"/>
      <c r="E170" s="2378"/>
      <c r="F170" s="2362">
        <v>0.05</v>
      </c>
      <c r="G170" s="2374"/>
    </row>
    <row r="171" spans="1:7">
      <c r="A171" s="2372" t="s">
        <v>27</v>
      </c>
      <c r="B171" s="2361" t="s">
        <v>3075</v>
      </c>
      <c r="C171" s="2378"/>
      <c r="D171" s="2378"/>
      <c r="E171" s="2378"/>
      <c r="F171" s="2362">
        <v>0.05</v>
      </c>
      <c r="G171" s="2379"/>
    </row>
    <row r="172" spans="1:7">
      <c r="A172" s="2372" t="s">
        <v>27</v>
      </c>
      <c r="B172" s="2361" t="s">
        <v>3076</v>
      </c>
      <c r="C172" s="2378"/>
      <c r="D172" s="2378"/>
      <c r="E172" s="2378"/>
      <c r="F172" s="2362">
        <v>0.05</v>
      </c>
      <c r="G172" s="2379"/>
    </row>
    <row r="173" spans="1:7">
      <c r="A173" s="2372" t="s">
        <v>27</v>
      </c>
      <c r="B173" s="2361" t="s">
        <v>3077</v>
      </c>
      <c r="C173" s="2378"/>
      <c r="D173" s="2378"/>
      <c r="E173" s="2378"/>
      <c r="F173" s="2362">
        <v>0.05</v>
      </c>
      <c r="G173" s="2374"/>
    </row>
    <row r="174" spans="1:7">
      <c r="A174" s="2372" t="s">
        <v>27</v>
      </c>
      <c r="B174" s="2361" t="s">
        <v>3078</v>
      </c>
      <c r="C174" s="2378"/>
      <c r="D174" s="2378"/>
      <c r="E174" s="2378"/>
      <c r="F174" s="2362">
        <v>0.05</v>
      </c>
      <c r="G174" s="2374"/>
    </row>
    <row r="175" spans="1:7">
      <c r="A175" s="2372" t="s">
        <v>27</v>
      </c>
      <c r="B175" s="2361" t="s">
        <v>3079</v>
      </c>
      <c r="C175" s="2378"/>
      <c r="D175" s="2378"/>
      <c r="E175" s="2378"/>
      <c r="F175" s="2362">
        <v>0.05</v>
      </c>
      <c r="G175" s="2374"/>
    </row>
    <row r="176" spans="1:7">
      <c r="A176" s="2372" t="s">
        <v>27</v>
      </c>
      <c r="B176" s="2361" t="s">
        <v>3080</v>
      </c>
      <c r="C176" s="2378"/>
      <c r="D176" s="2378"/>
      <c r="E176" s="2378"/>
      <c r="F176" s="2362">
        <v>0.05</v>
      </c>
      <c r="G176" s="2374"/>
    </row>
    <row r="177" spans="1:7">
      <c r="A177" s="2372" t="s">
        <v>27</v>
      </c>
      <c r="B177" s="2361" t="s">
        <v>3081</v>
      </c>
      <c r="C177" s="2373"/>
      <c r="D177" s="2373"/>
      <c r="E177" s="2373"/>
      <c r="F177" s="2362">
        <v>0.05</v>
      </c>
      <c r="G177" s="2379"/>
    </row>
    <row r="178" spans="1:7">
      <c r="A178" s="2372" t="s">
        <v>27</v>
      </c>
      <c r="B178" s="2361" t="s">
        <v>3082</v>
      </c>
      <c r="C178" s="2373"/>
      <c r="D178" s="2373"/>
      <c r="E178" s="2373"/>
      <c r="F178" s="2362">
        <v>0.05</v>
      </c>
      <c r="G178" s="2379"/>
    </row>
    <row r="179" spans="1:7">
      <c r="A179" s="2372" t="s">
        <v>27</v>
      </c>
      <c r="B179" s="2361" t="s">
        <v>3083</v>
      </c>
      <c r="C179" s="2373"/>
      <c r="D179" s="2373"/>
      <c r="E179" s="2373"/>
      <c r="F179" s="2362">
        <v>0.05</v>
      </c>
      <c r="G179" s="2379"/>
    </row>
    <row r="180" spans="1:7">
      <c r="A180" s="2372" t="s">
        <v>27</v>
      </c>
      <c r="B180" s="2361" t="s">
        <v>3084</v>
      </c>
      <c r="C180" s="2373"/>
      <c r="D180" s="2373"/>
      <c r="E180" s="2373"/>
      <c r="F180" s="2362">
        <v>0.05</v>
      </c>
      <c r="G180" s="2379"/>
    </row>
    <row r="181" spans="1:7">
      <c r="A181" s="2372" t="s">
        <v>27</v>
      </c>
      <c r="B181" s="2361" t="s">
        <v>3085</v>
      </c>
      <c r="C181" s="2373"/>
      <c r="D181" s="2373"/>
      <c r="E181" s="2373"/>
      <c r="F181" s="2362">
        <v>0.05</v>
      </c>
      <c r="G181" s="2379"/>
    </row>
    <row r="182" spans="1:7">
      <c r="A182" s="2372" t="s">
        <v>27</v>
      </c>
      <c r="B182" s="2361" t="s">
        <v>3086</v>
      </c>
      <c r="C182" s="2373"/>
      <c r="D182" s="2373"/>
      <c r="E182" s="2373"/>
      <c r="F182" s="2362">
        <v>0.05</v>
      </c>
      <c r="G182" s="2379"/>
    </row>
    <row r="183" spans="1:7">
      <c r="A183" s="2372" t="s">
        <v>27</v>
      </c>
      <c r="B183" s="2361" t="s">
        <v>3087</v>
      </c>
      <c r="C183" s="2373"/>
      <c r="D183" s="2373"/>
      <c r="E183" s="2373"/>
      <c r="F183" s="2362">
        <v>0.05</v>
      </c>
      <c r="G183" s="2379"/>
    </row>
    <row r="184" spans="1:7">
      <c r="A184" s="2372" t="s">
        <v>27</v>
      </c>
      <c r="B184" s="2361" t="s">
        <v>3088</v>
      </c>
      <c r="C184" s="2373"/>
      <c r="D184" s="2373"/>
      <c r="E184" s="2373"/>
      <c r="F184" s="2362">
        <v>0.05</v>
      </c>
      <c r="G184" s="2379"/>
    </row>
    <row r="185" spans="1:7">
      <c r="A185" s="2372" t="s">
        <v>27</v>
      </c>
      <c r="B185" s="2361" t="s">
        <v>3089</v>
      </c>
      <c r="C185" s="2373"/>
      <c r="D185" s="2373"/>
      <c r="E185" s="2373"/>
      <c r="F185" s="2362">
        <v>0.05</v>
      </c>
      <c r="G185" s="2379"/>
    </row>
    <row r="186" spans="1:7">
      <c r="A186" s="2372" t="s">
        <v>27</v>
      </c>
      <c r="B186" s="2361" t="s">
        <v>3090</v>
      </c>
      <c r="C186" s="2373"/>
      <c r="D186" s="2373"/>
      <c r="E186" s="2373"/>
      <c r="F186" s="2362">
        <v>0.05</v>
      </c>
      <c r="G186" s="2379"/>
    </row>
    <row r="187" spans="1:7">
      <c r="A187" s="2372" t="s">
        <v>27</v>
      </c>
      <c r="B187" s="2361" t="s">
        <v>3091</v>
      </c>
      <c r="C187" s="2373"/>
      <c r="D187" s="2373"/>
      <c r="E187" s="2373"/>
      <c r="F187" s="2362">
        <v>0.05</v>
      </c>
      <c r="G187" s="2379"/>
    </row>
    <row r="188" spans="1:7">
      <c r="A188" s="2372" t="s">
        <v>27</v>
      </c>
      <c r="B188" s="2361" t="s">
        <v>3092</v>
      </c>
      <c r="C188" s="2373"/>
      <c r="D188" s="2373"/>
      <c r="E188" s="2373"/>
      <c r="F188" s="2362">
        <v>0.05</v>
      </c>
      <c r="G188" s="2379"/>
    </row>
    <row r="189" spans="1:7" ht="14.25" thickBot="1">
      <c r="A189" s="2375" t="s">
        <v>27</v>
      </c>
      <c r="B189" s="2365" t="s">
        <v>3093</v>
      </c>
      <c r="C189" s="2367"/>
      <c r="D189" s="2367"/>
      <c r="E189" s="2367"/>
      <c r="F189" s="2366">
        <v>0.05</v>
      </c>
      <c r="G189" s="2380"/>
    </row>
    <row r="190" spans="1:7">
      <c r="A190" s="2371" t="s">
        <v>302</v>
      </c>
      <c r="B190" s="2357" t="s">
        <v>2749</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2785</v>
      </c>
      <c r="C199" s="2362">
        <v>0.13</v>
      </c>
      <c r="D199" s="2362">
        <v>0.13</v>
      </c>
      <c r="E199" s="2362">
        <v>0.13</v>
      </c>
      <c r="F199" s="2362">
        <v>0.13</v>
      </c>
      <c r="G199" s="2363">
        <v>0.13</v>
      </c>
    </row>
    <row r="200" spans="1:7">
      <c r="A200" s="2372" t="s">
        <v>302</v>
      </c>
      <c r="B200" s="2361" t="s">
        <v>2788</v>
      </c>
      <c r="C200" s="2378"/>
      <c r="D200" s="2378"/>
      <c r="E200" s="2378"/>
      <c r="F200" s="2362">
        <v>0.13</v>
      </c>
      <c r="G200" s="2374"/>
    </row>
    <row r="201" spans="1:7">
      <c r="A201" s="2372" t="s">
        <v>302</v>
      </c>
      <c r="B201" s="2361" t="s">
        <v>2793</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2796</v>
      </c>
      <c r="C203" s="2362">
        <v>0.129</v>
      </c>
      <c r="D203" s="2362">
        <v>0.129</v>
      </c>
      <c r="E203" s="2362">
        <v>0.13</v>
      </c>
      <c r="F203" s="2362">
        <v>0.13</v>
      </c>
      <c r="G203" s="2363">
        <v>0.13</v>
      </c>
    </row>
    <row r="204" spans="1:7">
      <c r="A204" s="2372" t="s">
        <v>302</v>
      </c>
      <c r="B204" s="2361" t="s">
        <v>2799</v>
      </c>
      <c r="C204" s="2362">
        <v>0.129</v>
      </c>
      <c r="D204" s="2362">
        <v>0.129</v>
      </c>
      <c r="E204" s="2362">
        <v>0.123</v>
      </c>
      <c r="F204" s="2362">
        <v>0.13</v>
      </c>
      <c r="G204" s="2363">
        <v>0.13</v>
      </c>
    </row>
    <row r="205" spans="1:7">
      <c r="A205" s="2372" t="s">
        <v>302</v>
      </c>
      <c r="B205" s="2361" t="s">
        <v>2801</v>
      </c>
      <c r="C205" s="2362">
        <v>0.13</v>
      </c>
      <c r="D205" s="2362">
        <v>0.13</v>
      </c>
      <c r="E205" s="2362">
        <v>0.13</v>
      </c>
      <c r="F205" s="2362">
        <v>0.13</v>
      </c>
      <c r="G205" s="2363">
        <v>0.13</v>
      </c>
    </row>
    <row r="206" spans="1:7">
      <c r="A206" s="2372" t="s">
        <v>302</v>
      </c>
      <c r="B206" s="2361" t="s">
        <v>2804</v>
      </c>
      <c r="C206" s="2362">
        <v>0.13</v>
      </c>
      <c r="D206" s="2362">
        <v>0.13</v>
      </c>
      <c r="E206" s="2362">
        <v>0.13</v>
      </c>
      <c r="F206" s="2362">
        <v>0.128</v>
      </c>
      <c r="G206" s="2363">
        <v>0.13</v>
      </c>
    </row>
    <row r="207" spans="1:7">
      <c r="A207" s="2372" t="s">
        <v>302</v>
      </c>
      <c r="B207" s="2361" t="s">
        <v>2806</v>
      </c>
      <c r="C207" s="2362">
        <v>0.13</v>
      </c>
      <c r="D207" s="2362">
        <v>0.13</v>
      </c>
      <c r="E207" s="2362">
        <v>0.13</v>
      </c>
      <c r="F207" s="2362">
        <v>0.13</v>
      </c>
      <c r="G207" s="2363">
        <v>0.13</v>
      </c>
    </row>
    <row r="208" spans="1:7">
      <c r="A208" s="2372" t="s">
        <v>302</v>
      </c>
      <c r="B208" s="2361" t="s">
        <v>2809</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2816</v>
      </c>
      <c r="C210" s="2362">
        <v>0.121</v>
      </c>
      <c r="D210" s="2362">
        <v>0.121</v>
      </c>
      <c r="E210" s="2362">
        <v>0.125</v>
      </c>
      <c r="F210" s="2362">
        <v>0.13</v>
      </c>
      <c r="G210" s="2363">
        <v>0.123</v>
      </c>
    </row>
    <row r="211" spans="1:7">
      <c r="A211" s="2372" t="s">
        <v>302</v>
      </c>
      <c r="B211" s="2361" t="s">
        <v>2819</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2831</v>
      </c>
      <c r="C214" s="2362">
        <v>0.128</v>
      </c>
      <c r="D214" s="2362">
        <v>0.128</v>
      </c>
      <c r="E214" s="2362">
        <v>0.13</v>
      </c>
      <c r="F214" s="2362">
        <v>0.13</v>
      </c>
      <c r="G214" s="2363">
        <v>0.13</v>
      </c>
    </row>
    <row r="215" spans="1:7">
      <c r="A215" s="2372" t="s">
        <v>302</v>
      </c>
      <c r="B215" s="2361" t="s">
        <v>2835</v>
      </c>
      <c r="C215" s="2362">
        <v>0.13</v>
      </c>
      <c r="D215" s="2362">
        <v>0.13</v>
      </c>
      <c r="E215" s="2362">
        <v>0.13</v>
      </c>
      <c r="F215" s="2362">
        <v>0.129</v>
      </c>
      <c r="G215" s="2363">
        <v>0.13</v>
      </c>
    </row>
    <row r="216" spans="1:7">
      <c r="A216" s="2372" t="s">
        <v>302</v>
      </c>
      <c r="B216" s="2361" t="s">
        <v>2842</v>
      </c>
      <c r="C216" s="2362">
        <v>0.13</v>
      </c>
      <c r="D216" s="2362">
        <v>0.13</v>
      </c>
      <c r="E216" s="2362">
        <v>0.13</v>
      </c>
      <c r="F216" s="2362">
        <v>0.13</v>
      </c>
      <c r="G216" s="2363">
        <v>0.13</v>
      </c>
    </row>
    <row r="217" spans="1:7">
      <c r="A217" s="2372" t="s">
        <v>302</v>
      </c>
      <c r="B217" s="2361" t="s">
        <v>2849</v>
      </c>
      <c r="C217" s="2362">
        <v>0.129</v>
      </c>
      <c r="D217" s="2362">
        <v>0.129</v>
      </c>
      <c r="E217" s="2362">
        <v>0.13</v>
      </c>
      <c r="F217" s="2362">
        <v>0.13</v>
      </c>
      <c r="G217" s="2363">
        <v>0.13</v>
      </c>
    </row>
    <row r="218" spans="1:7">
      <c r="A218" s="2372" t="s">
        <v>302</v>
      </c>
      <c r="B218" s="2361" t="s">
        <v>2855</v>
      </c>
      <c r="C218" s="2373"/>
      <c r="D218" s="2373"/>
      <c r="E218" s="2373"/>
      <c r="F218" s="2362">
        <v>0.05</v>
      </c>
      <c r="G218" s="2379"/>
    </row>
    <row r="219" spans="1:7">
      <c r="A219" s="2372" t="s">
        <v>302</v>
      </c>
      <c r="B219" s="2361" t="s">
        <v>2862</v>
      </c>
      <c r="C219" s="2373"/>
      <c r="D219" s="2373"/>
      <c r="E219" s="2373"/>
      <c r="F219" s="2362">
        <v>0.05</v>
      </c>
      <c r="G219" s="2379"/>
    </row>
    <row r="220" spans="1:7">
      <c r="A220" s="2372" t="s">
        <v>302</v>
      </c>
      <c r="B220" s="2361" t="s">
        <v>2868</v>
      </c>
      <c r="C220" s="2373"/>
      <c r="D220" s="2373"/>
      <c r="E220" s="2373"/>
      <c r="F220" s="2362">
        <v>0.05</v>
      </c>
      <c r="G220" s="2379"/>
    </row>
    <row r="221" spans="1:7">
      <c r="A221" s="2372" t="s">
        <v>302</v>
      </c>
      <c r="B221" s="2361" t="s">
        <v>2873</v>
      </c>
      <c r="C221" s="2373"/>
      <c r="D221" s="2373"/>
      <c r="E221" s="2373"/>
      <c r="F221" s="2362">
        <v>0.05</v>
      </c>
      <c r="G221" s="2379"/>
    </row>
    <row r="222" spans="1:7">
      <c r="A222" s="2372" t="s">
        <v>302</v>
      </c>
      <c r="B222" s="2361" t="s">
        <v>2877</v>
      </c>
      <c r="C222" s="2373"/>
      <c r="D222" s="2373"/>
      <c r="E222" s="2373"/>
      <c r="F222" s="2362">
        <v>0.05</v>
      </c>
      <c r="G222" s="2379"/>
    </row>
    <row r="223" spans="1:7">
      <c r="A223" s="2372" t="s">
        <v>302</v>
      </c>
      <c r="B223" s="2361" t="s">
        <v>2882</v>
      </c>
      <c r="C223" s="2373"/>
      <c r="D223" s="2373"/>
      <c r="E223" s="2373"/>
      <c r="F223" s="2362">
        <v>0.05</v>
      </c>
      <c r="G223" s="2379"/>
    </row>
    <row r="224" spans="1:7">
      <c r="A224" s="2372" t="s">
        <v>302</v>
      </c>
      <c r="B224" s="2361" t="s">
        <v>2887</v>
      </c>
      <c r="C224" s="2373"/>
      <c r="D224" s="2373"/>
      <c r="E224" s="2373"/>
      <c r="F224" s="2362">
        <v>0.05</v>
      </c>
      <c r="G224" s="2379"/>
    </row>
    <row r="225" spans="1:7">
      <c r="A225" s="2372" t="s">
        <v>302</v>
      </c>
      <c r="B225" s="2361" t="s">
        <v>2892</v>
      </c>
      <c r="C225" s="2373"/>
      <c r="D225" s="2373"/>
      <c r="E225" s="2373"/>
      <c r="F225" s="2362">
        <v>0.05</v>
      </c>
      <c r="G225" s="2379"/>
    </row>
    <row r="226" spans="1:7">
      <c r="A226" s="2372" t="s">
        <v>302</v>
      </c>
      <c r="B226" s="2361" t="s">
        <v>3094</v>
      </c>
      <c r="C226" s="2373"/>
      <c r="D226" s="2373"/>
      <c r="E226" s="2373"/>
      <c r="F226" s="2362">
        <v>0.05</v>
      </c>
      <c r="G226" s="2379"/>
    </row>
    <row r="227" spans="1:7">
      <c r="A227" s="2372" t="s">
        <v>302</v>
      </c>
      <c r="B227" s="2361" t="s">
        <v>3095</v>
      </c>
      <c r="C227" s="2373"/>
      <c r="D227" s="2373"/>
      <c r="E227" s="2373"/>
      <c r="F227" s="2362">
        <v>0.05</v>
      </c>
      <c r="G227" s="2379"/>
    </row>
    <row r="228" spans="1:7">
      <c r="A228" s="2372" t="s">
        <v>302</v>
      </c>
      <c r="B228" s="2361" t="s">
        <v>3096</v>
      </c>
      <c r="C228" s="2373"/>
      <c r="D228" s="2373"/>
      <c r="E228" s="2373"/>
      <c r="F228" s="2362">
        <v>0.05</v>
      </c>
      <c r="G228" s="2379"/>
    </row>
    <row r="229" spans="1:7">
      <c r="A229" s="2372" t="s">
        <v>302</v>
      </c>
      <c r="B229" s="2361" t="s">
        <v>3097</v>
      </c>
      <c r="C229" s="2373"/>
      <c r="D229" s="2373"/>
      <c r="E229" s="2373"/>
      <c r="F229" s="2362">
        <v>0.05</v>
      </c>
      <c r="G229" s="2379"/>
    </row>
    <row r="230" spans="1:7">
      <c r="A230" s="2372" t="s">
        <v>302</v>
      </c>
      <c r="B230" s="2361" t="s">
        <v>3098</v>
      </c>
      <c r="C230" s="2373"/>
      <c r="D230" s="2373"/>
      <c r="E230" s="2373"/>
      <c r="F230" s="2362">
        <v>0.05</v>
      </c>
      <c r="G230" s="2379"/>
    </row>
    <row r="231" spans="1:7">
      <c r="A231" s="2372" t="s">
        <v>302</v>
      </c>
      <c r="B231" s="2361" t="s">
        <v>3099</v>
      </c>
      <c r="C231" s="2373"/>
      <c r="D231" s="2373"/>
      <c r="E231" s="2373"/>
      <c r="F231" s="2362">
        <v>0.05</v>
      </c>
      <c r="G231" s="2379"/>
    </row>
    <row r="232" spans="1:7">
      <c r="A232" s="2372" t="s">
        <v>302</v>
      </c>
      <c r="B232" s="2361" t="s">
        <v>3100</v>
      </c>
      <c r="C232" s="2373"/>
      <c r="D232" s="2373"/>
      <c r="E232" s="2373"/>
      <c r="F232" s="2362">
        <v>0.05</v>
      </c>
      <c r="G232" s="2379"/>
    </row>
    <row r="233" spans="1:7" ht="14.25" thickBot="1">
      <c r="A233" s="2375" t="s">
        <v>302</v>
      </c>
      <c r="B233" s="2365" t="s">
        <v>3101</v>
      </c>
      <c r="C233" s="2367"/>
      <c r="D233" s="2367"/>
      <c r="E233" s="2367"/>
      <c r="F233" s="2366">
        <v>0.05</v>
      </c>
      <c r="G233" s="2380"/>
    </row>
    <row r="234" spans="1:7">
      <c r="A234" s="2371" t="s">
        <v>303</v>
      </c>
      <c r="B234" s="2357" t="s">
        <v>2750</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2770</v>
      </c>
      <c r="C238" s="2362">
        <v>0.14899999999999999</v>
      </c>
      <c r="D238" s="2362">
        <v>0.14899999999999999</v>
      </c>
      <c r="E238" s="2362">
        <v>0.15</v>
      </c>
      <c r="F238" s="2362">
        <v>0.15</v>
      </c>
      <c r="G238" s="2363">
        <v>0.15</v>
      </c>
    </row>
    <row r="239" spans="1:7">
      <c r="A239" s="2372" t="s">
        <v>303</v>
      </c>
      <c r="B239" s="2361" t="s">
        <v>2774</v>
      </c>
      <c r="C239" s="2362">
        <v>0.15</v>
      </c>
      <c r="D239" s="2362">
        <v>0.15</v>
      </c>
      <c r="E239" s="2362">
        <v>0.15</v>
      </c>
      <c r="F239" s="2362">
        <v>0.15</v>
      </c>
      <c r="G239" s="2363">
        <v>0.15</v>
      </c>
    </row>
    <row r="240" spans="1:7">
      <c r="A240" s="2372" t="s">
        <v>303</v>
      </c>
      <c r="B240" s="2361" t="s">
        <v>2779</v>
      </c>
      <c r="C240" s="2362">
        <v>0.15</v>
      </c>
      <c r="D240" s="2362">
        <v>0.15</v>
      </c>
      <c r="E240" s="2362">
        <v>0.15</v>
      </c>
      <c r="F240" s="2362">
        <v>0.15</v>
      </c>
      <c r="G240" s="2363">
        <v>0.15</v>
      </c>
    </row>
    <row r="241" spans="1:7">
      <c r="A241" s="2372" t="s">
        <v>303</v>
      </c>
      <c r="B241" s="2361" t="s">
        <v>2783</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2789</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2797</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2802</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2810</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2823</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2832</v>
      </c>
      <c r="C258" s="2362">
        <v>0.14299999999999999</v>
      </c>
      <c r="D258" s="2362">
        <v>0.14299999999999999</v>
      </c>
      <c r="E258" s="2362">
        <v>0.15</v>
      </c>
      <c r="F258" s="2362">
        <v>0.14799999999999999</v>
      </c>
      <c r="G258" s="2363">
        <v>0.14599999999999999</v>
      </c>
    </row>
    <row r="259" spans="1:7">
      <c r="A259" s="2372" t="s">
        <v>303</v>
      </c>
      <c r="B259" s="2361" t="s">
        <v>2836</v>
      </c>
      <c r="C259" s="2362">
        <v>0.14399999999999999</v>
      </c>
      <c r="D259" s="2362">
        <v>0.14399999999999999</v>
      </c>
      <c r="E259" s="2362">
        <v>0.14899999999999999</v>
      </c>
      <c r="F259" s="2362">
        <v>0.14699999999999999</v>
      </c>
      <c r="G259" s="2363">
        <v>0.14599999999999999</v>
      </c>
    </row>
    <row r="260" spans="1:7">
      <c r="A260" s="2372" t="s">
        <v>303</v>
      </c>
      <c r="B260" s="2361" t="s">
        <v>2843</v>
      </c>
      <c r="C260" s="2362">
        <v>0.109</v>
      </c>
      <c r="D260" s="2362">
        <v>0.111</v>
      </c>
      <c r="E260" s="2362">
        <v>0.13100000000000001</v>
      </c>
      <c r="F260" s="2362">
        <v>0.126</v>
      </c>
      <c r="G260" s="2363">
        <v>0.11899999999999999</v>
      </c>
    </row>
    <row r="261" spans="1:7">
      <c r="A261" s="2372" t="s">
        <v>303</v>
      </c>
      <c r="B261" s="2361" t="s">
        <v>2850</v>
      </c>
      <c r="C261" s="2362">
        <v>0.1</v>
      </c>
      <c r="D261" s="2362">
        <v>0.1</v>
      </c>
      <c r="E261" s="2362">
        <v>0.11799999999999999</v>
      </c>
      <c r="F261" s="2362">
        <v>0.108</v>
      </c>
      <c r="G261" s="2363">
        <v>0.107</v>
      </c>
    </row>
    <row r="262" spans="1:7">
      <c r="A262" s="2372" t="s">
        <v>303</v>
      </c>
      <c r="B262" s="2361" t="s">
        <v>2856</v>
      </c>
      <c r="C262" s="2362">
        <v>0.1</v>
      </c>
      <c r="D262" s="2362">
        <v>0.1</v>
      </c>
      <c r="E262" s="2362">
        <v>0.1</v>
      </c>
      <c r="F262" s="2362">
        <v>0.14099999999999999</v>
      </c>
      <c r="G262" s="2363">
        <v>0.1</v>
      </c>
    </row>
    <row r="263" spans="1:7">
      <c r="A263" s="2372" t="s">
        <v>303</v>
      </c>
      <c r="B263" s="2361" t="s">
        <v>2863</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2874</v>
      </c>
      <c r="C265" s="2373"/>
      <c r="D265" s="2373"/>
      <c r="E265" s="2373"/>
      <c r="F265" s="2362">
        <v>0.05</v>
      </c>
      <c r="G265" s="2379"/>
    </row>
    <row r="266" spans="1:7">
      <c r="A266" s="2372" t="s">
        <v>303</v>
      </c>
      <c r="B266" s="2361" t="s">
        <v>2878</v>
      </c>
      <c r="C266" s="2373"/>
      <c r="D266" s="2373"/>
      <c r="E266" s="2373"/>
      <c r="F266" s="2362">
        <v>0.05</v>
      </c>
      <c r="G266" s="2379"/>
    </row>
    <row r="267" spans="1:7">
      <c r="A267" s="2372" t="s">
        <v>303</v>
      </c>
      <c r="B267" s="2361" t="s">
        <v>2883</v>
      </c>
      <c r="C267" s="2373"/>
      <c r="D267" s="2373"/>
      <c r="E267" s="2373"/>
      <c r="F267" s="2362">
        <v>0.05</v>
      </c>
      <c r="G267" s="2379"/>
    </row>
    <row r="268" spans="1:7">
      <c r="A268" s="2372" t="s">
        <v>303</v>
      </c>
      <c r="B268" s="2361" t="s">
        <v>2888</v>
      </c>
      <c r="C268" s="2373"/>
      <c r="D268" s="2373"/>
      <c r="E268" s="2373"/>
      <c r="F268" s="2362">
        <v>0.05</v>
      </c>
      <c r="G268" s="2379"/>
    </row>
    <row r="269" spans="1:7">
      <c r="A269" s="2372" t="s">
        <v>303</v>
      </c>
      <c r="B269" s="2361" t="s">
        <v>2893</v>
      </c>
      <c r="C269" s="2373"/>
      <c r="D269" s="2373"/>
      <c r="E269" s="2373"/>
      <c r="F269" s="2362">
        <v>0.05</v>
      </c>
      <c r="G269" s="2379"/>
    </row>
    <row r="270" spans="1:7">
      <c r="A270" s="2372" t="s">
        <v>303</v>
      </c>
      <c r="B270" s="2361" t="s">
        <v>2898</v>
      </c>
      <c r="C270" s="2373"/>
      <c r="D270" s="2373"/>
      <c r="E270" s="2373"/>
      <c r="F270" s="2362">
        <v>0.05</v>
      </c>
      <c r="G270" s="2379"/>
    </row>
    <row r="271" spans="1:7">
      <c r="A271" s="2372" t="s">
        <v>303</v>
      </c>
      <c r="B271" s="2361" t="s">
        <v>3102</v>
      </c>
      <c r="C271" s="2373"/>
      <c r="D271" s="2373"/>
      <c r="E271" s="2373"/>
      <c r="F271" s="2362">
        <v>0.05</v>
      </c>
      <c r="G271" s="2379"/>
    </row>
    <row r="272" spans="1:7">
      <c r="A272" s="2372" t="s">
        <v>303</v>
      </c>
      <c r="B272" s="2361" t="s">
        <v>3103</v>
      </c>
      <c r="C272" s="2373"/>
      <c r="D272" s="2373"/>
      <c r="E272" s="2373"/>
      <c r="F272" s="2362">
        <v>0.05</v>
      </c>
      <c r="G272" s="2379"/>
    </row>
    <row r="273" spans="1:7">
      <c r="A273" s="2372" t="s">
        <v>303</v>
      </c>
      <c r="B273" s="2361" t="s">
        <v>3104</v>
      </c>
      <c r="C273" s="2373"/>
      <c r="D273" s="2373"/>
      <c r="E273" s="2373"/>
      <c r="F273" s="2362">
        <v>0.05</v>
      </c>
      <c r="G273" s="2379"/>
    </row>
    <row r="274" spans="1:7">
      <c r="A274" s="2372" t="s">
        <v>303</v>
      </c>
      <c r="B274" s="2361" t="s">
        <v>3105</v>
      </c>
      <c r="C274" s="2373"/>
      <c r="D274" s="2373"/>
      <c r="E274" s="2373"/>
      <c r="F274" s="2362">
        <v>0.05</v>
      </c>
      <c r="G274" s="2379"/>
    </row>
    <row r="275" spans="1:7">
      <c r="A275" s="2372" t="s">
        <v>303</v>
      </c>
      <c r="B275" s="2361" t="s">
        <v>3106</v>
      </c>
      <c r="C275" s="2373"/>
      <c r="D275" s="2373"/>
      <c r="E275" s="2373"/>
      <c r="F275" s="2362">
        <v>0.05</v>
      </c>
      <c r="G275" s="2379"/>
    </row>
    <row r="276" spans="1:7" ht="14.25" thickBot="1">
      <c r="A276" s="2375" t="s">
        <v>303</v>
      </c>
      <c r="B276" s="2365" t="s">
        <v>3107</v>
      </c>
      <c r="C276" s="2367"/>
      <c r="D276" s="2367"/>
      <c r="E276" s="2367"/>
      <c r="F276" s="2366">
        <v>0.05</v>
      </c>
      <c r="G276" s="2380"/>
    </row>
    <row r="277" spans="1:7">
      <c r="A277" s="2371" t="s">
        <v>304</v>
      </c>
      <c r="B277" s="2357" t="s">
        <v>2751</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2763</v>
      </c>
      <c r="C279" s="2362">
        <v>0.15</v>
      </c>
      <c r="D279" s="2362">
        <v>0.15</v>
      </c>
      <c r="E279" s="2362">
        <v>0.15</v>
      </c>
      <c r="F279" s="2362">
        <v>0.15</v>
      </c>
      <c r="G279" s="2363">
        <v>0.15</v>
      </c>
    </row>
    <row r="280" spans="1:7">
      <c r="A280" s="2372" t="s">
        <v>304</v>
      </c>
      <c r="B280" s="2361" t="s">
        <v>2767</v>
      </c>
      <c r="C280" s="2362">
        <v>0.15</v>
      </c>
      <c r="D280" s="2362">
        <v>0.15</v>
      </c>
      <c r="E280" s="2362">
        <v>0.15</v>
      </c>
      <c r="F280" s="2362">
        <v>0.15</v>
      </c>
      <c r="G280" s="2363">
        <v>0.15</v>
      </c>
    </row>
    <row r="281" spans="1:7">
      <c r="A281" s="2372" t="s">
        <v>304</v>
      </c>
      <c r="B281" s="2361" t="s">
        <v>2771</v>
      </c>
      <c r="C281" s="2362">
        <v>0.15</v>
      </c>
      <c r="D281" s="2362">
        <v>0.15</v>
      </c>
      <c r="E281" s="2362">
        <v>0.15</v>
      </c>
      <c r="F281" s="2362">
        <v>0.15</v>
      </c>
      <c r="G281" s="2363">
        <v>0.15</v>
      </c>
    </row>
    <row r="282" spans="1:7">
      <c r="A282" s="2372" t="s">
        <v>304</v>
      </c>
      <c r="B282" s="2361" t="s">
        <v>2775</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2790</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2795</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2805</v>
      </c>
      <c r="C293" s="2362">
        <v>0.15</v>
      </c>
      <c r="D293" s="2362">
        <v>0.15</v>
      </c>
      <c r="E293" s="2362">
        <v>0.15</v>
      </c>
      <c r="F293" s="2362">
        <v>0.14499999999999999</v>
      </c>
      <c r="G293" s="2363">
        <v>0.15</v>
      </c>
    </row>
    <row r="294" spans="1:7">
      <c r="A294" s="2372" t="s">
        <v>304</v>
      </c>
      <c r="B294" s="2361" t="s">
        <v>2807</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2824</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2837</v>
      </c>
      <c r="C302" s="2362">
        <v>0.15</v>
      </c>
      <c r="D302" s="2362">
        <v>0.15</v>
      </c>
      <c r="E302" s="2362">
        <v>0.15</v>
      </c>
      <c r="F302" s="2362">
        <v>0.14699999999999999</v>
      </c>
      <c r="G302" s="2363">
        <v>0.15</v>
      </c>
    </row>
    <row r="303" spans="1:7">
      <c r="A303" s="2372" t="s">
        <v>304</v>
      </c>
      <c r="B303" s="2361" t="s">
        <v>2844</v>
      </c>
      <c r="C303" s="2362">
        <v>0.15</v>
      </c>
      <c r="D303" s="2362">
        <v>0.15</v>
      </c>
      <c r="E303" s="2362">
        <v>0.15</v>
      </c>
      <c r="F303" s="2362">
        <v>0.14199999999999999</v>
      </c>
      <c r="G303" s="2363">
        <v>0.15</v>
      </c>
    </row>
    <row r="304" spans="1:7">
      <c r="A304" s="2372" t="s">
        <v>304</v>
      </c>
      <c r="B304" s="2361" t="s">
        <v>2851</v>
      </c>
      <c r="C304" s="2362">
        <v>0.15</v>
      </c>
      <c r="D304" s="2362">
        <v>0.15</v>
      </c>
      <c r="E304" s="2362">
        <v>0.15</v>
      </c>
      <c r="F304" s="2362">
        <v>0.14499999999999999</v>
      </c>
      <c r="G304" s="2363">
        <v>0.15</v>
      </c>
    </row>
    <row r="305" spans="1:7">
      <c r="A305" s="2372" t="s">
        <v>304</v>
      </c>
      <c r="B305" s="2361" t="s">
        <v>2857</v>
      </c>
      <c r="C305" s="2362">
        <v>0.15</v>
      </c>
      <c r="D305" s="2362">
        <v>0.15</v>
      </c>
      <c r="E305" s="2362">
        <v>0.15</v>
      </c>
      <c r="F305" s="2362">
        <v>0.111</v>
      </c>
      <c r="G305" s="2363">
        <v>0.15</v>
      </c>
    </row>
    <row r="306" spans="1:7">
      <c r="A306" s="2372" t="s">
        <v>304</v>
      </c>
      <c r="B306" s="2361" t="s">
        <v>2864</v>
      </c>
      <c r="C306" s="2362">
        <v>0.15</v>
      </c>
      <c r="D306" s="2362">
        <v>0.15</v>
      </c>
      <c r="E306" s="2362">
        <v>0.15</v>
      </c>
      <c r="F306" s="2362">
        <v>0.126</v>
      </c>
      <c r="G306" s="2363">
        <v>0.15</v>
      </c>
    </row>
    <row r="307" spans="1:7">
      <c r="A307" s="2372" t="s">
        <v>304</v>
      </c>
      <c r="B307" s="2361" t="s">
        <v>2869</v>
      </c>
      <c r="C307" s="2362">
        <v>0.15</v>
      </c>
      <c r="D307" s="2362">
        <v>0.15</v>
      </c>
      <c r="E307" s="2362">
        <v>0.15</v>
      </c>
      <c r="F307" s="2362">
        <v>0.12</v>
      </c>
      <c r="G307" s="2363">
        <v>0.15</v>
      </c>
    </row>
    <row r="308" spans="1:7">
      <c r="A308" s="2372" t="s">
        <v>304</v>
      </c>
      <c r="B308" s="2361" t="s">
        <v>2875</v>
      </c>
      <c r="C308" s="2362">
        <v>0.15</v>
      </c>
      <c r="D308" s="2362">
        <v>0.15</v>
      </c>
      <c r="E308" s="2362">
        <v>0.15</v>
      </c>
      <c r="F308" s="2362">
        <v>0.13</v>
      </c>
      <c r="G308" s="2363">
        <v>0.15</v>
      </c>
    </row>
    <row r="309" spans="1:7">
      <c r="A309" s="2372" t="s">
        <v>304</v>
      </c>
      <c r="B309" s="2361" t="s">
        <v>2879</v>
      </c>
      <c r="C309" s="2362">
        <v>0.15</v>
      </c>
      <c r="D309" s="2362">
        <v>0.15</v>
      </c>
      <c r="E309" s="2362">
        <v>0.15</v>
      </c>
      <c r="F309" s="2362">
        <v>0.14099999999999999</v>
      </c>
      <c r="G309" s="2363">
        <v>0.15</v>
      </c>
    </row>
    <row r="310" spans="1:7">
      <c r="A310" s="2372" t="s">
        <v>304</v>
      </c>
      <c r="B310" s="2361" t="s">
        <v>2884</v>
      </c>
      <c r="C310" s="2362">
        <v>0.15</v>
      </c>
      <c r="D310" s="2362">
        <v>0.15</v>
      </c>
      <c r="E310" s="2362">
        <v>0.15</v>
      </c>
      <c r="F310" s="2362">
        <v>0.15</v>
      </c>
      <c r="G310" s="2363">
        <v>0.15</v>
      </c>
    </row>
    <row r="311" spans="1:7">
      <c r="A311" s="2372" t="s">
        <v>304</v>
      </c>
      <c r="B311" s="2361" t="s">
        <v>2889</v>
      </c>
      <c r="C311" s="2362">
        <v>0.13200000000000001</v>
      </c>
      <c r="D311" s="2362">
        <v>0.13300000000000001</v>
      </c>
      <c r="E311" s="2362">
        <v>0.14499999999999999</v>
      </c>
      <c r="F311" s="2362">
        <v>0.14199999999999999</v>
      </c>
      <c r="G311" s="2363">
        <v>0.14000000000000001</v>
      </c>
    </row>
    <row r="312" spans="1:7">
      <c r="A312" s="2372" t="s">
        <v>304</v>
      </c>
      <c r="B312" s="2361" t="s">
        <v>2894</v>
      </c>
      <c r="C312" s="2362">
        <v>0.13800000000000001</v>
      </c>
      <c r="D312" s="2362">
        <v>0.14000000000000001</v>
      </c>
      <c r="E312" s="2362">
        <v>0.14599999999999999</v>
      </c>
      <c r="F312" s="2362">
        <v>0.14899999999999999</v>
      </c>
      <c r="G312" s="2363">
        <v>0.14199999999999999</v>
      </c>
    </row>
    <row r="313" spans="1:7">
      <c r="A313" s="2372" t="s">
        <v>304</v>
      </c>
      <c r="B313" s="2361" t="s">
        <v>2899</v>
      </c>
      <c r="C313" s="2362">
        <v>0.125</v>
      </c>
      <c r="D313" s="2362">
        <v>0.127</v>
      </c>
      <c r="E313" s="2362">
        <v>0.14399999999999999</v>
      </c>
      <c r="F313" s="2362">
        <v>0.115</v>
      </c>
      <c r="G313" s="2363">
        <v>0.13600000000000001</v>
      </c>
    </row>
    <row r="314" spans="1:7">
      <c r="A314" s="2372" t="s">
        <v>304</v>
      </c>
      <c r="B314" s="2361" t="s">
        <v>3108</v>
      </c>
      <c r="C314" s="2378"/>
      <c r="D314" s="2378"/>
      <c r="E314" s="2378"/>
      <c r="F314" s="2362">
        <v>0.05</v>
      </c>
      <c r="G314" s="2379"/>
    </row>
    <row r="315" spans="1:7">
      <c r="A315" s="2372" t="s">
        <v>304</v>
      </c>
      <c r="B315" s="2361" t="s">
        <v>3109</v>
      </c>
      <c r="C315" s="2378"/>
      <c r="D315" s="2378"/>
      <c r="E315" s="2378"/>
      <c r="F315" s="2362">
        <v>0.05</v>
      </c>
      <c r="G315" s="2379"/>
    </row>
    <row r="316" spans="1:7">
      <c r="A316" s="2372" t="s">
        <v>304</v>
      </c>
      <c r="B316" s="2361" t="s">
        <v>3110</v>
      </c>
      <c r="C316" s="2373"/>
      <c r="D316" s="2373"/>
      <c r="E316" s="2373"/>
      <c r="F316" s="2362">
        <v>0.05</v>
      </c>
      <c r="G316" s="2379"/>
    </row>
    <row r="317" spans="1:7">
      <c r="A317" s="2372" t="s">
        <v>304</v>
      </c>
      <c r="B317" s="2361" t="s">
        <v>3111</v>
      </c>
      <c r="C317" s="2373"/>
      <c r="D317" s="2373"/>
      <c r="E317" s="2373"/>
      <c r="F317" s="2362">
        <v>0.05</v>
      </c>
      <c r="G317" s="2379"/>
    </row>
    <row r="318" spans="1:7">
      <c r="A318" s="2372" t="s">
        <v>304</v>
      </c>
      <c r="B318" s="2361" t="s">
        <v>3112</v>
      </c>
      <c r="C318" s="2373"/>
      <c r="D318" s="2373"/>
      <c r="E318" s="2373"/>
      <c r="F318" s="2362">
        <v>0.05</v>
      </c>
      <c r="G318" s="2379"/>
    </row>
    <row r="319" spans="1:7">
      <c r="A319" s="2372" t="s">
        <v>304</v>
      </c>
      <c r="B319" s="2361" t="s">
        <v>3113</v>
      </c>
      <c r="C319" s="2373"/>
      <c r="D319" s="2373"/>
      <c r="E319" s="2373"/>
      <c r="F319" s="2362">
        <v>0.05</v>
      </c>
      <c r="G319" s="2379"/>
    </row>
    <row r="320" spans="1:7">
      <c r="A320" s="2372" t="s">
        <v>304</v>
      </c>
      <c r="B320" s="2361" t="s">
        <v>3114</v>
      </c>
      <c r="C320" s="2373"/>
      <c r="D320" s="2373"/>
      <c r="E320" s="2373"/>
      <c r="F320" s="2362">
        <v>0.05</v>
      </c>
      <c r="G320" s="2379"/>
    </row>
    <row r="321" spans="1:7">
      <c r="A321" s="2372" t="s">
        <v>304</v>
      </c>
      <c r="B321" s="2361" t="s">
        <v>3115</v>
      </c>
      <c r="C321" s="2373"/>
      <c r="D321" s="2373"/>
      <c r="E321" s="2373"/>
      <c r="F321" s="2362">
        <v>0.05</v>
      </c>
      <c r="G321" s="2379"/>
    </row>
    <row r="322" spans="1:7">
      <c r="A322" s="2372" t="s">
        <v>304</v>
      </c>
      <c r="B322" s="2361" t="s">
        <v>3116</v>
      </c>
      <c r="C322" s="2373"/>
      <c r="D322" s="2373"/>
      <c r="E322" s="2373"/>
      <c r="F322" s="2362">
        <v>0.05</v>
      </c>
      <c r="G322" s="2379"/>
    </row>
    <row r="323" spans="1:7">
      <c r="A323" s="2372" t="s">
        <v>304</v>
      </c>
      <c r="B323" s="2361" t="s">
        <v>3117</v>
      </c>
      <c r="C323" s="2373"/>
      <c r="D323" s="2373"/>
      <c r="E323" s="2373"/>
      <c r="F323" s="2362">
        <v>0.05</v>
      </c>
      <c r="G323" s="2379"/>
    </row>
    <row r="324" spans="1:7">
      <c r="A324" s="2372" t="s">
        <v>304</v>
      </c>
      <c r="B324" s="2361" t="s">
        <v>3118</v>
      </c>
      <c r="C324" s="2373"/>
      <c r="D324" s="2373"/>
      <c r="E324" s="2373"/>
      <c r="F324" s="2362">
        <v>0.05</v>
      </c>
      <c r="G324" s="2379"/>
    </row>
    <row r="325" spans="1:7">
      <c r="A325" s="2372" t="s">
        <v>304</v>
      </c>
      <c r="B325" s="2361" t="s">
        <v>3119</v>
      </c>
      <c r="C325" s="2373"/>
      <c r="D325" s="2373"/>
      <c r="E325" s="2373"/>
      <c r="F325" s="2362">
        <v>0.05</v>
      </c>
      <c r="G325" s="2379"/>
    </row>
    <row r="326" spans="1:7" ht="14.25" thickBot="1">
      <c r="A326" s="2375" t="s">
        <v>304</v>
      </c>
      <c r="B326" s="2365" t="s">
        <v>3120</v>
      </c>
      <c r="C326" s="2367"/>
      <c r="D326" s="2367"/>
      <c r="E326" s="2367"/>
      <c r="F326" s="2366">
        <v>0.05</v>
      </c>
      <c r="G326" s="2380"/>
    </row>
    <row r="327" spans="1:7">
      <c r="A327" s="2371" t="s">
        <v>305</v>
      </c>
      <c r="B327" s="2357" t="s">
        <v>2752</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2764</v>
      </c>
      <c r="C329" s="2362">
        <v>0.15</v>
      </c>
      <c r="D329" s="2362">
        <v>0.15</v>
      </c>
      <c r="E329" s="2362">
        <v>0.15</v>
      </c>
      <c r="F329" s="2362">
        <v>0.15</v>
      </c>
      <c r="G329" s="2363">
        <v>0.15</v>
      </c>
    </row>
    <row r="330" spans="1:7">
      <c r="A330" s="2372" t="s">
        <v>305</v>
      </c>
      <c r="B330" s="2361" t="s">
        <v>2768</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2776</v>
      </c>
      <c r="C332" s="2362">
        <v>0.15</v>
      </c>
      <c r="D332" s="2362">
        <v>0.15</v>
      </c>
      <c r="E332" s="2362">
        <v>0.15</v>
      </c>
      <c r="F332" s="2362">
        <v>0.15</v>
      </c>
      <c r="G332" s="2363">
        <v>0.15</v>
      </c>
    </row>
    <row r="333" spans="1:7">
      <c r="A333" s="2372" t="s">
        <v>305</v>
      </c>
      <c r="B333" s="2361" t="s">
        <v>2780</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2786</v>
      </c>
      <c r="C336" s="2362">
        <v>0.15</v>
      </c>
      <c r="D336" s="2362">
        <v>0.15</v>
      </c>
      <c r="E336" s="2362">
        <v>0.15</v>
      </c>
      <c r="F336" s="2362">
        <v>0.14199999999999999</v>
      </c>
      <c r="G336" s="2363">
        <v>0.15</v>
      </c>
    </row>
    <row r="337" spans="1:7">
      <c r="A337" s="2372" t="s">
        <v>305</v>
      </c>
      <c r="B337" s="2361" t="s">
        <v>2791</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2798</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2803</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2811</v>
      </c>
      <c r="C345" s="2362">
        <v>0.15</v>
      </c>
      <c r="D345" s="2362">
        <v>0.15</v>
      </c>
      <c r="E345" s="2362">
        <v>0.15</v>
      </c>
      <c r="F345" s="2362">
        <v>0.13800000000000001</v>
      </c>
      <c r="G345" s="2363">
        <v>0.15</v>
      </c>
    </row>
    <row r="346" spans="1:7">
      <c r="A346" s="2372" t="s">
        <v>305</v>
      </c>
      <c r="B346" s="2361" t="s">
        <v>2813</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2820</v>
      </c>
      <c r="C348" s="2362">
        <v>0.15</v>
      </c>
      <c r="D348" s="2362">
        <v>0.15</v>
      </c>
      <c r="E348" s="2362">
        <v>0.15</v>
      </c>
      <c r="F348" s="2362">
        <v>0.14399999999999999</v>
      </c>
      <c r="G348" s="2363">
        <v>0.15</v>
      </c>
    </row>
    <row r="349" spans="1:7">
      <c r="A349" s="2372" t="s">
        <v>305</v>
      </c>
      <c r="B349" s="2361" t="s">
        <v>2825</v>
      </c>
      <c r="C349" s="2362">
        <v>0.15</v>
      </c>
      <c r="D349" s="2362">
        <v>0.15</v>
      </c>
      <c r="E349" s="2362">
        <v>0.15</v>
      </c>
      <c r="F349" s="2362">
        <v>0.15</v>
      </c>
      <c r="G349" s="2363">
        <v>0.15</v>
      </c>
    </row>
    <row r="350" spans="1:7">
      <c r="A350" s="2372" t="s">
        <v>305</v>
      </c>
      <c r="B350" s="2361" t="s">
        <v>2828</v>
      </c>
      <c r="C350" s="2362">
        <v>0.15</v>
      </c>
      <c r="D350" s="2362">
        <v>0.15</v>
      </c>
      <c r="E350" s="2362">
        <v>0.15</v>
      </c>
      <c r="F350" s="2362">
        <v>0.14699999999999999</v>
      </c>
      <c r="G350" s="2363">
        <v>0.15</v>
      </c>
    </row>
    <row r="351" spans="1:7">
      <c r="A351" s="2372" t="s">
        <v>305</v>
      </c>
      <c r="B351" s="2361" t="s">
        <v>2833</v>
      </c>
      <c r="C351" s="2362">
        <v>0.15</v>
      </c>
      <c r="D351" s="2362">
        <v>0.15</v>
      </c>
      <c r="E351" s="2362">
        <v>0.15</v>
      </c>
      <c r="F351" s="2362">
        <v>0.13</v>
      </c>
      <c r="G351" s="2363">
        <v>0.15</v>
      </c>
    </row>
    <row r="352" spans="1:7">
      <c r="A352" s="2372" t="s">
        <v>305</v>
      </c>
      <c r="B352" s="2361" t="s">
        <v>2838</v>
      </c>
      <c r="C352" s="2362">
        <v>0.15</v>
      </c>
      <c r="D352" s="2362">
        <v>0.15</v>
      </c>
      <c r="E352" s="2362">
        <v>0.15</v>
      </c>
      <c r="F352" s="2362">
        <v>0.14599999999999999</v>
      </c>
      <c r="G352" s="2363">
        <v>0.15</v>
      </c>
    </row>
    <row r="353" spans="1:7">
      <c r="A353" s="2372" t="s">
        <v>305</v>
      </c>
      <c r="B353" s="2361" t="s">
        <v>2845</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2858</v>
      </c>
      <c r="C355" s="2362">
        <v>0.15</v>
      </c>
      <c r="D355" s="2362">
        <v>0.15</v>
      </c>
      <c r="E355" s="2362">
        <v>0.15</v>
      </c>
      <c r="F355" s="2362">
        <v>0.15</v>
      </c>
      <c r="G355" s="2363">
        <v>0.15</v>
      </c>
    </row>
    <row r="356" spans="1:7">
      <c r="A356" s="2372" t="s">
        <v>305</v>
      </c>
      <c r="B356" s="2361" t="s">
        <v>2865</v>
      </c>
      <c r="C356" s="2362">
        <v>0.15</v>
      </c>
      <c r="D356" s="2362">
        <v>0.15</v>
      </c>
      <c r="E356" s="2362">
        <v>0.15</v>
      </c>
      <c r="F356" s="2362">
        <v>0.15</v>
      </c>
      <c r="G356" s="2363">
        <v>0.15</v>
      </c>
    </row>
    <row r="357" spans="1:7" ht="14.25" thickBot="1">
      <c r="A357" s="2375" t="s">
        <v>305</v>
      </c>
      <c r="B357" s="2365" t="s">
        <v>2870</v>
      </c>
      <c r="C357" s="2366">
        <v>0.126</v>
      </c>
      <c r="D357" s="2366">
        <v>0.127</v>
      </c>
      <c r="E357" s="2366">
        <v>0.14299999999999999</v>
      </c>
      <c r="F357" s="2366">
        <v>0.125</v>
      </c>
      <c r="G357" s="2368">
        <v>0.129</v>
      </c>
    </row>
    <row r="358" spans="1:7">
      <c r="A358" s="2371" t="s">
        <v>2739</v>
      </c>
      <c r="B358" s="2357" t="s">
        <v>2753</v>
      </c>
      <c r="C358" s="2358">
        <v>0.15</v>
      </c>
      <c r="D358" s="2358">
        <v>0.15</v>
      </c>
      <c r="E358" s="2358">
        <v>0.15</v>
      </c>
      <c r="F358" s="2358">
        <v>0.15</v>
      </c>
      <c r="G358" s="2359">
        <v>0.15</v>
      </c>
    </row>
    <row r="359" spans="1:7">
      <c r="A359" s="2372" t="s">
        <v>2739</v>
      </c>
      <c r="B359" s="2361" t="s">
        <v>2759</v>
      </c>
      <c r="C359" s="2362">
        <v>0.1</v>
      </c>
      <c r="D359" s="2362">
        <v>0.1</v>
      </c>
      <c r="E359" s="2362">
        <v>0.1</v>
      </c>
      <c r="F359" s="2362">
        <v>0.1</v>
      </c>
      <c r="G359" s="2363">
        <v>0.1</v>
      </c>
    </row>
    <row r="360" spans="1:7">
      <c r="A360" s="2372" t="s">
        <v>2739</v>
      </c>
      <c r="B360" s="2361" t="s">
        <v>2765</v>
      </c>
      <c r="C360" s="2362">
        <v>0.15</v>
      </c>
      <c r="D360" s="2362">
        <v>0.15</v>
      </c>
      <c r="E360" s="2362">
        <v>0.15</v>
      </c>
      <c r="F360" s="2362">
        <v>0.14899999999999999</v>
      </c>
      <c r="G360" s="2363">
        <v>0.15</v>
      </c>
    </row>
    <row r="361" spans="1:7">
      <c r="A361" s="2372" t="s">
        <v>2739</v>
      </c>
      <c r="B361" s="2361" t="s">
        <v>151</v>
      </c>
      <c r="C361" s="2362">
        <v>0.15</v>
      </c>
      <c r="D361" s="2362">
        <v>0.15</v>
      </c>
      <c r="E361" s="2362">
        <v>0.15</v>
      </c>
      <c r="F361" s="2362">
        <v>0.115</v>
      </c>
      <c r="G361" s="2363">
        <v>0.15</v>
      </c>
    </row>
    <row r="362" spans="1:7">
      <c r="A362" s="2372" t="s">
        <v>2739</v>
      </c>
      <c r="B362" s="2361" t="s">
        <v>2772</v>
      </c>
      <c r="C362" s="2362">
        <v>0.15</v>
      </c>
      <c r="D362" s="2362">
        <v>0.15</v>
      </c>
      <c r="E362" s="2362">
        <v>0.15</v>
      </c>
      <c r="F362" s="2362">
        <v>0.106</v>
      </c>
      <c r="G362" s="2363">
        <v>0.15</v>
      </c>
    </row>
    <row r="363" spans="1:7">
      <c r="A363" s="2372" t="s">
        <v>2739</v>
      </c>
      <c r="B363" s="2361" t="s">
        <v>2777</v>
      </c>
      <c r="C363" s="2362">
        <v>0.15</v>
      </c>
      <c r="D363" s="2362">
        <v>0.15</v>
      </c>
      <c r="E363" s="2362">
        <v>0.15</v>
      </c>
      <c r="F363" s="2362">
        <v>0.14699999999999999</v>
      </c>
      <c r="G363" s="2363">
        <v>0.15</v>
      </c>
    </row>
    <row r="364" spans="1:7">
      <c r="A364" s="2372" t="s">
        <v>2739</v>
      </c>
      <c r="B364" s="2361" t="s">
        <v>2781</v>
      </c>
      <c r="C364" s="2362">
        <v>0.15</v>
      </c>
      <c r="D364" s="2362">
        <v>0.15</v>
      </c>
      <c r="E364" s="2362">
        <v>0.15</v>
      </c>
      <c r="F364" s="2362">
        <v>0.14799999999999999</v>
      </c>
      <c r="G364" s="2363">
        <v>0.15</v>
      </c>
    </row>
    <row r="365" spans="1:7">
      <c r="A365" s="2372" t="s">
        <v>2739</v>
      </c>
      <c r="B365" s="2361" t="s">
        <v>198</v>
      </c>
      <c r="C365" s="2362">
        <v>0.15</v>
      </c>
      <c r="D365" s="2362">
        <v>0.15</v>
      </c>
      <c r="E365" s="2362">
        <v>0.15</v>
      </c>
      <c r="F365" s="2362">
        <v>0.15</v>
      </c>
      <c r="G365" s="2363">
        <v>0.15</v>
      </c>
    </row>
    <row r="366" spans="1:7">
      <c r="A366" s="2372" t="s">
        <v>2739</v>
      </c>
      <c r="B366" s="2361" t="s">
        <v>2784</v>
      </c>
      <c r="C366" s="2362">
        <v>0.15</v>
      </c>
      <c r="D366" s="2362">
        <v>0.15</v>
      </c>
      <c r="E366" s="2362">
        <v>0.15</v>
      </c>
      <c r="F366" s="2362">
        <v>0.15</v>
      </c>
      <c r="G366" s="2363">
        <v>0.15</v>
      </c>
    </row>
    <row r="367" spans="1:7">
      <c r="A367" s="2372" t="s">
        <v>2739</v>
      </c>
      <c r="B367" s="2361" t="s">
        <v>2787</v>
      </c>
      <c r="C367" s="2362">
        <v>0.15</v>
      </c>
      <c r="D367" s="2362">
        <v>0.15</v>
      </c>
      <c r="E367" s="2362">
        <v>0.15</v>
      </c>
      <c r="F367" s="2362">
        <v>0.14699999999999999</v>
      </c>
      <c r="G367" s="2363">
        <v>0.15</v>
      </c>
    </row>
    <row r="368" spans="1:7">
      <c r="A368" s="2372" t="s">
        <v>2739</v>
      </c>
      <c r="B368" s="2361" t="s">
        <v>2792</v>
      </c>
      <c r="C368" s="2362">
        <v>0.15</v>
      </c>
      <c r="D368" s="2362">
        <v>0.15</v>
      </c>
      <c r="E368" s="2362">
        <v>0.15</v>
      </c>
      <c r="F368" s="2362">
        <v>0.13600000000000001</v>
      </c>
      <c r="G368" s="2363">
        <v>0.15</v>
      </c>
    </row>
    <row r="369" spans="1:7">
      <c r="A369" s="2372" t="s">
        <v>2739</v>
      </c>
      <c r="B369" s="2361" t="s">
        <v>212</v>
      </c>
      <c r="C369" s="2362">
        <v>0.15</v>
      </c>
      <c r="D369" s="2362">
        <v>0.15</v>
      </c>
      <c r="E369" s="2362">
        <v>0.15</v>
      </c>
      <c r="F369" s="2362">
        <v>0.14399999999999999</v>
      </c>
      <c r="G369" s="2363">
        <v>0.15</v>
      </c>
    </row>
    <row r="370" spans="1:7">
      <c r="A370" s="2372" t="s">
        <v>2739</v>
      </c>
      <c r="B370" s="2361" t="s">
        <v>219</v>
      </c>
      <c r="C370" s="2362">
        <v>0.15</v>
      </c>
      <c r="D370" s="2362">
        <v>0.15</v>
      </c>
      <c r="E370" s="2362">
        <v>0.15</v>
      </c>
      <c r="F370" s="2362">
        <v>0.14599999999999999</v>
      </c>
      <c r="G370" s="2363">
        <v>0.15</v>
      </c>
    </row>
    <row r="371" spans="1:7">
      <c r="A371" s="2372" t="s">
        <v>2739</v>
      </c>
      <c r="B371" s="2361" t="s">
        <v>227</v>
      </c>
      <c r="C371" s="2362">
        <v>0.15</v>
      </c>
      <c r="D371" s="2362">
        <v>0.15</v>
      </c>
      <c r="E371" s="2362">
        <v>0.15</v>
      </c>
      <c r="F371" s="2362">
        <v>0.12</v>
      </c>
      <c r="G371" s="2363">
        <v>0.15</v>
      </c>
    </row>
    <row r="372" spans="1:7">
      <c r="A372" s="2372" t="s">
        <v>2739</v>
      </c>
      <c r="B372" s="2361" t="s">
        <v>2800</v>
      </c>
      <c r="C372" s="2362">
        <v>0.15</v>
      </c>
      <c r="D372" s="2362">
        <v>0.15</v>
      </c>
      <c r="E372" s="2362">
        <v>0.15</v>
      </c>
      <c r="F372" s="2362">
        <v>0.14299999999999999</v>
      </c>
      <c r="G372" s="2363">
        <v>0.15</v>
      </c>
    </row>
    <row r="373" spans="1:7">
      <c r="A373" s="2372" t="s">
        <v>2739</v>
      </c>
      <c r="B373" s="2361" t="s">
        <v>256</v>
      </c>
      <c r="C373" s="2362">
        <v>0.15</v>
      </c>
      <c r="D373" s="2362">
        <v>0.15</v>
      </c>
      <c r="E373" s="2362">
        <v>0.15</v>
      </c>
      <c r="F373" s="2362">
        <v>0.14599999999999999</v>
      </c>
      <c r="G373" s="2363">
        <v>0.15</v>
      </c>
    </row>
    <row r="374" spans="1:7">
      <c r="A374" s="2372" t="s">
        <v>2739</v>
      </c>
      <c r="B374" s="2361" t="s">
        <v>264</v>
      </c>
      <c r="C374" s="2362">
        <v>0.15</v>
      </c>
      <c r="D374" s="2362">
        <v>0.15</v>
      </c>
      <c r="E374" s="2362">
        <v>0.15</v>
      </c>
      <c r="F374" s="2362">
        <v>0.14399999999999999</v>
      </c>
      <c r="G374" s="2363">
        <v>0.15</v>
      </c>
    </row>
    <row r="375" spans="1:7">
      <c r="A375" s="2372" t="s">
        <v>2739</v>
      </c>
      <c r="B375" s="2361" t="s">
        <v>2808</v>
      </c>
      <c r="C375" s="2362">
        <v>0.15</v>
      </c>
      <c r="D375" s="2362">
        <v>0.15</v>
      </c>
      <c r="E375" s="2362">
        <v>0.15</v>
      </c>
      <c r="F375" s="2362">
        <v>0.13</v>
      </c>
      <c r="G375" s="2363">
        <v>0.15</v>
      </c>
    </row>
    <row r="376" spans="1:7">
      <c r="A376" s="2372" t="s">
        <v>2739</v>
      </c>
      <c r="B376" s="2361" t="s">
        <v>275</v>
      </c>
      <c r="C376" s="2362">
        <v>0.15</v>
      </c>
      <c r="D376" s="2362">
        <v>0.15</v>
      </c>
      <c r="E376" s="2362">
        <v>0.15</v>
      </c>
      <c r="F376" s="2362">
        <v>0.14199999999999999</v>
      </c>
      <c r="G376" s="2363">
        <v>0.15</v>
      </c>
    </row>
    <row r="377" spans="1:7" ht="14.25" thickBot="1">
      <c r="A377" s="2375" t="s">
        <v>2739</v>
      </c>
      <c r="B377" s="2365" t="s">
        <v>2814</v>
      </c>
      <c r="C377" s="2366">
        <v>0.15</v>
      </c>
      <c r="D377" s="2366">
        <v>0.15</v>
      </c>
      <c r="E377" s="2366">
        <v>0.15</v>
      </c>
      <c r="F377" s="2366">
        <v>0.14000000000000001</v>
      </c>
      <c r="G377" s="2368">
        <v>0.15</v>
      </c>
    </row>
    <row r="378" spans="1:7">
      <c r="A378" s="2371" t="s">
        <v>2740</v>
      </c>
      <c r="B378" s="2357" t="s">
        <v>2754</v>
      </c>
      <c r="C378" s="2358">
        <v>0.15</v>
      </c>
      <c r="D378" s="2358">
        <v>0.15</v>
      </c>
      <c r="E378" s="2358">
        <v>0.15</v>
      </c>
      <c r="F378" s="2358">
        <v>0.107</v>
      </c>
      <c r="G378" s="2359">
        <v>0.15</v>
      </c>
    </row>
    <row r="379" spans="1:7">
      <c r="A379" s="2372" t="s">
        <v>2740</v>
      </c>
      <c r="B379" s="2361" t="s">
        <v>2760</v>
      </c>
      <c r="C379" s="2362">
        <v>0.15</v>
      </c>
      <c r="D379" s="2362">
        <v>0.15</v>
      </c>
      <c r="E379" s="2362">
        <v>0.15</v>
      </c>
      <c r="F379" s="2362">
        <v>0.115</v>
      </c>
      <c r="G379" s="2363">
        <v>0.14899999999999999</v>
      </c>
    </row>
    <row r="380" spans="1:7">
      <c r="A380" s="2372" t="s">
        <v>2740</v>
      </c>
      <c r="B380" s="2361" t="s">
        <v>2766</v>
      </c>
      <c r="C380" s="2362">
        <v>0.15</v>
      </c>
      <c r="D380" s="2362">
        <v>0.15</v>
      </c>
      <c r="E380" s="2362">
        <v>0.15</v>
      </c>
      <c r="F380" s="2362">
        <v>0.1</v>
      </c>
      <c r="G380" s="2363">
        <v>0.14799999999999999</v>
      </c>
    </row>
    <row r="381" spans="1:7">
      <c r="A381" s="2372" t="s">
        <v>2740</v>
      </c>
      <c r="B381" s="2361" t="s">
        <v>2769</v>
      </c>
      <c r="C381" s="2362">
        <v>0.15</v>
      </c>
      <c r="D381" s="2362">
        <v>0.15</v>
      </c>
      <c r="E381" s="2362">
        <v>0.15</v>
      </c>
      <c r="F381" s="2362">
        <v>0.126</v>
      </c>
      <c r="G381" s="2363">
        <v>0.15</v>
      </c>
    </row>
    <row r="382" spans="1:7">
      <c r="A382" s="2372" t="s">
        <v>2740</v>
      </c>
      <c r="B382" s="2361" t="s">
        <v>2773</v>
      </c>
      <c r="C382" s="2362">
        <v>0.15</v>
      </c>
      <c r="D382" s="2362">
        <v>0.15</v>
      </c>
      <c r="E382" s="2362">
        <v>0.15</v>
      </c>
      <c r="F382" s="2362">
        <v>0.15</v>
      </c>
      <c r="G382" s="2363">
        <v>0.15</v>
      </c>
    </row>
    <row r="383" spans="1:7">
      <c r="A383" s="2372" t="s">
        <v>2740</v>
      </c>
      <c r="B383" s="2361" t="s">
        <v>2778</v>
      </c>
      <c r="C383" s="2362">
        <v>0.15</v>
      </c>
      <c r="D383" s="2362">
        <v>0.15</v>
      </c>
      <c r="E383" s="2362">
        <v>0.15</v>
      </c>
      <c r="F383" s="2362">
        <v>0.14699999999999999</v>
      </c>
      <c r="G383" s="2363">
        <v>0.15</v>
      </c>
    </row>
    <row r="384" spans="1:7" ht="14.25" thickBot="1">
      <c r="A384" s="2382" t="s">
        <v>2740</v>
      </c>
      <c r="B384" s="2383" t="s">
        <v>2782</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27"/>
  </cols>
  <sheetData>
    <row r="1" spans="1:6">
      <c r="A1" s="4690" t="s">
        <v>3121</v>
      </c>
      <c r="B1" s="4690"/>
      <c r="C1" s="4690"/>
      <c r="D1" s="4690"/>
      <c r="E1" s="4690"/>
      <c r="F1" s="4691"/>
    </row>
    <row r="2" spans="1:6">
      <c r="A2" s="2386" t="s">
        <v>3122</v>
      </c>
    </row>
    <row r="3" spans="1:6">
      <c r="A3" s="2386" t="s">
        <v>3123</v>
      </c>
      <c r="F3" s="2387" t="s">
        <v>3124</v>
      </c>
    </row>
    <row r="4" spans="1:6">
      <c r="A4" s="2388" t="s">
        <v>659</v>
      </c>
      <c r="B4" s="2388" t="s">
        <v>660</v>
      </c>
      <c r="C4" s="2388" t="s">
        <v>19</v>
      </c>
      <c r="D4" s="2388" t="s">
        <v>661</v>
      </c>
      <c r="E4" s="2388" t="s">
        <v>3</v>
      </c>
      <c r="F4" s="2388" t="s">
        <v>3125</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46097</v>
      </c>
      <c r="B1" s="2317" t="s">
        <v>3264</v>
      </c>
      <c r="C1" s="2318"/>
      <c r="D1" s="2318"/>
      <c r="E1" s="2318"/>
      <c r="F1" s="2318"/>
      <c r="G1" s="2318"/>
      <c r="H1" s="2318"/>
      <c r="I1" s="2318"/>
      <c r="J1" s="2292"/>
      <c r="K1" s="2318" t="s">
        <v>448</v>
      </c>
      <c r="L1" s="2318"/>
      <c r="M1" s="2318"/>
      <c r="N1" s="2318"/>
      <c r="O1" s="2318"/>
      <c r="P1" s="2318"/>
      <c r="Q1" s="2292"/>
      <c r="R1" s="4692" t="s">
        <v>450</v>
      </c>
      <c r="S1" s="4693"/>
      <c r="T1" s="4693"/>
      <c r="U1" s="4693"/>
      <c r="V1" s="4693"/>
      <c r="W1" s="4693"/>
      <c r="X1" s="2292"/>
      <c r="Y1" s="4692" t="s">
        <v>451</v>
      </c>
      <c r="Z1" s="4693"/>
      <c r="AA1" s="4693"/>
      <c r="AB1" s="4693"/>
      <c r="AC1" s="4693"/>
      <c r="AD1" s="4693"/>
    </row>
    <row r="2" spans="1:44" s="1591" customFormat="1" ht="14.25" thickBot="1">
      <c r="B2" s="2278"/>
      <c r="C2" s="2279"/>
      <c r="D2" s="1592" t="s">
        <v>2699</v>
      </c>
      <c r="E2" s="1593" t="s">
        <v>2700</v>
      </c>
      <c r="F2" s="1593" t="s">
        <v>2701</v>
      </c>
      <c r="G2" s="1593" t="s">
        <v>2702</v>
      </c>
      <c r="H2" s="1593" t="s">
        <v>2703</v>
      </c>
      <c r="I2" s="1593" t="s">
        <v>2520</v>
      </c>
      <c r="J2" s="2280"/>
      <c r="K2" s="1592" t="s">
        <v>2699</v>
      </c>
      <c r="L2" s="1593" t="s">
        <v>2700</v>
      </c>
      <c r="M2" s="1593" t="s">
        <v>2701</v>
      </c>
      <c r="N2" s="1593" t="s">
        <v>2702</v>
      </c>
      <c r="O2" s="1593" t="s">
        <v>2704</v>
      </c>
      <c r="P2" s="1593" t="s">
        <v>2520</v>
      </c>
      <c r="Q2" s="2280"/>
      <c r="R2" s="1592" t="s">
        <v>2699</v>
      </c>
      <c r="S2" s="1593" t="s">
        <v>2700</v>
      </c>
      <c r="T2" s="1593" t="s">
        <v>2701</v>
      </c>
      <c r="U2" s="1593" t="s">
        <v>2705</v>
      </c>
      <c r="V2" s="1593" t="s">
        <v>2706</v>
      </c>
      <c r="W2" s="1593" t="s">
        <v>2520</v>
      </c>
      <c r="X2" s="2280"/>
      <c r="Y2" s="1592" t="s">
        <v>2699</v>
      </c>
      <c r="Z2" s="1593" t="s">
        <v>2700</v>
      </c>
      <c r="AA2" s="1593" t="s">
        <v>2701</v>
      </c>
      <c r="AB2" s="1593" t="s">
        <v>2707</v>
      </c>
      <c r="AC2" s="1593" t="s">
        <v>2706</v>
      </c>
      <c r="AD2" s="1593" t="s">
        <v>2520</v>
      </c>
      <c r="AF2" t="s">
        <v>3271</v>
      </c>
      <c r="AG2" t="s">
        <v>660</v>
      </c>
      <c r="AH2" t="s">
        <v>19</v>
      </c>
      <c r="AI2" t="s">
        <v>3272</v>
      </c>
      <c r="AJ2" t="s">
        <v>3</v>
      </c>
      <c r="AK2" t="s">
        <v>3273</v>
      </c>
      <c r="AM2" t="s">
        <v>3271</v>
      </c>
      <c r="AN2" t="s">
        <v>660</v>
      </c>
      <c r="AO2" t="s">
        <v>19</v>
      </c>
      <c r="AP2" t="s">
        <v>3272</v>
      </c>
      <c r="AQ2" t="s">
        <v>3</v>
      </c>
      <c r="AR2" t="s">
        <v>3273</v>
      </c>
    </row>
    <row r="3" spans="1:44" s="2283" customFormat="1" ht="12.75">
      <c r="A3" s="2281" t="s">
        <v>2708</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3639</v>
      </c>
      <c r="B5" s="2930">
        <v>2026</v>
      </c>
      <c r="C5" s="2931">
        <v>4</v>
      </c>
      <c r="D5" s="2937">
        <v>0</v>
      </c>
      <c r="E5" s="2937">
        <v>0</v>
      </c>
      <c r="F5" s="2937">
        <v>0</v>
      </c>
      <c r="G5" s="2937">
        <v>0</v>
      </c>
      <c r="H5" s="2937">
        <v>0</v>
      </c>
      <c r="I5" s="2938">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19" customFormat="1" ht="12.75">
      <c r="A6" s="1615" t="s">
        <v>3638</v>
      </c>
      <c r="B6" s="2930">
        <v>2026</v>
      </c>
      <c r="C6" s="2931">
        <v>3</v>
      </c>
      <c r="D6" s="2937">
        <v>0</v>
      </c>
      <c r="E6" s="2937">
        <v>0</v>
      </c>
      <c r="F6" s="2937">
        <v>0</v>
      </c>
      <c r="G6" s="2937">
        <v>0</v>
      </c>
      <c r="H6" s="2937">
        <v>0</v>
      </c>
      <c r="I6" s="2938">
        <f t="shared" ref="I6:I9" si="23">F6</f>
        <v>0</v>
      </c>
      <c r="J6" s="2303"/>
      <c r="K6" s="1617">
        <f t="shared" si="5"/>
        <v>0</v>
      </c>
      <c r="L6" s="1607">
        <f t="shared" si="6"/>
        <v>0</v>
      </c>
      <c r="M6" s="1607">
        <f t="shared" si="7"/>
        <v>0</v>
      </c>
      <c r="N6" s="1607">
        <f t="shared" si="8"/>
        <v>0</v>
      </c>
      <c r="O6" s="1607">
        <f t="shared" si="9"/>
        <v>0</v>
      </c>
      <c r="P6" s="1607">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7"/>
      <c r="Z6" s="1607"/>
      <c r="AA6" s="1607"/>
      <c r="AB6" s="1607"/>
      <c r="AC6" s="1607"/>
      <c r="AD6" s="1607"/>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19" customFormat="1" ht="12.75">
      <c r="A7" s="1615" t="s">
        <v>3637</v>
      </c>
      <c r="B7" s="2930">
        <v>2026</v>
      </c>
      <c r="C7" s="2931">
        <v>2</v>
      </c>
      <c r="D7" s="2937">
        <v>0</v>
      </c>
      <c r="E7" s="2937">
        <v>0</v>
      </c>
      <c r="F7" s="2937">
        <v>0</v>
      </c>
      <c r="G7" s="2937">
        <v>0</v>
      </c>
      <c r="H7" s="2937">
        <v>0</v>
      </c>
      <c r="I7" s="2938">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2.75">
      <c r="A8" s="2304" t="s">
        <v>3640</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19" customFormat="1" ht="12.75">
      <c r="A9" s="1615" t="s">
        <v>3636</v>
      </c>
      <c r="B9" s="2930">
        <v>2025</v>
      </c>
      <c r="C9" s="2931">
        <v>4</v>
      </c>
      <c r="D9" s="2937">
        <v>-0.61</v>
      </c>
      <c r="E9" s="2937">
        <v>-0.9</v>
      </c>
      <c r="F9" s="2937">
        <v>-0.47</v>
      </c>
      <c r="G9" s="2937">
        <v>0.11</v>
      </c>
      <c r="H9" s="2937">
        <v>0</v>
      </c>
      <c r="I9" s="2938">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19" customFormat="1" ht="12.75">
      <c r="A10" s="1615" t="s">
        <v>3641</v>
      </c>
      <c r="B10" s="2930">
        <v>2025</v>
      </c>
      <c r="C10" s="2931">
        <v>3</v>
      </c>
      <c r="D10" s="2937">
        <v>-0.45</v>
      </c>
      <c r="E10" s="2937">
        <v>-0.22</v>
      </c>
      <c r="F10" s="2937">
        <v>-0.82</v>
      </c>
      <c r="G10" s="2937">
        <v>-0.39</v>
      </c>
      <c r="H10" s="2937">
        <v>0.04</v>
      </c>
      <c r="I10" s="2938">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19" customFormat="1" ht="12.75">
      <c r="A11" s="1615" t="s">
        <v>3285</v>
      </c>
      <c r="B11" s="2930">
        <v>2025</v>
      </c>
      <c r="C11" s="2931">
        <v>2</v>
      </c>
      <c r="D11" s="2937">
        <v>0.05</v>
      </c>
      <c r="E11" s="2937">
        <v>-0.62</v>
      </c>
      <c r="F11" s="2937">
        <v>-1.05</v>
      </c>
      <c r="G11" s="2937">
        <v>0.09</v>
      </c>
      <c r="H11" s="2937">
        <v>0.17</v>
      </c>
      <c r="I11" s="2938">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19" customFormat="1" ht="12.75">
      <c r="A12" s="1615" t="s">
        <v>3276</v>
      </c>
      <c r="B12" s="2930">
        <v>2025</v>
      </c>
      <c r="C12" s="2931">
        <v>1</v>
      </c>
      <c r="D12" s="2937">
        <v>0.56999999999999995</v>
      </c>
      <c r="E12" s="2937">
        <v>-0.56999999999999995</v>
      </c>
      <c r="F12" s="2937">
        <v>-0.9</v>
      </c>
      <c r="G12" s="2937">
        <v>1.1200000000000001</v>
      </c>
      <c r="H12" s="2937">
        <v>0.42</v>
      </c>
      <c r="I12" s="2938">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19" customFormat="1" ht="12.75">
      <c r="A13" s="1615" t="s">
        <v>3275</v>
      </c>
      <c r="B13" s="2930">
        <v>2024</v>
      </c>
      <c r="C13" s="2931">
        <v>4</v>
      </c>
      <c r="D13" s="2937">
        <v>-1.02</v>
      </c>
      <c r="E13" s="2937">
        <v>-0.48</v>
      </c>
      <c r="F13" s="2937">
        <v>-0.75</v>
      </c>
      <c r="G13" s="2937">
        <v>-1.05</v>
      </c>
      <c r="H13" s="2937">
        <v>0.08</v>
      </c>
      <c r="I13" s="2938">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19" customFormat="1" ht="12.75">
      <c r="A14" s="1615" t="s">
        <v>3268</v>
      </c>
      <c r="B14" s="2930">
        <v>2024</v>
      </c>
      <c r="C14" s="2931">
        <v>3</v>
      </c>
      <c r="D14" s="2937">
        <v>-1.19</v>
      </c>
      <c r="E14" s="2937">
        <v>-0.47</v>
      </c>
      <c r="F14" s="2937">
        <v>-0.28999999999999998</v>
      </c>
      <c r="G14" s="2937">
        <v>-0.74</v>
      </c>
      <c r="H14" s="2937">
        <v>-0.21</v>
      </c>
      <c r="I14" s="2938">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19" customFormat="1" ht="12.75">
      <c r="A15" s="2301" t="s">
        <v>3262</v>
      </c>
      <c r="B15" s="2930">
        <v>2024</v>
      </c>
      <c r="C15" s="2931">
        <v>2</v>
      </c>
      <c r="D15" s="2937">
        <v>-0.59</v>
      </c>
      <c r="E15" s="2937">
        <v>-0.21</v>
      </c>
      <c r="F15" s="2937">
        <v>-1.38</v>
      </c>
      <c r="G15" s="2937">
        <v>-1.24</v>
      </c>
      <c r="H15" s="2942">
        <v>0.34</v>
      </c>
      <c r="I15" s="2938">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19" customFormat="1" ht="12.75">
      <c r="A16" s="2301" t="s">
        <v>3261</v>
      </c>
      <c r="B16" s="2930">
        <v>2024</v>
      </c>
      <c r="C16" s="2931">
        <v>1</v>
      </c>
      <c r="D16" s="2937">
        <v>0.08</v>
      </c>
      <c r="E16" s="2937">
        <v>0.46</v>
      </c>
      <c r="F16" s="2937">
        <v>-0.16</v>
      </c>
      <c r="G16" s="2937">
        <v>0.26</v>
      </c>
      <c r="H16" s="2942">
        <v>0.59</v>
      </c>
      <c r="I16" s="2938">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7"/>
      <c r="Z16" s="1607"/>
      <c r="AA16" s="1607"/>
      <c r="AB16" s="1607"/>
      <c r="AC16" s="1607"/>
      <c r="AD16" s="1607"/>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19" customFormat="1" ht="12.75">
      <c r="A17" s="2301" t="s">
        <v>3257</v>
      </c>
      <c r="B17" s="2930">
        <v>2023</v>
      </c>
      <c r="C17" s="2931">
        <v>4</v>
      </c>
      <c r="D17" s="2937">
        <v>0.19</v>
      </c>
      <c r="E17" s="2937">
        <v>0.24</v>
      </c>
      <c r="F17" s="2937">
        <v>-0.16</v>
      </c>
      <c r="G17" s="2937">
        <v>0.17</v>
      </c>
      <c r="H17" s="2942">
        <v>0.61</v>
      </c>
      <c r="I17" s="2938">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7"/>
      <c r="Z17" s="1607"/>
      <c r="AA17" s="1607"/>
      <c r="AB17" s="1607"/>
      <c r="AC17" s="1607"/>
      <c r="AD17" s="1607"/>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19" customFormat="1" ht="12.75">
      <c r="A18" s="2301" t="s">
        <v>3256</v>
      </c>
      <c r="B18" s="2930">
        <v>2023</v>
      </c>
      <c r="C18" s="2931">
        <v>3</v>
      </c>
      <c r="D18" s="2937">
        <v>0.25</v>
      </c>
      <c r="E18" s="2937">
        <v>0.5</v>
      </c>
      <c r="F18" s="2937">
        <v>0.31</v>
      </c>
      <c r="G18" s="2937">
        <v>0.21</v>
      </c>
      <c r="H18" s="2942">
        <v>0.43</v>
      </c>
      <c r="I18" s="2938">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7"/>
      <c r="Z18" s="1607"/>
      <c r="AA18" s="1607"/>
      <c r="AB18" s="1607"/>
      <c r="AC18" s="1607"/>
      <c r="AD18" s="1607"/>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19" customFormat="1" ht="12.75">
      <c r="A19" s="2301" t="s">
        <v>3254</v>
      </c>
      <c r="B19" s="2930">
        <v>2023</v>
      </c>
      <c r="C19" s="2931">
        <v>2</v>
      </c>
      <c r="D19" s="2937">
        <v>0.91</v>
      </c>
      <c r="E19" s="2937">
        <v>0.66</v>
      </c>
      <c r="F19" s="2937">
        <v>0.47</v>
      </c>
      <c r="G19" s="2937">
        <v>0.96</v>
      </c>
      <c r="H19" s="2942">
        <v>0.71</v>
      </c>
      <c r="I19" s="2938">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7"/>
      <c r="Z19" s="1607"/>
      <c r="AA19" s="1607"/>
      <c r="AB19" s="1607"/>
      <c r="AC19" s="1607"/>
      <c r="AD19" s="1607"/>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19" customFormat="1" ht="12.75">
      <c r="A20" s="2301" t="s">
        <v>3253</v>
      </c>
      <c r="B20" s="2930">
        <v>2023</v>
      </c>
      <c r="C20" s="2931">
        <v>1</v>
      </c>
      <c r="D20" s="2937">
        <v>0.89</v>
      </c>
      <c r="E20" s="2937">
        <v>0.74</v>
      </c>
      <c r="F20" s="2937">
        <v>0.56999999999999995</v>
      </c>
      <c r="G20" s="2937">
        <v>0.92</v>
      </c>
      <c r="H20" s="2942">
        <v>0.5</v>
      </c>
      <c r="I20" s="2938">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7"/>
      <c r="Z20" s="1607"/>
      <c r="AA20" s="1607"/>
      <c r="AB20" s="1607"/>
      <c r="AC20" s="1607"/>
      <c r="AD20" s="1607"/>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19" customFormat="1" ht="12.75">
      <c r="A21" s="2301" t="s">
        <v>3252</v>
      </c>
      <c r="B21" s="2930">
        <v>2022</v>
      </c>
      <c r="C21" s="2931">
        <v>4</v>
      </c>
      <c r="D21" s="2937">
        <v>0.62</v>
      </c>
      <c r="E21" s="2937">
        <v>0.2</v>
      </c>
      <c r="F21" s="2937">
        <v>0.11</v>
      </c>
      <c r="G21" s="2937">
        <v>0.69</v>
      </c>
      <c r="H21" s="2942">
        <v>0.53</v>
      </c>
      <c r="I21" s="2938">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19" customFormat="1" ht="12.75">
      <c r="A22" s="2301" t="s">
        <v>3250</v>
      </c>
      <c r="B22" s="2930">
        <v>2022</v>
      </c>
      <c r="C22" s="2931">
        <v>3</v>
      </c>
      <c r="D22" s="2937">
        <v>0.66</v>
      </c>
      <c r="E22" s="2937">
        <v>0.32</v>
      </c>
      <c r="F22" s="2937">
        <v>0.23</v>
      </c>
      <c r="G22" s="2937">
        <v>0.72</v>
      </c>
      <c r="H22" s="2942">
        <v>0.63</v>
      </c>
      <c r="I22" s="2938">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19" customFormat="1" ht="12.75">
      <c r="A23" s="2301" t="s">
        <v>3241</v>
      </c>
      <c r="B23" s="2930">
        <v>2022</v>
      </c>
      <c r="C23" s="2931">
        <v>2</v>
      </c>
      <c r="D23" s="2937">
        <v>0.93</v>
      </c>
      <c r="E23" s="2937">
        <v>0.15</v>
      </c>
      <c r="F23" s="2937">
        <v>0.01</v>
      </c>
      <c r="G23" s="2937">
        <v>1.05</v>
      </c>
      <c r="H23" s="2942">
        <v>1.08</v>
      </c>
      <c r="I23" s="2938">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19" customFormat="1" ht="12.75">
      <c r="A24" s="2301" t="s">
        <v>2709</v>
      </c>
      <c r="B24" s="2930">
        <v>2022</v>
      </c>
      <c r="C24" s="2931">
        <v>1</v>
      </c>
      <c r="D24" s="2937">
        <v>0.89</v>
      </c>
      <c r="E24" s="2937">
        <v>0.44</v>
      </c>
      <c r="F24" s="2937">
        <v>0.37</v>
      </c>
      <c r="G24" s="2937">
        <v>0.96</v>
      </c>
      <c r="H24" s="2942">
        <v>0.64</v>
      </c>
      <c r="I24" s="2938">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19" customFormat="1" ht="12.75">
      <c r="A25" s="2301" t="s">
        <v>2710</v>
      </c>
      <c r="B25" s="2930">
        <v>2021</v>
      </c>
      <c r="C25" s="2931">
        <v>4</v>
      </c>
      <c r="D25" s="2937">
        <v>1.03</v>
      </c>
      <c r="E25" s="2937">
        <v>0.24</v>
      </c>
      <c r="F25" s="2937">
        <v>7.0000000000000007E-2</v>
      </c>
      <c r="G25" s="2937">
        <v>1.17</v>
      </c>
      <c r="H25" s="2942">
        <v>0.55000000000000004</v>
      </c>
      <c r="I25" s="2938">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19" customFormat="1" ht="12.75">
      <c r="A26" s="2301" t="s">
        <v>2711</v>
      </c>
      <c r="B26" s="2930">
        <v>2021</v>
      </c>
      <c r="C26" s="2931">
        <v>3</v>
      </c>
      <c r="D26" s="2937">
        <v>0.47</v>
      </c>
      <c r="E26" s="2937">
        <v>0.41</v>
      </c>
      <c r="F26" s="2937">
        <v>0.24</v>
      </c>
      <c r="G26" s="2937">
        <v>0.48</v>
      </c>
      <c r="H26" s="2942">
        <v>0.48</v>
      </c>
      <c r="I26" s="2938">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19" customFormat="1" ht="12.75">
      <c r="A27" s="2301" t="s">
        <v>2712</v>
      </c>
      <c r="B27" s="2930">
        <v>2021</v>
      </c>
      <c r="C27" s="2931">
        <v>2</v>
      </c>
      <c r="D27" s="2937">
        <v>0.92</v>
      </c>
      <c r="E27" s="2937">
        <v>0.72</v>
      </c>
      <c r="F27" s="2937">
        <v>0.41</v>
      </c>
      <c r="G27" s="2937">
        <v>0.95</v>
      </c>
      <c r="H27" s="2942">
        <v>1.01</v>
      </c>
      <c r="I27" s="2938">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25" thickBot="1">
      <c r="A28" s="2310" t="s">
        <v>2713</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4" t="s">
        <v>3267</v>
      </c>
    </row>
    <row r="31" spans="1:44">
      <c r="I31" s="1049" t="s">
        <v>2714</v>
      </c>
    </row>
    <row r="33" spans="1:44" s="1590" customFormat="1" ht="12.75">
      <c r="B33" s="2317" t="s">
        <v>3265</v>
      </c>
      <c r="C33" s="2318"/>
      <c r="D33" s="2318"/>
      <c r="E33" s="2318"/>
      <c r="F33" s="2318"/>
      <c r="G33" s="2318"/>
      <c r="H33" s="2318"/>
      <c r="I33" s="2318"/>
      <c r="J33" s="2292"/>
      <c r="K33" s="2318" t="s">
        <v>2715</v>
      </c>
      <c r="L33" s="2318"/>
      <c r="M33" s="2318"/>
      <c r="N33" s="2318"/>
      <c r="O33" s="2318"/>
      <c r="P33" s="2318"/>
      <c r="Q33" s="2292"/>
      <c r="R33" s="4692" t="s">
        <v>2716</v>
      </c>
      <c r="S33" s="4693"/>
      <c r="T33" s="4693"/>
      <c r="U33" s="4693"/>
      <c r="V33" s="4693"/>
      <c r="W33" s="4693"/>
      <c r="X33" s="2292"/>
      <c r="Y33" s="4692" t="s">
        <v>2717</v>
      </c>
      <c r="Z33" s="4693"/>
      <c r="AA33" s="4693"/>
      <c r="AB33" s="4693"/>
      <c r="AC33" s="4693"/>
      <c r="AD33" s="4693"/>
    </row>
    <row r="34" spans="1:44" s="1591" customFormat="1" ht="14.25" thickBot="1">
      <c r="B34" s="2278"/>
      <c r="C34" s="2279"/>
      <c r="D34" s="1592" t="s">
        <v>2718</v>
      </c>
      <c r="E34" s="1593" t="s">
        <v>2719</v>
      </c>
      <c r="F34" s="1593" t="s">
        <v>2720</v>
      </c>
      <c r="G34" s="1593" t="s">
        <v>2721</v>
      </c>
      <c r="H34" s="1593"/>
      <c r="I34" s="1593" t="s">
        <v>2722</v>
      </c>
      <c r="J34" s="2280"/>
      <c r="K34" s="1592" t="s">
        <v>2718</v>
      </c>
      <c r="L34" s="1593" t="s">
        <v>2719</v>
      </c>
      <c r="M34" s="1593" t="s">
        <v>2720</v>
      </c>
      <c r="N34" s="1593" t="s">
        <v>2721</v>
      </c>
      <c r="O34" s="1593"/>
      <c r="P34" s="1593" t="s">
        <v>2722</v>
      </c>
      <c r="Q34" s="2280"/>
      <c r="R34" s="1592" t="s">
        <v>2718</v>
      </c>
      <c r="S34" s="1593" t="s">
        <v>2719</v>
      </c>
      <c r="T34" s="1593" t="s">
        <v>2720</v>
      </c>
      <c r="U34" s="1593" t="s">
        <v>2721</v>
      </c>
      <c r="V34" s="1593"/>
      <c r="W34" s="1593" t="s">
        <v>2722</v>
      </c>
      <c r="X34" s="2280"/>
      <c r="Y34" s="1592" t="s">
        <v>2718</v>
      </c>
      <c r="Z34" s="1593" t="s">
        <v>2719</v>
      </c>
      <c r="AA34" s="1593" t="s">
        <v>2720</v>
      </c>
      <c r="AB34" s="1593" t="s">
        <v>2721</v>
      </c>
      <c r="AC34" s="1593"/>
      <c r="AD34" s="1593" t="s">
        <v>2722</v>
      </c>
      <c r="AG34" t="s">
        <v>660</v>
      </c>
      <c r="AH34" t="s">
        <v>19</v>
      </c>
      <c r="AI34" t="s">
        <v>3272</v>
      </c>
      <c r="AJ34"/>
      <c r="AK34" t="s">
        <v>3273</v>
      </c>
      <c r="AN34" t="s">
        <v>660</v>
      </c>
      <c r="AO34" t="s">
        <v>19</v>
      </c>
      <c r="AP34" t="s">
        <v>3272</v>
      </c>
      <c r="AQ34"/>
      <c r="AR34" t="s">
        <v>3273</v>
      </c>
    </row>
    <row r="35" spans="1:44" s="2283" customFormat="1" ht="12.75">
      <c r="A35" s="2281" t="s">
        <v>2723</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3639</v>
      </c>
      <c r="B37" s="2930">
        <v>2026</v>
      </c>
      <c r="C37" s="2931">
        <v>4</v>
      </c>
      <c r="D37" s="2302"/>
      <c r="E37" s="2937">
        <v>0</v>
      </c>
      <c r="F37" s="2937">
        <v>0</v>
      </c>
      <c r="G37" s="2937">
        <v>0</v>
      </c>
      <c r="H37" s="2937"/>
      <c r="I37" s="2938">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19" customFormat="1" ht="12.75">
      <c r="A38" s="1615" t="s">
        <v>3638</v>
      </c>
      <c r="B38" s="2930">
        <v>2026</v>
      </c>
      <c r="C38" s="2931">
        <v>3</v>
      </c>
      <c r="D38" s="2302"/>
      <c r="E38" s="2937">
        <v>0</v>
      </c>
      <c r="F38" s="2937">
        <v>0</v>
      </c>
      <c r="G38" s="2937">
        <v>0</v>
      </c>
      <c r="H38" s="2937"/>
      <c r="I38" s="2938">
        <f t="shared" ref="I38:I41" si="165">F38</f>
        <v>0</v>
      </c>
      <c r="J38" s="2303"/>
      <c r="K38" s="1617"/>
      <c r="L38" s="1607">
        <f t="shared" si="157"/>
        <v>0</v>
      </c>
      <c r="M38" s="1607">
        <f t="shared" si="158"/>
        <v>0</v>
      </c>
      <c r="N38" s="1607">
        <f t="shared" si="159"/>
        <v>0</v>
      </c>
      <c r="O38" s="1607"/>
      <c r="P38" s="1607">
        <f t="shared" ref="P38:P41" si="166">M38</f>
        <v>0</v>
      </c>
      <c r="Q38" s="2303"/>
      <c r="R38" s="1606"/>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7"/>
      <c r="Z38" s="2298"/>
      <c r="AA38" s="1607"/>
      <c r="AB38" s="1607"/>
      <c r="AC38" s="2300"/>
      <c r="AD38" s="1607"/>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19" customFormat="1" ht="12.75">
      <c r="A39" s="1615" t="s">
        <v>3637</v>
      </c>
      <c r="B39" s="2930">
        <v>2026</v>
      </c>
      <c r="C39" s="2931">
        <v>2</v>
      </c>
      <c r="D39" s="2302"/>
      <c r="E39" s="2937">
        <v>0</v>
      </c>
      <c r="F39" s="2937">
        <v>0</v>
      </c>
      <c r="G39" s="2937">
        <v>0</v>
      </c>
      <c r="H39" s="2937"/>
      <c r="I39" s="2938">
        <f t="shared" si="165"/>
        <v>0</v>
      </c>
      <c r="J39" s="2303"/>
      <c r="K39" s="1617"/>
      <c r="L39" s="1607">
        <f t="shared" si="157"/>
        <v>0</v>
      </c>
      <c r="M39" s="1607">
        <f t="shared" si="158"/>
        <v>0</v>
      </c>
      <c r="N39" s="1607">
        <f t="shared" si="159"/>
        <v>0</v>
      </c>
      <c r="O39" s="1607"/>
      <c r="P39" s="1607">
        <f t="shared" si="166"/>
        <v>0</v>
      </c>
      <c r="Q39" s="2303"/>
      <c r="R39" s="1606"/>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7"/>
      <c r="Z39" s="2298"/>
      <c r="AA39" s="1607"/>
      <c r="AB39" s="1607"/>
      <c r="AC39" s="2300"/>
      <c r="AD39" s="1607"/>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2.75">
      <c r="A40" s="2304" t="s">
        <v>3642</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19" customFormat="1" ht="12.75">
      <c r="A41" s="1615" t="s">
        <v>3636</v>
      </c>
      <c r="B41" s="2930">
        <v>2025</v>
      </c>
      <c r="C41" s="2931">
        <v>4</v>
      </c>
      <c r="D41" s="2302"/>
      <c r="E41" s="2937">
        <v>-2.0499999999999998</v>
      </c>
      <c r="F41" s="2937">
        <v>-3.68</v>
      </c>
      <c r="G41" s="2937">
        <v>-2.4300000000000002</v>
      </c>
      <c r="H41" s="2937"/>
      <c r="I41" s="2938">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7"/>
      <c r="Z41" s="2298"/>
      <c r="AA41" s="1607"/>
      <c r="AB41" s="1607"/>
      <c r="AC41" s="2300"/>
      <c r="AD41" s="1607"/>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19" customFormat="1" ht="12.75">
      <c r="A42" s="1615" t="s">
        <v>3284</v>
      </c>
      <c r="B42" s="2930">
        <v>2025</v>
      </c>
      <c r="C42" s="2931">
        <v>3</v>
      </c>
      <c r="D42" s="2302"/>
      <c r="E42" s="2937">
        <v>-0.8</v>
      </c>
      <c r="F42" s="2937">
        <v>-1.45</v>
      </c>
      <c r="G42" s="2937">
        <v>-0.62</v>
      </c>
      <c r="H42" s="2937"/>
      <c r="I42" s="2938">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19" customFormat="1" ht="12.75">
      <c r="A43" s="1615" t="s">
        <v>3285</v>
      </c>
      <c r="B43" s="2930">
        <v>2025</v>
      </c>
      <c r="C43" s="2931">
        <v>2</v>
      </c>
      <c r="D43" s="2302"/>
      <c r="E43" s="2937">
        <v>-0.31</v>
      </c>
      <c r="F43" s="2937">
        <v>-1.03</v>
      </c>
      <c r="G43" s="2937">
        <v>0.03</v>
      </c>
      <c r="H43" s="2937"/>
      <c r="I43" s="2938">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19" customFormat="1" ht="12.75">
      <c r="A44" s="1615" t="s">
        <v>3274</v>
      </c>
      <c r="B44" s="2930">
        <v>2025</v>
      </c>
      <c r="C44" s="2931">
        <v>1</v>
      </c>
      <c r="D44" s="2302"/>
      <c r="E44" s="2937">
        <v>-1.47</v>
      </c>
      <c r="F44" s="2937">
        <v>-0.98</v>
      </c>
      <c r="G44" s="2937">
        <v>-0.51</v>
      </c>
      <c r="H44" s="2937"/>
      <c r="I44" s="2938">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19" customFormat="1" ht="12.75">
      <c r="A45" s="1615" t="s">
        <v>3275</v>
      </c>
      <c r="B45" s="2930">
        <v>2024</v>
      </c>
      <c r="C45" s="2931">
        <v>4</v>
      </c>
      <c r="D45" s="2302"/>
      <c r="E45" s="2937">
        <v>-0.61</v>
      </c>
      <c r="F45" s="2937">
        <v>-0.71</v>
      </c>
      <c r="G45" s="2937">
        <v>-0.88</v>
      </c>
      <c r="H45" s="2937"/>
      <c r="I45" s="2938">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19" customFormat="1" ht="12.75">
      <c r="A46" s="1615" t="s">
        <v>3259</v>
      </c>
      <c r="B46" s="2930">
        <v>2024</v>
      </c>
      <c r="C46" s="2931">
        <v>3</v>
      </c>
      <c r="D46" s="2302"/>
      <c r="E46" s="2937">
        <v>-0.66</v>
      </c>
      <c r="F46" s="2937">
        <v>-0.52</v>
      </c>
      <c r="G46" s="2937">
        <v>-2.87</v>
      </c>
      <c r="H46" s="2937"/>
      <c r="I46" s="2938">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19" customFormat="1" ht="12.75">
      <c r="A47" s="2301" t="s">
        <v>3263</v>
      </c>
      <c r="B47" s="2930">
        <v>2024</v>
      </c>
      <c r="C47" s="2931">
        <v>2</v>
      </c>
      <c r="D47" s="2302"/>
      <c r="E47" s="2937">
        <v>-0.31</v>
      </c>
      <c r="F47" s="2937">
        <v>-0.39</v>
      </c>
      <c r="G47" s="2937">
        <v>1.23</v>
      </c>
      <c r="H47" s="2942"/>
      <c r="I47" s="2938">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7"/>
      <c r="Z47" s="2298">
        <f t="shared" si="221"/>
        <v>3.3E-3</v>
      </c>
      <c r="AA47" s="2299">
        <f t="shared" si="221"/>
        <v>2.3999999999999998E-3</v>
      </c>
      <c r="AB47" s="1607">
        <f t="shared" si="221"/>
        <v>6.1999999999999998E-3</v>
      </c>
      <c r="AC47" s="2300"/>
      <c r="AD47" s="1607">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19" customFormat="1" ht="12.75">
      <c r="A48" s="2301" t="s">
        <v>3260</v>
      </c>
      <c r="B48" s="2930">
        <v>2024</v>
      </c>
      <c r="C48" s="2931">
        <v>1</v>
      </c>
      <c r="D48" s="2302"/>
      <c r="E48" s="2937">
        <v>0.25</v>
      </c>
      <c r="F48" s="2937">
        <v>0.4</v>
      </c>
      <c r="G48" s="2937">
        <v>-0.63</v>
      </c>
      <c r="H48" s="2942"/>
      <c r="I48" s="2938">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7"/>
      <c r="Z48" s="2298"/>
      <c r="AA48" s="2299"/>
      <c r="AB48" s="1607"/>
      <c r="AC48" s="2300"/>
      <c r="AD48" s="1607"/>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19" customFormat="1" ht="12.75">
      <c r="A49" s="2301" t="s">
        <v>3258</v>
      </c>
      <c r="B49" s="2930">
        <v>2023</v>
      </c>
      <c r="C49" s="2931">
        <v>4</v>
      </c>
      <c r="D49" s="2302"/>
      <c r="E49" s="2937">
        <v>7.0000000000000007E-2</v>
      </c>
      <c r="F49" s="2937">
        <v>0.09</v>
      </c>
      <c r="G49" s="2937">
        <v>0.03</v>
      </c>
      <c r="H49" s="2942"/>
      <c r="I49" s="2938">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7"/>
      <c r="Z49" s="2298"/>
      <c r="AA49" s="2299"/>
      <c r="AB49" s="1607"/>
      <c r="AC49" s="2300"/>
      <c r="AD49" s="1607"/>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19" customFormat="1" ht="12.75">
      <c r="A50" s="2301" t="s">
        <v>3256</v>
      </c>
      <c r="B50" s="2930">
        <v>2023</v>
      </c>
      <c r="C50" s="2931">
        <v>3</v>
      </c>
      <c r="D50" s="2302"/>
      <c r="E50" s="2937">
        <v>0.35</v>
      </c>
      <c r="F50" s="2937">
        <v>0.17</v>
      </c>
      <c r="G50" s="2937">
        <v>0.52</v>
      </c>
      <c r="H50" s="2942"/>
      <c r="I50" s="2938">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7"/>
      <c r="Z50" s="2298"/>
      <c r="AA50" s="2299"/>
      <c r="AB50" s="1607"/>
      <c r="AC50" s="2300"/>
      <c r="AD50" s="1607"/>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19" customFormat="1" ht="12.75">
      <c r="A51" s="2301" t="s">
        <v>3255</v>
      </c>
      <c r="B51" s="2930">
        <v>2023</v>
      </c>
      <c r="C51" s="2931">
        <v>2</v>
      </c>
      <c r="D51" s="2302"/>
      <c r="E51" s="2937">
        <v>0.5</v>
      </c>
      <c r="F51" s="2937">
        <v>0.45</v>
      </c>
      <c r="G51" s="2937">
        <v>0.89</v>
      </c>
      <c r="H51" s="2942"/>
      <c r="I51" s="2938">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7"/>
      <c r="Z51" s="2298"/>
      <c r="AA51" s="2299"/>
      <c r="AB51" s="1607"/>
      <c r="AC51" s="2300"/>
      <c r="AD51" s="1607"/>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19" customFormat="1" ht="12.75">
      <c r="A52" s="2301" t="s">
        <v>3253</v>
      </c>
      <c r="B52" s="2930">
        <v>2023</v>
      </c>
      <c r="C52" s="2931">
        <v>1</v>
      </c>
      <c r="D52" s="2302"/>
      <c r="E52" s="2937">
        <v>0.55000000000000004</v>
      </c>
      <c r="F52" s="2937">
        <v>0.59</v>
      </c>
      <c r="G52" s="2937">
        <v>0.64</v>
      </c>
      <c r="H52" s="2942"/>
      <c r="I52" s="2938">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7"/>
      <c r="Z52" s="2298"/>
      <c r="AA52" s="2299"/>
      <c r="AB52" s="1607"/>
      <c r="AC52" s="2300"/>
      <c r="AD52" s="1607"/>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19" customFormat="1" ht="12.75">
      <c r="A53" s="2301" t="s">
        <v>3252</v>
      </c>
      <c r="B53" s="2930">
        <v>2022</v>
      </c>
      <c r="C53" s="2931">
        <v>4</v>
      </c>
      <c r="D53" s="2302"/>
      <c r="E53" s="2937">
        <v>0.45</v>
      </c>
      <c r="F53" s="2937">
        <v>0.2</v>
      </c>
      <c r="G53" s="2937">
        <v>0.38</v>
      </c>
      <c r="H53" s="2942"/>
      <c r="I53" s="2938">
        <f t="shared" si="222"/>
        <v>0.2</v>
      </c>
      <c r="J53" s="2303"/>
      <c r="K53" s="1617"/>
      <c r="L53" s="1607">
        <f t="shared" si="223"/>
        <v>4.5000000000000005E-3</v>
      </c>
      <c r="M53" s="1607">
        <f t="shared" si="223"/>
        <v>2E-3</v>
      </c>
      <c r="N53" s="1607">
        <f t="shared" si="223"/>
        <v>3.8E-3</v>
      </c>
      <c r="O53" s="1607"/>
      <c r="P53" s="1607">
        <f t="shared" ref="P53:P60" si="237">M53</f>
        <v>2E-3</v>
      </c>
      <c r="Q53" s="2303"/>
      <c r="R53" s="1606"/>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19" customFormat="1" ht="12.75">
      <c r="A54" s="2301" t="s">
        <v>3251</v>
      </c>
      <c r="B54" s="2930">
        <v>2022</v>
      </c>
      <c r="C54" s="2931">
        <v>3</v>
      </c>
      <c r="D54" s="2302"/>
      <c r="E54" s="2937">
        <v>0.3</v>
      </c>
      <c r="F54" s="2937">
        <v>0.28999999999999998</v>
      </c>
      <c r="G54" s="2937">
        <v>0.83</v>
      </c>
      <c r="H54" s="2942"/>
      <c r="I54" s="2938">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19" customFormat="1" ht="12.75">
      <c r="A55" s="2301" t="s">
        <v>3241</v>
      </c>
      <c r="B55" s="2930">
        <v>2022</v>
      </c>
      <c r="C55" s="2931">
        <v>2</v>
      </c>
      <c r="D55" s="2302"/>
      <c r="E55" s="2937">
        <v>-0.11</v>
      </c>
      <c r="F55" s="2937">
        <v>-0.13</v>
      </c>
      <c r="G55" s="2937">
        <v>0.53</v>
      </c>
      <c r="H55" s="2942"/>
      <c r="I55" s="2938">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19" customFormat="1" ht="12.75">
      <c r="A56" s="2301" t="s">
        <v>2724</v>
      </c>
      <c r="B56" s="2930">
        <v>2022</v>
      </c>
      <c r="C56" s="2931">
        <v>1</v>
      </c>
      <c r="D56" s="2302"/>
      <c r="E56" s="2937">
        <v>0.6</v>
      </c>
      <c r="F56" s="2937">
        <v>0.45</v>
      </c>
      <c r="G56" s="2937">
        <v>0.53</v>
      </c>
      <c r="H56" s="2942"/>
      <c r="I56" s="2938">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19" customFormat="1" ht="12.75">
      <c r="A57" s="2301" t="s">
        <v>2725</v>
      </c>
      <c r="B57" s="2930">
        <v>2021</v>
      </c>
      <c r="C57" s="2931">
        <v>4</v>
      </c>
      <c r="D57" s="2302"/>
      <c r="E57" s="2937">
        <v>0.57999999999999996</v>
      </c>
      <c r="F57" s="2937">
        <v>0.08</v>
      </c>
      <c r="G57" s="2937">
        <v>0.68</v>
      </c>
      <c r="H57" s="2942"/>
      <c r="I57" s="2938">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7"/>
      <c r="Z57" s="2298">
        <f t="shared" si="239"/>
        <v>4.8999999999999998E-3</v>
      </c>
      <c r="AA57" s="2299">
        <f t="shared" si="239"/>
        <v>3.3E-3</v>
      </c>
      <c r="AB57" s="1607">
        <f t="shared" si="239"/>
        <v>9.1999999999999998E-3</v>
      </c>
      <c r="AC57" s="2300"/>
      <c r="AD57" s="1607">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19" customFormat="1" ht="12.75">
      <c r="A58" s="2301" t="s">
        <v>2726</v>
      </c>
      <c r="B58" s="2930">
        <v>2021</v>
      </c>
      <c r="C58" s="2931">
        <v>3</v>
      </c>
      <c r="D58" s="2302"/>
      <c r="E58" s="2937">
        <v>0.47</v>
      </c>
      <c r="F58" s="2937">
        <v>0.28000000000000003</v>
      </c>
      <c r="G58" s="2937">
        <v>0.91</v>
      </c>
      <c r="H58" s="2942"/>
      <c r="I58" s="2938">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19" customFormat="1" ht="12.75">
      <c r="A59" s="2301" t="s">
        <v>2727</v>
      </c>
      <c r="B59" s="2930">
        <v>2021</v>
      </c>
      <c r="C59" s="2931">
        <v>2</v>
      </c>
      <c r="D59" s="2302"/>
      <c r="E59" s="2937">
        <v>0.55000000000000004</v>
      </c>
      <c r="F59" s="2937">
        <v>0.46</v>
      </c>
      <c r="G59" s="2937">
        <v>1.1000000000000001</v>
      </c>
      <c r="H59" s="2942"/>
      <c r="I59" s="2938">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4.25" thickBot="1">
      <c r="A60" s="2310" t="s">
        <v>2713</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7" t="s">
        <v>446</v>
      </c>
      <c r="C1" s="4697"/>
      <c r="D1" s="4697"/>
      <c r="E1" s="4697"/>
      <c r="F1" s="4697"/>
      <c r="G1" s="4693" t="s">
        <v>447</v>
      </c>
      <c r="H1" s="4693"/>
      <c r="I1" s="4693"/>
      <c r="J1" s="4693"/>
      <c r="K1" s="4693"/>
      <c r="L1" s="4693"/>
      <c r="N1" s="4693" t="s">
        <v>448</v>
      </c>
      <c r="O1" s="4693"/>
      <c r="P1" s="4693"/>
      <c r="Q1" s="4693"/>
      <c r="S1" s="4693" t="s">
        <v>449</v>
      </c>
      <c r="T1" s="4693"/>
      <c r="U1" s="4693"/>
      <c r="V1" s="4693"/>
      <c r="X1" s="4692" t="s">
        <v>450</v>
      </c>
      <c r="Y1" s="4693"/>
      <c r="Z1" s="4693"/>
      <c r="AA1" s="4693"/>
      <c r="AB1" s="4693"/>
      <c r="AD1" s="4692" t="s">
        <v>451</v>
      </c>
      <c r="AE1" s="4693"/>
      <c r="AF1" s="4693"/>
      <c r="AG1" s="4693"/>
      <c r="AH1" s="4693"/>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2018</v>
      </c>
      <c r="B3" s="1596"/>
      <c r="C3" s="1596"/>
      <c r="D3" s="1597"/>
      <c r="E3" s="1597"/>
      <c r="F3" s="1596"/>
      <c r="G3" s="1598"/>
      <c r="I3" s="2977">
        <f>ROUND(AVERAGE($I4:$I40),2)</f>
        <v>1.55</v>
      </c>
      <c r="J3" s="2977">
        <f>ROUND(AVERAGE($J4:$J40),2)</f>
        <v>0.97</v>
      </c>
      <c r="K3" s="2977">
        <f>ROUND(AVERAGE($K4:$K40),2)</f>
        <v>1.66</v>
      </c>
      <c r="L3" s="2977">
        <f>ROUND(AVERAGE($L4:$L40),2)</f>
        <v>1.1000000000000001</v>
      </c>
      <c r="N3" s="1598"/>
      <c r="S3" s="1598"/>
      <c r="W3" s="1600"/>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3249</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30">
        <v>2022</v>
      </c>
      <c r="H5" s="2931">
        <v>1</v>
      </c>
      <c r="I5" s="2937">
        <v>0</v>
      </c>
      <c r="J5" s="2937">
        <v>0</v>
      </c>
      <c r="K5" s="2937">
        <v>0</v>
      </c>
      <c r="L5" s="2938">
        <v>0</v>
      </c>
      <c r="M5" s="1606"/>
      <c r="N5" s="1617">
        <f t="shared" ref="N5" si="7">I5/100</f>
        <v>0</v>
      </c>
      <c r="O5" s="1607">
        <f t="shared" ref="O5" si="8">J5/100</f>
        <v>0</v>
      </c>
      <c r="P5" s="1607">
        <f t="shared" ref="P5" si="9">K5/100</f>
        <v>0</v>
      </c>
      <c r="Q5" s="1607">
        <f t="shared" ref="Q5" si="10">L5/100</f>
        <v>0</v>
      </c>
      <c r="R5" s="1618"/>
      <c r="S5" s="1617"/>
      <c r="T5" s="1607"/>
      <c r="U5" s="1607"/>
      <c r="V5" s="1607"/>
      <c r="W5" s="1606"/>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3246</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30">
        <v>2022</v>
      </c>
      <c r="H6" s="2965">
        <v>1</v>
      </c>
      <c r="I6" s="2978">
        <v>0</v>
      </c>
      <c r="J6" s="2978">
        <v>0</v>
      </c>
      <c r="K6" s="2978">
        <v>0</v>
      </c>
      <c r="L6" s="2978">
        <v>0</v>
      </c>
      <c r="N6" s="1611">
        <f t="shared" ref="N6" si="18">I6/100</f>
        <v>0</v>
      </c>
      <c r="O6" s="1611">
        <f t="shared" ref="O6" si="19">J6/100</f>
        <v>0</v>
      </c>
      <c r="P6" s="1611">
        <f t="shared" ref="P6" si="20">K6/100</f>
        <v>0</v>
      </c>
      <c r="Q6" s="1611">
        <f t="shared" ref="Q6" si="21">L6/100</f>
        <v>0</v>
      </c>
      <c r="S6" s="1612"/>
      <c r="W6" s="1613"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3247</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30">
        <v>2022</v>
      </c>
      <c r="H7" s="2931">
        <v>1</v>
      </c>
      <c r="I7" s="2937">
        <v>0</v>
      </c>
      <c r="J7" s="2937">
        <v>0</v>
      </c>
      <c r="K7" s="2937">
        <v>0</v>
      </c>
      <c r="L7" s="2938">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3248</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30">
        <v>2022</v>
      </c>
      <c r="H8" s="2931">
        <v>1</v>
      </c>
      <c r="I8" s="2937"/>
      <c r="J8" s="2937"/>
      <c r="K8" s="2937">
        <v>0</v>
      </c>
      <c r="L8" s="2938">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2325</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30">
        <v>2021</v>
      </c>
      <c r="H9" s="2931">
        <v>4</v>
      </c>
      <c r="I9" s="2937">
        <v>1.03</v>
      </c>
      <c r="J9" s="2937">
        <v>0.24</v>
      </c>
      <c r="K9" s="2937">
        <v>1.17</v>
      </c>
      <c r="L9" s="2938">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2208</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30">
        <v>2021</v>
      </c>
      <c r="H10" s="2931">
        <v>3</v>
      </c>
      <c r="I10" s="2937">
        <v>0.47</v>
      </c>
      <c r="J10" s="2937">
        <v>0.41</v>
      </c>
      <c r="K10" s="2937">
        <v>0.48</v>
      </c>
      <c r="L10" s="2938">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2207</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30">
        <v>2021</v>
      </c>
      <c r="H11" s="2931">
        <v>2</v>
      </c>
      <c r="I11" s="2937">
        <v>0.92</v>
      </c>
      <c r="J11" s="2937">
        <v>0.72</v>
      </c>
      <c r="K11" s="2937">
        <v>0.95</v>
      </c>
      <c r="L11" s="2938">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2206</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30">
        <v>2021</v>
      </c>
      <c r="H12" s="2931">
        <v>1</v>
      </c>
      <c r="I12" s="2937">
        <v>0.97</v>
      </c>
      <c r="J12" s="2937">
        <v>0.16</v>
      </c>
      <c r="K12" s="2937">
        <v>1.1100000000000001</v>
      </c>
      <c r="L12" s="2938">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2203</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30">
        <v>2020</v>
      </c>
      <c r="H13" s="2931">
        <v>4</v>
      </c>
      <c r="I13" s="2937">
        <v>2.0699999999999998</v>
      </c>
      <c r="J13" s="2937">
        <v>0.37</v>
      </c>
      <c r="K13" s="2937">
        <v>2.35</v>
      </c>
      <c r="L13" s="2938">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2202</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30">
        <v>2020</v>
      </c>
      <c r="H14" s="2931">
        <v>3</v>
      </c>
      <c r="I14" s="2937">
        <v>0.36</v>
      </c>
      <c r="J14" s="2937">
        <v>-0.39</v>
      </c>
      <c r="K14" s="2937">
        <v>0.49</v>
      </c>
      <c r="L14" s="2938">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2034</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30">
        <v>2020</v>
      </c>
      <c r="H15" s="2931">
        <v>2</v>
      </c>
      <c r="I15" s="2937">
        <v>0.31</v>
      </c>
      <c r="J15" s="2937">
        <v>-0.78</v>
      </c>
      <c r="K15" s="2937">
        <v>0.5</v>
      </c>
      <c r="L15" s="2938">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2032</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30">
        <v>2020</v>
      </c>
      <c r="H16" s="2931">
        <v>1</v>
      </c>
      <c r="I16" s="2937">
        <v>0.12</v>
      </c>
      <c r="J16" s="2937">
        <v>-0.4</v>
      </c>
      <c r="K16" s="2937">
        <v>0.21</v>
      </c>
      <c r="L16" s="2938">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2031</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30">
        <v>2019</v>
      </c>
      <c r="H17" s="2931">
        <v>4</v>
      </c>
      <c r="I17" s="2929">
        <v>0.45</v>
      </c>
      <c r="J17" s="2929">
        <v>-0.12</v>
      </c>
      <c r="K17" s="2929">
        <v>0.54</v>
      </c>
      <c r="L17" s="2979">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2030</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30">
        <v>2019</v>
      </c>
      <c r="H18" s="2931">
        <v>3</v>
      </c>
      <c r="I18" s="2929">
        <v>0.61</v>
      </c>
      <c r="J18" s="2929">
        <v>0.67</v>
      </c>
      <c r="K18" s="2929">
        <v>0.6</v>
      </c>
      <c r="L18" s="2979">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2028</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30">
        <v>2019</v>
      </c>
      <c r="H19" s="2966">
        <v>2</v>
      </c>
      <c r="I19" s="2956">
        <v>1.53</v>
      </c>
      <c r="J19" s="2956">
        <v>1.01</v>
      </c>
      <c r="K19" s="2956">
        <v>1.62</v>
      </c>
      <c r="L19" s="2980">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2027</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30">
        <v>2019</v>
      </c>
      <c r="H20" s="2931">
        <v>1</v>
      </c>
      <c r="I20" s="2929">
        <v>0.6</v>
      </c>
      <c r="J20" s="2929">
        <v>0.37</v>
      </c>
      <c r="K20" s="2929">
        <v>0.63</v>
      </c>
      <c r="L20" s="2979">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2029</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5">
        <v>2018</v>
      </c>
      <c r="H21" s="2966">
        <v>4</v>
      </c>
      <c r="I21" s="2956">
        <v>0.96</v>
      </c>
      <c r="J21" s="2956">
        <v>1.03</v>
      </c>
      <c r="K21" s="2956">
        <v>0.92</v>
      </c>
      <c r="L21" s="2980">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2025</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5"/>
      <c r="H22" s="2931">
        <v>3</v>
      </c>
      <c r="I22" s="2929">
        <v>1.51</v>
      </c>
      <c r="J22" s="2929">
        <v>1.41</v>
      </c>
      <c r="K22" s="2929">
        <v>1.52</v>
      </c>
      <c r="L22" s="2979">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2024</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5"/>
      <c r="H23" s="2967">
        <v>2</v>
      </c>
      <c r="I23" s="2957">
        <v>1.49</v>
      </c>
      <c r="J23" s="2957">
        <v>0.96</v>
      </c>
      <c r="K23" s="2957">
        <v>1.58</v>
      </c>
      <c r="L23" s="2981">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2017</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2"/>
      <c r="H24" s="2931">
        <v>1</v>
      </c>
      <c r="I24" s="2929">
        <v>1.7</v>
      </c>
      <c r="J24" s="2929">
        <v>1.92</v>
      </c>
      <c r="K24" s="2929">
        <v>1.64</v>
      </c>
      <c r="L24" s="2979">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2015</v>
      </c>
      <c r="B25" s="1620">
        <v>439</v>
      </c>
      <c r="C25" s="1620">
        <v>327</v>
      </c>
      <c r="D25" s="1620">
        <f>C25</f>
        <v>327</v>
      </c>
      <c r="E25" s="1620">
        <v>627</v>
      </c>
      <c r="F25" s="1621">
        <v>283</v>
      </c>
      <c r="G25" s="4698">
        <v>2017</v>
      </c>
      <c r="H25" s="2966">
        <v>4</v>
      </c>
      <c r="I25" s="2956">
        <v>1.71</v>
      </c>
      <c r="J25" s="2956">
        <v>1.78</v>
      </c>
      <c r="K25" s="2956">
        <v>1.71</v>
      </c>
      <c r="L25" s="2980">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2016</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5"/>
      <c r="H26" s="2931">
        <v>3</v>
      </c>
      <c r="I26" s="2929">
        <v>2.98</v>
      </c>
      <c r="J26" s="2929">
        <v>2.11</v>
      </c>
      <c r="K26" s="2929">
        <v>3.24</v>
      </c>
      <c r="L26" s="2979">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8">
        <f>ROUND(SUMPRODUCT(PRODUCT(1+N26:N$39)),4)</f>
        <v>1.4034</v>
      </c>
      <c r="Y26" s="2948">
        <f>ROUND(SUMPRODUCT(PRODUCT(1+O26:O$39)),4)</f>
        <v>1.2463</v>
      </c>
      <c r="Z26" s="2948">
        <f t="shared" si="0"/>
        <v>1.2463</v>
      </c>
      <c r="AA26" s="2948">
        <f>ROUND(SUMPRODUCT(PRODUCT(1+P26:P$39)),4)</f>
        <v>1.4577</v>
      </c>
      <c r="AB26" s="2948">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5"/>
      <c r="H27" s="2967">
        <v>2</v>
      </c>
      <c r="I27" s="2957">
        <v>3.4</v>
      </c>
      <c r="J27" s="2957">
        <v>2</v>
      </c>
      <c r="K27" s="2957">
        <v>3.82</v>
      </c>
      <c r="L27" s="2981">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2"/>
      <c r="H28" s="2931">
        <v>1</v>
      </c>
      <c r="I28" s="2929">
        <v>3.45</v>
      </c>
      <c r="J28" s="2929">
        <v>1.92</v>
      </c>
      <c r="K28" s="2929">
        <v>3.92</v>
      </c>
      <c r="L28" s="2979">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8">
        <v>2016</v>
      </c>
      <c r="H29" s="2966">
        <v>4</v>
      </c>
      <c r="I29" s="2956">
        <v>4.5599999999999996</v>
      </c>
      <c r="J29" s="2956">
        <v>2.15</v>
      </c>
      <c r="K29" s="2956">
        <v>5.32</v>
      </c>
      <c r="L29" s="2980">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5"/>
      <c r="H30" s="2931">
        <v>3</v>
      </c>
      <c r="I30" s="2929">
        <v>4.12</v>
      </c>
      <c r="J30" s="2929">
        <v>2</v>
      </c>
      <c r="K30" s="2929">
        <v>4.79</v>
      </c>
      <c r="L30" s="2979">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5"/>
      <c r="H31" s="2967">
        <v>2</v>
      </c>
      <c r="I31" s="2957">
        <v>3.85</v>
      </c>
      <c r="J31" s="2957">
        <v>1.95</v>
      </c>
      <c r="K31" s="2957">
        <v>4.4800000000000004</v>
      </c>
      <c r="L31" s="2981">
        <v>1.41</v>
      </c>
      <c r="N31" s="1617">
        <f t="shared" si="248"/>
        <v>3.85E-2</v>
      </c>
      <c r="O31" s="1607">
        <f t="shared" si="243"/>
        <v>1.95E-2</v>
      </c>
      <c r="P31" s="1607">
        <f t="shared" si="243"/>
        <v>4.4800000000000006E-2</v>
      </c>
      <c r="Q31" s="1607">
        <f t="shared" si="243"/>
        <v>1.41E-2</v>
      </c>
      <c r="R31" s="1618"/>
      <c r="S31" s="1617"/>
      <c r="T31" s="1607"/>
      <c r="U31" s="1607"/>
      <c r="V31" s="1607"/>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6"/>
      <c r="H32" s="2931">
        <v>1</v>
      </c>
      <c r="I32" s="2929">
        <v>4.09</v>
      </c>
      <c r="J32" s="2929">
        <v>2.93</v>
      </c>
      <c r="K32" s="2929">
        <v>4.54</v>
      </c>
      <c r="L32" s="2979">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4">
        <v>2015</v>
      </c>
      <c r="H33" s="2968">
        <v>4</v>
      </c>
      <c r="I33" s="2958">
        <v>1.63</v>
      </c>
      <c r="J33" s="2958">
        <v>1.1100000000000001</v>
      </c>
      <c r="K33" s="2958">
        <v>1.77</v>
      </c>
      <c r="L33" s="2982">
        <v>1.89</v>
      </c>
      <c r="N33" s="1626">
        <f t="shared" si="248"/>
        <v>1.6299999999999999E-2</v>
      </c>
      <c r="O33" s="1627">
        <f t="shared" si="243"/>
        <v>1.11E-2</v>
      </c>
      <c r="P33" s="1627">
        <f t="shared" si="243"/>
        <v>1.77E-2</v>
      </c>
      <c r="Q33" s="1627">
        <f t="shared" si="243"/>
        <v>1.89E-2</v>
      </c>
      <c r="R33" s="1618"/>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5"/>
      <c r="H34" s="2969">
        <v>3</v>
      </c>
      <c r="I34" s="2959">
        <v>1.65</v>
      </c>
      <c r="J34" s="2959">
        <v>0.92</v>
      </c>
      <c r="K34" s="2959">
        <v>1.88</v>
      </c>
      <c r="L34" s="2983">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5"/>
      <c r="H35" s="2967">
        <v>2</v>
      </c>
      <c r="I35" s="2957">
        <v>0.77</v>
      </c>
      <c r="J35" s="2957">
        <v>0.69</v>
      </c>
      <c r="K35" s="2957">
        <v>0.8</v>
      </c>
      <c r="L35" s="2981">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6"/>
      <c r="H36" s="2931">
        <v>1</v>
      </c>
      <c r="I36" s="2929">
        <v>0.51</v>
      </c>
      <c r="J36" s="2929">
        <v>0.54</v>
      </c>
      <c r="K36" s="2929">
        <v>0.48</v>
      </c>
      <c r="L36" s="2979">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4">
        <v>2014</v>
      </c>
      <c r="H37" s="2968">
        <v>4</v>
      </c>
      <c r="I37" s="2958">
        <v>0.21</v>
      </c>
      <c r="J37" s="2958">
        <v>0.41</v>
      </c>
      <c r="K37" s="2958">
        <v>0.12</v>
      </c>
      <c r="L37" s="2982">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5"/>
      <c r="H38" s="2970">
        <v>3</v>
      </c>
      <c r="I38" s="2960">
        <v>0.83</v>
      </c>
      <c r="J38" s="2960">
        <v>1.47</v>
      </c>
      <c r="K38" s="2960">
        <v>0.65</v>
      </c>
      <c r="L38" s="2984">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5"/>
      <c r="H39" s="2968">
        <v>2</v>
      </c>
      <c r="I39" s="2958">
        <v>2.4</v>
      </c>
      <c r="J39" s="2958">
        <v>2.0299999999999998</v>
      </c>
      <c r="K39" s="2958">
        <v>2.59</v>
      </c>
      <c r="L39" s="2982">
        <v>1.52</v>
      </c>
      <c r="N39" s="1617">
        <f t="shared" si="248"/>
        <v>2.4E-2</v>
      </c>
      <c r="O39" s="1607">
        <f t="shared" si="243"/>
        <v>2.0299999999999999E-2</v>
      </c>
      <c r="P39" s="1607">
        <f t="shared" si="243"/>
        <v>2.5899999999999999E-2</v>
      </c>
      <c r="Q39" s="1607">
        <f t="shared" si="243"/>
        <v>1.52E-2</v>
      </c>
      <c r="R39" s="1618"/>
      <c r="S39" s="1617"/>
      <c r="T39" s="1607"/>
      <c r="U39" s="1607"/>
      <c r="V39" s="1607"/>
      <c r="X39" s="2948">
        <f>1+N39</f>
        <v>1.024</v>
      </c>
      <c r="Y39" s="2948">
        <f>1+O39</f>
        <v>1.0203</v>
      </c>
      <c r="Z39" s="2948">
        <f t="shared" si="253"/>
        <v>1.0203</v>
      </c>
      <c r="AA39" s="2948">
        <f>1+P39</f>
        <v>1.0259</v>
      </c>
      <c r="AB39" s="2948">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6"/>
      <c r="H40" s="2971">
        <v>1</v>
      </c>
      <c r="I40" s="2961">
        <v>2.97</v>
      </c>
      <c r="J40" s="2961">
        <v>2.34</v>
      </c>
      <c r="K40" s="2961">
        <v>3.28</v>
      </c>
      <c r="L40" s="2985">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1">
        <v>1</v>
      </c>
      <c r="Y40" s="2991">
        <v>1</v>
      </c>
      <c r="Z40" s="2991">
        <v>1</v>
      </c>
      <c r="AA40" s="2991">
        <v>1</v>
      </c>
      <c r="AB40" s="2991">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9">
        <v>2013</v>
      </c>
      <c r="H41" s="2972">
        <v>4</v>
      </c>
      <c r="I41" s="2962">
        <v>1.83</v>
      </c>
      <c r="J41" s="2962">
        <v>1.68</v>
      </c>
      <c r="K41" s="2962">
        <v>1.97</v>
      </c>
      <c r="L41" s="2986">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0"/>
      <c r="H42" s="2969">
        <v>3</v>
      </c>
      <c r="I42" s="2959">
        <v>1.86</v>
      </c>
      <c r="J42" s="2959">
        <v>1.72</v>
      </c>
      <c r="K42" s="2959">
        <v>1.98</v>
      </c>
      <c r="L42" s="2983">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0"/>
      <c r="H43" s="2967">
        <v>2</v>
      </c>
      <c r="I43" s="2957">
        <v>2.04</v>
      </c>
      <c r="J43" s="2957">
        <v>2.33</v>
      </c>
      <c r="K43" s="2957">
        <v>2.0699999999999998</v>
      </c>
      <c r="L43" s="2981">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1"/>
      <c r="H44" s="2931">
        <v>1</v>
      </c>
      <c r="I44" s="2929">
        <v>1.67</v>
      </c>
      <c r="J44" s="2929">
        <v>1.31</v>
      </c>
      <c r="K44" s="2929">
        <v>1.85</v>
      </c>
      <c r="L44" s="2979">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4">
        <v>2012</v>
      </c>
      <c r="H45" s="2968">
        <v>4</v>
      </c>
      <c r="I45" s="2958">
        <v>0.91</v>
      </c>
      <c r="J45" s="2958">
        <v>0.68</v>
      </c>
      <c r="K45" s="2958">
        <v>0.98</v>
      </c>
      <c r="L45" s="2982">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5"/>
      <c r="H46" s="2969">
        <v>3</v>
      </c>
      <c r="I46" s="2959">
        <v>0.09</v>
      </c>
      <c r="J46" s="2959">
        <v>0.28999999999999998</v>
      </c>
      <c r="K46" s="2959">
        <v>-0.01</v>
      </c>
      <c r="L46" s="2983">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5"/>
      <c r="H47" s="2967">
        <v>2</v>
      </c>
      <c r="I47" s="2957">
        <v>0.02</v>
      </c>
      <c r="J47" s="2957">
        <v>0.12</v>
      </c>
      <c r="K47" s="2957">
        <v>-0.08</v>
      </c>
      <c r="L47" s="2981">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6"/>
      <c r="H48" s="2931">
        <v>1</v>
      </c>
      <c r="I48" s="2929">
        <v>0.02</v>
      </c>
      <c r="J48" s="2929">
        <v>0.13</v>
      </c>
      <c r="K48" s="2929">
        <v>-0.04</v>
      </c>
      <c r="L48" s="2979">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4">
        <v>2011</v>
      </c>
      <c r="H49" s="2968">
        <v>4</v>
      </c>
      <c r="I49" s="2958">
        <v>-0.2</v>
      </c>
      <c r="J49" s="2958">
        <v>0.04</v>
      </c>
      <c r="K49" s="2958">
        <v>-0.34</v>
      </c>
      <c r="L49" s="2982">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5">
        <v>2011</v>
      </c>
      <c r="H50" s="2969">
        <v>3</v>
      </c>
      <c r="I50" s="2959">
        <v>0.13</v>
      </c>
      <c r="J50" s="2959">
        <v>0.75</v>
      </c>
      <c r="K50" s="2959">
        <v>-0.08</v>
      </c>
      <c r="L50" s="2983">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5">
        <v>2011</v>
      </c>
      <c r="H51" s="2967">
        <v>2</v>
      </c>
      <c r="I51" s="2957">
        <v>-0.4</v>
      </c>
      <c r="J51" s="2957">
        <v>0.17</v>
      </c>
      <c r="K51" s="2957">
        <v>-0.57999999999999996</v>
      </c>
      <c r="L51" s="2981">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6">
        <v>2011</v>
      </c>
      <c r="H52" s="2931">
        <v>1</v>
      </c>
      <c r="I52" s="2929">
        <v>2.65</v>
      </c>
      <c r="J52" s="2929">
        <v>3.76</v>
      </c>
      <c r="K52" s="2929">
        <v>1.89</v>
      </c>
      <c r="L52" s="2979">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4">
        <v>2010</v>
      </c>
      <c r="H53" s="2968">
        <v>4</v>
      </c>
      <c r="I53" s="2958">
        <v>5.72</v>
      </c>
      <c r="J53" s="2958">
        <v>6.57</v>
      </c>
      <c r="K53" s="2958">
        <v>5.72</v>
      </c>
      <c r="L53" s="2982">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5">
        <v>2010</v>
      </c>
      <c r="H54" s="2969">
        <v>3</v>
      </c>
      <c r="I54" s="2959">
        <v>4.7300000000000004</v>
      </c>
      <c r="J54" s="2959">
        <v>3.9</v>
      </c>
      <c r="K54" s="2959">
        <v>5.03</v>
      </c>
      <c r="L54" s="2983">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5">
        <v>2010</v>
      </c>
      <c r="H55" s="2967">
        <v>2</v>
      </c>
      <c r="I55" s="2957">
        <v>4.6900000000000004</v>
      </c>
      <c r="J55" s="2957">
        <v>3.55</v>
      </c>
      <c r="K55" s="2957">
        <v>5.07</v>
      </c>
      <c r="L55" s="2981">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6">
        <v>2010</v>
      </c>
      <c r="H56" s="2931">
        <v>1</v>
      </c>
      <c r="I56" s="2929">
        <v>5.4</v>
      </c>
      <c r="J56" s="2929">
        <v>3.2</v>
      </c>
      <c r="K56" s="2929">
        <v>6.16</v>
      </c>
      <c r="L56" s="2979">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4">
        <v>2009</v>
      </c>
      <c r="H57" s="2968">
        <v>4</v>
      </c>
      <c r="I57" s="2958">
        <v>2.2999999999999998</v>
      </c>
      <c r="J57" s="2958">
        <v>1.04</v>
      </c>
      <c r="K57" s="2958">
        <v>2.84</v>
      </c>
      <c r="L57" s="2982">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5">
        <v>2009</v>
      </c>
      <c r="H58" s="2969">
        <v>3</v>
      </c>
      <c r="I58" s="2959">
        <v>2.1</v>
      </c>
      <c r="J58" s="2959">
        <v>1.86</v>
      </c>
      <c r="K58" s="2959">
        <v>2.29</v>
      </c>
      <c r="L58" s="2983">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5">
        <v>2009</v>
      </c>
      <c r="H59" s="2967">
        <v>2</v>
      </c>
      <c r="I59" s="2957">
        <v>0.86</v>
      </c>
      <c r="J59" s="2957">
        <v>-1.1299999999999999</v>
      </c>
      <c r="K59" s="2957">
        <v>1.79</v>
      </c>
      <c r="L59" s="2981">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6">
        <v>2009</v>
      </c>
      <c r="H60" s="2931">
        <v>1</v>
      </c>
      <c r="I60" s="2929">
        <v>-2.64</v>
      </c>
      <c r="J60" s="2929">
        <v>-2.5299999999999998</v>
      </c>
      <c r="K60" s="2929">
        <v>-3.02</v>
      </c>
      <c r="L60" s="2979">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4">
        <v>2008</v>
      </c>
      <c r="H61" s="2968">
        <v>4</v>
      </c>
      <c r="I61" s="2958">
        <v>1.73</v>
      </c>
      <c r="J61" s="2958">
        <v>0.03</v>
      </c>
      <c r="K61" s="2958">
        <v>2.59</v>
      </c>
      <c r="L61" s="2982">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5">
        <v>2008</v>
      </c>
      <c r="H62" s="2969">
        <v>3</v>
      </c>
      <c r="I62" s="2959">
        <v>1.96</v>
      </c>
      <c r="J62" s="2959">
        <v>2.36</v>
      </c>
      <c r="K62" s="2959">
        <v>1.82</v>
      </c>
      <c r="L62" s="2983">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5">
        <v>2008</v>
      </c>
      <c r="H63" s="2967">
        <v>2</v>
      </c>
      <c r="I63" s="2957">
        <v>4.93</v>
      </c>
      <c r="J63" s="2957">
        <v>7.38</v>
      </c>
      <c r="K63" s="2957">
        <v>3.98</v>
      </c>
      <c r="L63" s="2981">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6">
        <v>2008</v>
      </c>
      <c r="H64" s="2973">
        <v>1</v>
      </c>
      <c r="I64" s="2963">
        <v>4.1399999999999997</v>
      </c>
      <c r="J64" s="2963">
        <v>3.45</v>
      </c>
      <c r="K64" s="2963">
        <v>4.95</v>
      </c>
      <c r="L64" s="2987">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4">
        <v>2007</v>
      </c>
      <c r="H65" s="2974">
        <v>4</v>
      </c>
      <c r="I65" s="2964">
        <v>5.51</v>
      </c>
      <c r="J65" s="2964">
        <v>4.8899999999999997</v>
      </c>
      <c r="K65" s="2964">
        <v>6.43</v>
      </c>
      <c r="L65" s="2988">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5">
        <v>2007</v>
      </c>
      <c r="H66" s="2969">
        <v>3</v>
      </c>
      <c r="I66" s="2959">
        <v>8.65</v>
      </c>
      <c r="J66" s="2959">
        <v>8.06</v>
      </c>
      <c r="K66" s="2959">
        <v>9.94</v>
      </c>
      <c r="L66" s="2983">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5">
        <v>2007</v>
      </c>
      <c r="H67" s="2967">
        <v>2</v>
      </c>
      <c r="I67" s="2957">
        <v>3.67</v>
      </c>
      <c r="J67" s="2957">
        <v>2.3199999999999998</v>
      </c>
      <c r="K67" s="2957">
        <v>5.0199999999999996</v>
      </c>
      <c r="L67" s="2981">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6">
        <v>2007</v>
      </c>
      <c r="H68" s="2931">
        <v>1</v>
      </c>
      <c r="I68" s="2929">
        <v>3.58</v>
      </c>
      <c r="J68" s="2929">
        <v>3.08</v>
      </c>
      <c r="K68" s="2929">
        <v>4.34</v>
      </c>
      <c r="L68" s="2979">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4">
        <v>2006</v>
      </c>
      <c r="H69" s="2968">
        <v>4</v>
      </c>
      <c r="I69" s="2958">
        <v>3.79</v>
      </c>
      <c r="J69" s="2958">
        <v>2.21</v>
      </c>
      <c r="K69" s="2958">
        <v>5.65</v>
      </c>
      <c r="L69" s="2982">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5">
        <v>2006</v>
      </c>
      <c r="H70" s="2969">
        <v>3</v>
      </c>
      <c r="I70" s="2959">
        <v>0.92</v>
      </c>
      <c r="J70" s="2959">
        <v>1.08</v>
      </c>
      <c r="K70" s="2959">
        <v>0.73</v>
      </c>
      <c r="L70" s="2983">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5">
        <v>2006</v>
      </c>
      <c r="H71" s="2967">
        <v>2</v>
      </c>
      <c r="I71" s="2957">
        <v>0.96</v>
      </c>
      <c r="J71" s="2957">
        <v>0.25</v>
      </c>
      <c r="K71" s="2957">
        <v>1.9</v>
      </c>
      <c r="L71" s="2981">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6">
        <v>2006</v>
      </c>
      <c r="H72" s="2931">
        <v>1</v>
      </c>
      <c r="I72" s="2929">
        <v>2.29</v>
      </c>
      <c r="J72" s="2929">
        <v>3.72</v>
      </c>
      <c r="K72" s="2929">
        <v>0.75</v>
      </c>
      <c r="L72" s="2979">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4">
        <v>2005</v>
      </c>
      <c r="H73" s="2968">
        <v>4</v>
      </c>
      <c r="I73" s="2958">
        <v>3.29</v>
      </c>
      <c r="J73" s="2958">
        <v>1.44</v>
      </c>
      <c r="K73" s="2958">
        <v>0.66</v>
      </c>
      <c r="L73" s="2982">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5">
        <v>2005</v>
      </c>
      <c r="H74" s="2969">
        <v>3</v>
      </c>
      <c r="I74" s="2959">
        <v>0.46</v>
      </c>
      <c r="J74" s="2959">
        <v>0.32</v>
      </c>
      <c r="K74" s="2959">
        <v>0.42</v>
      </c>
      <c r="L74" s="2983">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5">
        <v>2005</v>
      </c>
      <c r="H75" s="2967">
        <v>2</v>
      </c>
      <c r="I75" s="2957">
        <v>0.47</v>
      </c>
      <c r="J75" s="2957">
        <v>0.1</v>
      </c>
      <c r="K75" s="2957">
        <v>0.52</v>
      </c>
      <c r="L75" s="2981">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6">
        <v>2005</v>
      </c>
      <c r="H76" s="2931">
        <v>1</v>
      </c>
      <c r="I76" s="2929">
        <v>0.43</v>
      </c>
      <c r="J76" s="2929">
        <v>0.37</v>
      </c>
      <c r="K76" s="2929">
        <v>0.37</v>
      </c>
      <c r="L76" s="2979">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4">
        <v>2004</v>
      </c>
      <c r="H77" s="2968">
        <v>4</v>
      </c>
      <c r="I77" s="2958">
        <v>0.33</v>
      </c>
      <c r="J77" s="2958">
        <v>0.5</v>
      </c>
      <c r="K77" s="2958">
        <v>0.5</v>
      </c>
      <c r="L77" s="2982">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5">
        <v>2004</v>
      </c>
      <c r="H78" s="2969">
        <v>3</v>
      </c>
      <c r="I78" s="2959">
        <v>0.56000000000000005</v>
      </c>
      <c r="J78" s="2959">
        <v>0.8</v>
      </c>
      <c r="K78" s="2959">
        <v>0.83</v>
      </c>
      <c r="L78" s="2983">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5">
        <v>2004</v>
      </c>
      <c r="H79" s="2967">
        <v>2</v>
      </c>
      <c r="I79" s="2957">
        <v>1</v>
      </c>
      <c r="J79" s="2957">
        <v>1.5</v>
      </c>
      <c r="K79" s="2957">
        <v>1.5</v>
      </c>
      <c r="L79" s="2981">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6">
        <v>2004</v>
      </c>
      <c r="H80" s="2973">
        <v>1</v>
      </c>
      <c r="I80" s="2963">
        <v>0.33</v>
      </c>
      <c r="J80" s="2963">
        <v>0.5</v>
      </c>
      <c r="K80" s="2963">
        <v>0.5</v>
      </c>
      <c r="L80" s="2987">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4">
        <v>2003</v>
      </c>
      <c r="H81" s="2974">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5">
        <v>2003</v>
      </c>
      <c r="H82" s="2969">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5">
        <v>2003</v>
      </c>
      <c r="H83" s="2967">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6">
        <v>2003</v>
      </c>
      <c r="H84" s="2975">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4">
        <v>2002</v>
      </c>
      <c r="H85" s="2968">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5">
        <v>2002</v>
      </c>
      <c r="H86" s="2969">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5">
        <v>2002</v>
      </c>
      <c r="H87" s="2967">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6">
        <v>2002</v>
      </c>
      <c r="H88" s="2976">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5" t="s">
        <v>2728</v>
      </c>
      <c r="B1" s="4705"/>
      <c r="C1" s="4705"/>
      <c r="D1" s="4705"/>
      <c r="E1" s="4705"/>
      <c r="F1" s="4705"/>
      <c r="G1" s="4706"/>
      <c r="I1" s="2326" t="s">
        <v>2729</v>
      </c>
      <c r="J1" s="2327" t="s">
        <v>2730</v>
      </c>
      <c r="K1" s="2327" t="s">
        <v>2731</v>
      </c>
      <c r="L1" s="2327" t="s">
        <v>2732</v>
      </c>
      <c r="M1" s="2327" t="s">
        <v>2733</v>
      </c>
      <c r="N1" s="2327" t="s">
        <v>2734</v>
      </c>
      <c r="O1" s="2327" t="s">
        <v>2735</v>
      </c>
      <c r="P1" s="2327" t="s">
        <v>2736</v>
      </c>
      <c r="Q1" s="2327" t="s">
        <v>2737</v>
      </c>
      <c r="R1" s="2327" t="s">
        <v>2738</v>
      </c>
      <c r="S1" s="2327" t="s">
        <v>2739</v>
      </c>
      <c r="T1" s="2328" t="s">
        <v>2740</v>
      </c>
    </row>
    <row r="2" spans="1:20" ht="12" thickBot="1">
      <c r="A2" s="2329" t="s">
        <v>2741</v>
      </c>
      <c r="B2" s="2329"/>
      <c r="C2" s="2329"/>
      <c r="D2" s="2329"/>
      <c r="E2" s="2329"/>
      <c r="F2" s="2329"/>
      <c r="G2" s="2330" t="s">
        <v>2742</v>
      </c>
      <c r="I2" s="2331" t="s">
        <v>2743</v>
      </c>
      <c r="J2" s="2331" t="s">
        <v>2744</v>
      </c>
      <c r="K2" s="2331" t="s">
        <v>2745</v>
      </c>
      <c r="L2" s="2331" t="s">
        <v>2746</v>
      </c>
      <c r="M2" s="2331" t="s">
        <v>2747</v>
      </c>
      <c r="N2" s="2331" t="s">
        <v>2748</v>
      </c>
      <c r="O2" s="2331" t="s">
        <v>2749</v>
      </c>
      <c r="P2" s="2331" t="s">
        <v>2750</v>
      </c>
      <c r="Q2" s="2331" t="s">
        <v>2751</v>
      </c>
      <c r="R2" s="2331" t="s">
        <v>2752</v>
      </c>
      <c r="S2" s="2331" t="s">
        <v>2753</v>
      </c>
      <c r="T2" s="2331" t="s">
        <v>2754</v>
      </c>
    </row>
    <row r="3" spans="1:20" s="2337" customFormat="1">
      <c r="A3" s="4703" t="s">
        <v>2755</v>
      </c>
      <c r="B3" s="2332"/>
      <c r="C3" s="2333" t="s">
        <v>2700</v>
      </c>
      <c r="D3" s="2333" t="s">
        <v>2756</v>
      </c>
      <c r="E3" s="2333" t="s">
        <v>2702</v>
      </c>
      <c r="F3" s="2333" t="s">
        <v>2757</v>
      </c>
      <c r="G3" s="2333" t="s">
        <v>2520</v>
      </c>
      <c r="H3" s="2334"/>
      <c r="I3" s="2335" t="s">
        <v>2758</v>
      </c>
      <c r="J3" s="2336" t="s">
        <v>126</v>
      </c>
      <c r="K3" s="2336" t="s">
        <v>127</v>
      </c>
      <c r="L3" s="2335" t="s">
        <v>128</v>
      </c>
      <c r="M3" s="2335" t="s">
        <v>129</v>
      </c>
      <c r="N3" s="2335" t="s">
        <v>130</v>
      </c>
      <c r="O3" s="2335" t="s">
        <v>131</v>
      </c>
      <c r="P3" s="2335" t="s">
        <v>132</v>
      </c>
      <c r="Q3" s="2335" t="s">
        <v>133</v>
      </c>
      <c r="R3" s="2335" t="s">
        <v>134</v>
      </c>
      <c r="S3" s="2335" t="s">
        <v>2759</v>
      </c>
      <c r="T3" s="2335" t="s">
        <v>2760</v>
      </c>
    </row>
    <row r="4" spans="1:20" s="2337" customFormat="1" ht="12" thickBot="1">
      <c r="A4" s="4704"/>
      <c r="B4" s="2338" t="s">
        <v>2761</v>
      </c>
      <c r="C4" s="2338" t="s">
        <v>2762</v>
      </c>
      <c r="D4" s="2338" t="s">
        <v>2762</v>
      </c>
      <c r="E4" s="2338" t="s">
        <v>2762</v>
      </c>
      <c r="F4" s="2339" t="s">
        <v>2762</v>
      </c>
      <c r="G4" s="2339" t="s">
        <v>2762</v>
      </c>
      <c r="H4" s="2334"/>
      <c r="I4" s="2336" t="s">
        <v>135</v>
      </c>
      <c r="J4" s="2336" t="s">
        <v>109</v>
      </c>
      <c r="K4" s="2336" t="s">
        <v>136</v>
      </c>
      <c r="L4" s="2335" t="s">
        <v>137</v>
      </c>
      <c r="M4" s="2335" t="s">
        <v>138</v>
      </c>
      <c r="N4" s="2335" t="s">
        <v>139</v>
      </c>
      <c r="O4" s="2335" t="s">
        <v>140</v>
      </c>
      <c r="P4" s="2335" t="s">
        <v>141</v>
      </c>
      <c r="Q4" s="2335" t="s">
        <v>2763</v>
      </c>
      <c r="R4" s="2335" t="s">
        <v>2764</v>
      </c>
      <c r="S4" s="2335" t="s">
        <v>2765</v>
      </c>
      <c r="T4" s="2335" t="s">
        <v>2766</v>
      </c>
    </row>
    <row r="5" spans="1:20">
      <c r="A5" s="2340" t="s">
        <v>2729</v>
      </c>
      <c r="B5" s="2331" t="s">
        <v>2743</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2767</v>
      </c>
      <c r="R5" s="2335" t="s">
        <v>2768</v>
      </c>
      <c r="S5" s="2335" t="s">
        <v>151</v>
      </c>
      <c r="T5" s="2335" t="s">
        <v>2769</v>
      </c>
    </row>
    <row r="6" spans="1:20" ht="12" thickBot="1">
      <c r="A6" s="2335" t="s">
        <v>142</v>
      </c>
      <c r="B6" s="2335" t="s">
        <v>2758</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2770</v>
      </c>
      <c r="Q6" s="2335" t="s">
        <v>2771</v>
      </c>
      <c r="R6" s="2335" t="s">
        <v>159</v>
      </c>
      <c r="S6" s="2335" t="s">
        <v>2772</v>
      </c>
      <c r="T6" s="2335" t="s">
        <v>2773</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2774</v>
      </c>
      <c r="Q7" s="2335" t="s">
        <v>2775</v>
      </c>
      <c r="R7" s="2335" t="s">
        <v>2776</v>
      </c>
      <c r="S7" s="2335" t="s">
        <v>2777</v>
      </c>
      <c r="T7" s="2335" t="s">
        <v>2778</v>
      </c>
    </row>
    <row r="8" spans="1:20" ht="12"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2779</v>
      </c>
      <c r="Q8" s="2335" t="s">
        <v>172</v>
      </c>
      <c r="R8" s="2335" t="s">
        <v>2780</v>
      </c>
      <c r="S8" s="2335" t="s">
        <v>2781</v>
      </c>
      <c r="T8" s="2342" t="s">
        <v>2782</v>
      </c>
    </row>
    <row r="9" spans="1:20" ht="12"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2783</v>
      </c>
      <c r="Q9" s="2335" t="s">
        <v>180</v>
      </c>
      <c r="R9" s="2335" t="s">
        <v>181</v>
      </c>
      <c r="S9" s="2335" t="s">
        <v>198</v>
      </c>
    </row>
    <row r="10" spans="1:20">
      <c r="A10" s="2340" t="s">
        <v>182</v>
      </c>
      <c r="B10" s="2331" t="s">
        <v>2744</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2784</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2785</v>
      </c>
      <c r="P11" s="2335" t="s">
        <v>189</v>
      </c>
      <c r="Q11" s="2335" t="s">
        <v>197</v>
      </c>
      <c r="R11" s="2335" t="s">
        <v>2786</v>
      </c>
      <c r="S11" s="2335" t="s">
        <v>2787</v>
      </c>
    </row>
    <row r="12" spans="1:20">
      <c r="A12" s="2335" t="s">
        <v>182</v>
      </c>
      <c r="B12" s="2336" t="s">
        <v>109</v>
      </c>
      <c r="C12" s="2993">
        <v>29640</v>
      </c>
      <c r="D12" s="2993">
        <v>27550</v>
      </c>
      <c r="E12" s="2993">
        <v>28010</v>
      </c>
      <c r="F12" s="2335">
        <v>8730</v>
      </c>
      <c r="G12" s="2993">
        <v>20050</v>
      </c>
      <c r="H12" s="2334"/>
      <c r="J12" s="2336" t="s">
        <v>199</v>
      </c>
      <c r="K12" s="2336" t="s">
        <v>200</v>
      </c>
      <c r="L12" s="2335" t="s">
        <v>201</v>
      </c>
      <c r="M12" s="2335" t="s">
        <v>202</v>
      </c>
      <c r="N12" s="2335" t="s">
        <v>203</v>
      </c>
      <c r="O12" s="2335" t="s">
        <v>2788</v>
      </c>
      <c r="P12" s="2335" t="s">
        <v>2789</v>
      </c>
      <c r="Q12" s="2335" t="s">
        <v>2790</v>
      </c>
      <c r="R12" s="2335" t="s">
        <v>2791</v>
      </c>
      <c r="S12" s="2335" t="s">
        <v>2792</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2793</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2794</v>
      </c>
      <c r="K14" s="2336" t="s">
        <v>213</v>
      </c>
      <c r="L14" s="2335" t="s">
        <v>214</v>
      </c>
      <c r="M14" s="2335" t="s">
        <v>215</v>
      </c>
      <c r="N14" s="2335" t="s">
        <v>216</v>
      </c>
      <c r="O14" s="2335" t="s">
        <v>238</v>
      </c>
      <c r="P14" s="2335" t="s">
        <v>211</v>
      </c>
      <c r="Q14" s="2335" t="s">
        <v>2795</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2796</v>
      </c>
      <c r="P15" s="2335" t="s">
        <v>2797</v>
      </c>
      <c r="Q15" s="2335" t="s">
        <v>240</v>
      </c>
      <c r="R15" s="2335" t="s">
        <v>2798</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2799</v>
      </c>
      <c r="P16" s="2335" t="s">
        <v>225</v>
      </c>
      <c r="Q16" s="2335" t="s">
        <v>248</v>
      </c>
      <c r="R16" s="2335" t="s">
        <v>205</v>
      </c>
      <c r="S16" s="2335" t="s">
        <v>2800</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2801</v>
      </c>
      <c r="P17" s="2335" t="s">
        <v>2802</v>
      </c>
      <c r="Q17" s="2335" t="s">
        <v>254</v>
      </c>
      <c r="R17" s="2335" t="s">
        <v>2803</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2804</v>
      </c>
      <c r="P18" s="2335" t="s">
        <v>239</v>
      </c>
      <c r="Q18" s="2335" t="s">
        <v>2805</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2806</v>
      </c>
      <c r="P19" s="2335" t="s">
        <v>247</v>
      </c>
      <c r="Q19" s="2335" t="s">
        <v>2807</v>
      </c>
      <c r="R19" s="2335" t="s">
        <v>263</v>
      </c>
      <c r="S19" s="2335" t="s">
        <v>2808</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2809</v>
      </c>
      <c r="P20" s="2335" t="s">
        <v>2810</v>
      </c>
      <c r="Q20" s="2335" t="s">
        <v>288</v>
      </c>
      <c r="R20" s="2335" t="s">
        <v>2811</v>
      </c>
      <c r="S20" s="2335" t="s">
        <v>275</v>
      </c>
    </row>
    <row r="21" spans="1:19" ht="14.25" customHeight="1" thickBot="1">
      <c r="A21" s="2335" t="s">
        <v>182</v>
      </c>
      <c r="B21" s="2336" t="s">
        <v>206</v>
      </c>
      <c r="C21" s="2993">
        <v>32370</v>
      </c>
      <c r="D21" s="2993">
        <v>26730</v>
      </c>
      <c r="E21" s="2993">
        <v>26640</v>
      </c>
      <c r="F21" s="2993"/>
      <c r="G21" s="2993">
        <v>19440</v>
      </c>
      <c r="J21" s="2342" t="s">
        <v>2812</v>
      </c>
      <c r="K21" s="2336" t="s">
        <v>265</v>
      </c>
      <c r="L21" s="2335" t="s">
        <v>266</v>
      </c>
      <c r="M21" s="2335" t="s">
        <v>267</v>
      </c>
      <c r="N21" s="2335" t="s">
        <v>268</v>
      </c>
      <c r="O21" s="2335" t="s">
        <v>262</v>
      </c>
      <c r="P21" s="2335" t="s">
        <v>281</v>
      </c>
      <c r="Q21" s="2335" t="s">
        <v>291</v>
      </c>
      <c r="R21" s="2335" t="s">
        <v>2813</v>
      </c>
      <c r="S21" s="2342" t="s">
        <v>2814</v>
      </c>
    </row>
    <row r="22" spans="1:19" ht="14.25" customHeight="1">
      <c r="A22" s="2335" t="s">
        <v>182</v>
      </c>
      <c r="B22" s="2336" t="s">
        <v>2794</v>
      </c>
      <c r="C22" s="2993">
        <v>29830</v>
      </c>
      <c r="D22" s="2993">
        <v>27600</v>
      </c>
      <c r="E22" s="2993">
        <v>28150</v>
      </c>
      <c r="F22" s="2993"/>
      <c r="G22" s="2993">
        <v>20080</v>
      </c>
      <c r="K22" s="2336" t="s">
        <v>2815</v>
      </c>
      <c r="L22" s="2335" t="s">
        <v>270</v>
      </c>
      <c r="M22" s="2335" t="s">
        <v>271</v>
      </c>
      <c r="N22" s="2335" t="s">
        <v>272</v>
      </c>
      <c r="O22" s="2335" t="s">
        <v>2816</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2817</v>
      </c>
      <c r="L23" s="2335" t="s">
        <v>276</v>
      </c>
      <c r="M23" s="2335" t="s">
        <v>277</v>
      </c>
      <c r="N23" s="2335" t="s">
        <v>2818</v>
      </c>
      <c r="O23" s="2335" t="s">
        <v>2819</v>
      </c>
      <c r="P23" s="2335" t="s">
        <v>287</v>
      </c>
      <c r="Q23" s="2335" t="s">
        <v>296</v>
      </c>
      <c r="R23" s="2335" t="s">
        <v>2820</v>
      </c>
    </row>
    <row r="24" spans="1:19" ht="14.25" customHeight="1">
      <c r="A24" s="2335" t="s">
        <v>182</v>
      </c>
      <c r="B24" s="2336" t="s">
        <v>228</v>
      </c>
      <c r="C24" s="2993">
        <v>27930</v>
      </c>
      <c r="D24" s="2993">
        <v>32260</v>
      </c>
      <c r="E24" s="2993">
        <v>32120</v>
      </c>
      <c r="F24" s="2993"/>
      <c r="G24" s="2993">
        <v>23470</v>
      </c>
      <c r="K24" s="2336" t="s">
        <v>2821</v>
      </c>
      <c r="L24" s="2335" t="s">
        <v>279</v>
      </c>
      <c r="M24" s="2335" t="s">
        <v>280</v>
      </c>
      <c r="N24" s="2335" t="s">
        <v>2822</v>
      </c>
      <c r="O24" s="2335" t="s">
        <v>283</v>
      </c>
      <c r="P24" s="2335" t="s">
        <v>2823</v>
      </c>
      <c r="Q24" s="2344" t="s">
        <v>2824</v>
      </c>
      <c r="R24" s="2335" t="s">
        <v>2825</v>
      </c>
    </row>
    <row r="25" spans="1:19" ht="14.25" customHeight="1">
      <c r="A25" s="2335" t="s">
        <v>182</v>
      </c>
      <c r="B25" s="2336" t="s">
        <v>233</v>
      </c>
      <c r="C25" s="2993">
        <v>32230</v>
      </c>
      <c r="D25" s="2993">
        <v>29640</v>
      </c>
      <c r="E25" s="2993">
        <v>29510</v>
      </c>
      <c r="F25" s="2993"/>
      <c r="G25" s="2993">
        <v>21560</v>
      </c>
      <c r="K25" s="2336" t="s">
        <v>2826</v>
      </c>
      <c r="L25" s="2335" t="s">
        <v>2827</v>
      </c>
      <c r="M25" s="2335" t="s">
        <v>282</v>
      </c>
      <c r="N25" s="2335" t="s">
        <v>290</v>
      </c>
      <c r="O25" s="2335" t="s">
        <v>286</v>
      </c>
      <c r="P25" s="2335" t="s">
        <v>273</v>
      </c>
      <c r="Q25" s="2344" t="s">
        <v>269</v>
      </c>
      <c r="R25" s="2335" t="s">
        <v>2828</v>
      </c>
    </row>
    <row r="26" spans="1:19" ht="14.25" customHeight="1" thickBot="1">
      <c r="A26" s="2335" t="s">
        <v>182</v>
      </c>
      <c r="B26" s="2336" t="s">
        <v>242</v>
      </c>
      <c r="C26" s="2993">
        <v>31690</v>
      </c>
      <c r="D26" s="2993">
        <v>27650</v>
      </c>
      <c r="E26" s="2993">
        <v>28200</v>
      </c>
      <c r="F26" s="2993"/>
      <c r="G26" s="2993">
        <v>20110</v>
      </c>
      <c r="K26" s="2341" t="s">
        <v>2829</v>
      </c>
      <c r="L26" s="2335" t="s">
        <v>2830</v>
      </c>
      <c r="M26" s="2335" t="s">
        <v>285</v>
      </c>
      <c r="N26" s="2335" t="s">
        <v>292</v>
      </c>
      <c r="O26" s="2335" t="s">
        <v>2831</v>
      </c>
      <c r="P26" s="2335" t="s">
        <v>2832</v>
      </c>
      <c r="Q26" s="2344" t="s">
        <v>274</v>
      </c>
      <c r="R26" s="2335" t="s">
        <v>2833</v>
      </c>
    </row>
    <row r="27" spans="1:19" ht="14.25" customHeight="1">
      <c r="A27" s="2335" t="s">
        <v>182</v>
      </c>
      <c r="B27" s="2336" t="s">
        <v>249</v>
      </c>
      <c r="C27" s="2993">
        <v>29610</v>
      </c>
      <c r="D27" s="2993">
        <v>27770</v>
      </c>
      <c r="E27" s="2993">
        <v>28300</v>
      </c>
      <c r="F27" s="2993"/>
      <c r="G27" s="2993">
        <v>20210</v>
      </c>
      <c r="L27" s="2335" t="s">
        <v>2834</v>
      </c>
      <c r="M27" s="2335" t="s">
        <v>289</v>
      </c>
      <c r="N27" s="2335" t="s">
        <v>295</v>
      </c>
      <c r="O27" s="2335" t="s">
        <v>2835</v>
      </c>
      <c r="P27" s="2335" t="s">
        <v>2836</v>
      </c>
      <c r="Q27" s="2335" t="s">
        <v>2837</v>
      </c>
      <c r="R27" s="2335" t="s">
        <v>2838</v>
      </c>
    </row>
    <row r="28" spans="1:19" ht="14.25" customHeight="1">
      <c r="A28" s="2335" t="s">
        <v>182</v>
      </c>
      <c r="B28" s="2336" t="s">
        <v>257</v>
      </c>
      <c r="C28" s="2993"/>
      <c r="D28" s="2993">
        <v>31520</v>
      </c>
      <c r="E28" s="2993">
        <v>31410</v>
      </c>
      <c r="F28" s="2993"/>
      <c r="G28" s="2993">
        <v>22940</v>
      </c>
      <c r="L28" s="2335" t="s">
        <v>2839</v>
      </c>
      <c r="M28" s="2335" t="s">
        <v>2840</v>
      </c>
      <c r="N28" s="2335" t="s">
        <v>2841</v>
      </c>
      <c r="O28" s="2335" t="s">
        <v>2842</v>
      </c>
      <c r="P28" s="2335" t="s">
        <v>2843</v>
      </c>
      <c r="Q28" s="2335" t="s">
        <v>2844</v>
      </c>
      <c r="R28" s="2335" t="s">
        <v>2845</v>
      </c>
    </row>
    <row r="29" spans="1:19" ht="14.25" customHeight="1" thickBot="1">
      <c r="A29" s="2343" t="s">
        <v>182</v>
      </c>
      <c r="B29" s="2345" t="s">
        <v>2812</v>
      </c>
      <c r="C29" s="2995"/>
      <c r="D29" s="2995">
        <v>29460</v>
      </c>
      <c r="E29" s="2995">
        <v>28640</v>
      </c>
      <c r="F29" s="2995"/>
      <c r="G29" s="2995">
        <v>21430</v>
      </c>
      <c r="L29" s="2335" t="s">
        <v>2846</v>
      </c>
      <c r="M29" s="2335" t="s">
        <v>2847</v>
      </c>
      <c r="N29" s="2335" t="s">
        <v>2848</v>
      </c>
      <c r="O29" s="2335" t="s">
        <v>2849</v>
      </c>
      <c r="P29" s="2335" t="s">
        <v>2850</v>
      </c>
      <c r="Q29" s="2335" t="s">
        <v>2851</v>
      </c>
      <c r="R29" s="2335" t="s">
        <v>278</v>
      </c>
    </row>
    <row r="30" spans="1:19" ht="14.25" customHeight="1">
      <c r="A30" s="2340" t="s">
        <v>294</v>
      </c>
      <c r="B30" s="2331" t="s">
        <v>2745</v>
      </c>
      <c r="C30" s="2992">
        <v>26890</v>
      </c>
      <c r="D30" s="2992">
        <v>26770</v>
      </c>
      <c r="E30" s="2992">
        <v>25700</v>
      </c>
      <c r="F30" s="2992">
        <v>8180</v>
      </c>
      <c r="G30" s="2996">
        <v>18740</v>
      </c>
      <c r="L30" s="2335" t="s">
        <v>2852</v>
      </c>
      <c r="M30" s="2335" t="s">
        <v>2853</v>
      </c>
      <c r="N30" s="2335" t="s">
        <v>2854</v>
      </c>
      <c r="O30" s="2335" t="s">
        <v>2855</v>
      </c>
      <c r="P30" s="2335" t="s">
        <v>2856</v>
      </c>
      <c r="Q30" s="2335" t="s">
        <v>2857</v>
      </c>
      <c r="R30" s="2335" t="s">
        <v>2858</v>
      </c>
    </row>
    <row r="31" spans="1:19" ht="14.25" customHeight="1">
      <c r="A31" s="2335" t="s">
        <v>294</v>
      </c>
      <c r="B31" s="2336" t="s">
        <v>127</v>
      </c>
      <c r="C31" s="2993">
        <v>24550</v>
      </c>
      <c r="D31" s="2993">
        <v>23990</v>
      </c>
      <c r="E31" s="2993">
        <v>22930</v>
      </c>
      <c r="F31" s="2993">
        <v>7470</v>
      </c>
      <c r="G31" s="2997">
        <v>16790</v>
      </c>
      <c r="L31" s="2335" t="s">
        <v>2859</v>
      </c>
      <c r="M31" s="2335" t="s">
        <v>2860</v>
      </c>
      <c r="N31" s="2335" t="s">
        <v>2861</v>
      </c>
      <c r="O31" s="2335" t="s">
        <v>2862</v>
      </c>
      <c r="P31" s="2335" t="s">
        <v>2863</v>
      </c>
      <c r="Q31" s="2335" t="s">
        <v>2864</v>
      </c>
      <c r="R31" s="2335" t="s">
        <v>2865</v>
      </c>
    </row>
    <row r="32" spans="1:19" ht="14.25" customHeight="1" thickBot="1">
      <c r="A32" s="2335" t="s">
        <v>294</v>
      </c>
      <c r="B32" s="2336" t="s">
        <v>136</v>
      </c>
      <c r="C32" s="2993">
        <v>27210</v>
      </c>
      <c r="D32" s="2993">
        <v>23240</v>
      </c>
      <c r="E32" s="2993">
        <v>23260</v>
      </c>
      <c r="F32" s="2993">
        <v>7130</v>
      </c>
      <c r="G32" s="2997">
        <v>16270</v>
      </c>
      <c r="L32" s="2335" t="s">
        <v>2866</v>
      </c>
      <c r="M32" s="2335" t="s">
        <v>2867</v>
      </c>
      <c r="N32" s="2335" t="s">
        <v>298</v>
      </c>
      <c r="O32" s="2335" t="s">
        <v>2868</v>
      </c>
      <c r="P32" s="2335" t="s">
        <v>297</v>
      </c>
      <c r="Q32" s="2335" t="s">
        <v>2869</v>
      </c>
      <c r="R32" s="2342" t="s">
        <v>2870</v>
      </c>
    </row>
    <row r="33" spans="1:17" ht="14.25" customHeight="1" thickBot="1">
      <c r="A33" s="2335" t="s">
        <v>294</v>
      </c>
      <c r="B33" s="2336" t="s">
        <v>145</v>
      </c>
      <c r="C33" s="2993">
        <v>27300</v>
      </c>
      <c r="D33" s="2993">
        <v>22980</v>
      </c>
      <c r="E33" s="2993">
        <v>24260</v>
      </c>
      <c r="F33" s="2993">
        <v>5860</v>
      </c>
      <c r="G33" s="2997">
        <v>16090</v>
      </c>
      <c r="L33" s="2342" t="s">
        <v>2871</v>
      </c>
      <c r="M33" s="2335" t="s">
        <v>2872</v>
      </c>
      <c r="N33" s="2335" t="s">
        <v>299</v>
      </c>
      <c r="O33" s="2335" t="s">
        <v>2873</v>
      </c>
      <c r="P33" s="2335" t="s">
        <v>2874</v>
      </c>
      <c r="Q33" s="2335" t="s">
        <v>2875</v>
      </c>
    </row>
    <row r="34" spans="1:17" ht="14.25" customHeight="1">
      <c r="A34" s="2335" t="s">
        <v>294</v>
      </c>
      <c r="B34" s="2336" t="s">
        <v>154</v>
      </c>
      <c r="C34" s="2993">
        <v>23090</v>
      </c>
      <c r="D34" s="2993">
        <v>23390</v>
      </c>
      <c r="E34" s="2993">
        <v>23510</v>
      </c>
      <c r="F34" s="2993">
        <v>6700</v>
      </c>
      <c r="G34" s="2997">
        <v>16370</v>
      </c>
      <c r="M34" s="2335" t="s">
        <v>2876</v>
      </c>
      <c r="N34" s="2335" t="s">
        <v>300</v>
      </c>
      <c r="O34" s="2335" t="s">
        <v>2877</v>
      </c>
      <c r="P34" s="2335" t="s">
        <v>2878</v>
      </c>
      <c r="Q34" s="2335" t="s">
        <v>2879</v>
      </c>
    </row>
    <row r="35" spans="1:17" ht="14.25" customHeight="1">
      <c r="A35" s="2335" t="s">
        <v>294</v>
      </c>
      <c r="B35" s="2336" t="s">
        <v>161</v>
      </c>
      <c r="C35" s="2993">
        <v>27270</v>
      </c>
      <c r="D35" s="2993">
        <v>24270</v>
      </c>
      <c r="E35" s="2993">
        <v>24950</v>
      </c>
      <c r="F35" s="2993">
        <v>6600</v>
      </c>
      <c r="G35" s="2997">
        <v>16990</v>
      </c>
      <c r="M35" s="2335" t="s">
        <v>2880</v>
      </c>
      <c r="N35" s="2335" t="s">
        <v>2881</v>
      </c>
      <c r="O35" s="2335" t="s">
        <v>2882</v>
      </c>
      <c r="P35" s="2335" t="s">
        <v>2883</v>
      </c>
      <c r="Q35" s="2335" t="s">
        <v>2884</v>
      </c>
    </row>
    <row r="36" spans="1:17" ht="14.25" customHeight="1">
      <c r="A36" s="2335" t="s">
        <v>294</v>
      </c>
      <c r="B36" s="2336" t="s">
        <v>167</v>
      </c>
      <c r="C36" s="2993">
        <v>23490</v>
      </c>
      <c r="D36" s="2993">
        <v>23020</v>
      </c>
      <c r="E36" s="2993">
        <v>25230</v>
      </c>
      <c r="F36" s="2993">
        <v>6780</v>
      </c>
      <c r="G36" s="2997">
        <v>16120</v>
      </c>
      <c r="M36" s="2335" t="s">
        <v>2885</v>
      </c>
      <c r="N36" s="2335" t="s">
        <v>2886</v>
      </c>
      <c r="O36" s="2335" t="s">
        <v>2887</v>
      </c>
      <c r="P36" s="2335" t="s">
        <v>2888</v>
      </c>
      <c r="Q36" s="2335" t="s">
        <v>2889</v>
      </c>
    </row>
    <row r="37" spans="1:17" ht="14.25" customHeight="1">
      <c r="A37" s="2335" t="s">
        <v>294</v>
      </c>
      <c r="B37" s="2336" t="s">
        <v>174</v>
      </c>
      <c r="C37" s="2993">
        <v>24380</v>
      </c>
      <c r="D37" s="2993">
        <v>22240</v>
      </c>
      <c r="E37" s="2993">
        <v>25980</v>
      </c>
      <c r="F37" s="2993">
        <v>8160</v>
      </c>
      <c r="G37" s="2997">
        <v>15570</v>
      </c>
      <c r="M37" s="2335" t="s">
        <v>2890</v>
      </c>
      <c r="N37" s="2335" t="s">
        <v>2891</v>
      </c>
      <c r="O37" s="2335" t="s">
        <v>2892</v>
      </c>
      <c r="P37" s="2335" t="s">
        <v>2893</v>
      </c>
      <c r="Q37" s="2335" t="s">
        <v>2894</v>
      </c>
    </row>
    <row r="38" spans="1:17" ht="14.25" customHeight="1">
      <c r="A38" s="2335" t="s">
        <v>294</v>
      </c>
      <c r="B38" s="2336" t="s">
        <v>184</v>
      </c>
      <c r="C38" s="2993">
        <v>23120</v>
      </c>
      <c r="D38" s="2993">
        <v>24630</v>
      </c>
      <c r="E38" s="2993">
        <v>25030</v>
      </c>
      <c r="F38" s="2993">
        <v>7710</v>
      </c>
      <c r="G38" s="2997">
        <v>17240</v>
      </c>
      <c r="M38" s="2335" t="s">
        <v>2895</v>
      </c>
      <c r="N38" s="2335" t="s">
        <v>2896</v>
      </c>
      <c r="O38" s="2335" t="s">
        <v>2897</v>
      </c>
      <c r="P38" s="2335" t="s">
        <v>2898</v>
      </c>
      <c r="Q38" s="2335" t="s">
        <v>2899</v>
      </c>
    </row>
    <row r="39" spans="1:17" ht="14.25" customHeight="1">
      <c r="A39" s="2335" t="s">
        <v>294</v>
      </c>
      <c r="B39" s="2336" t="s">
        <v>193</v>
      </c>
      <c r="C39" s="2993">
        <v>22330</v>
      </c>
      <c r="D39" s="2993">
        <v>21140</v>
      </c>
      <c r="E39" s="2993">
        <v>23970</v>
      </c>
      <c r="F39" s="2993">
        <v>7940</v>
      </c>
      <c r="G39" s="2997">
        <v>14790</v>
      </c>
      <c r="M39" s="2335" t="s">
        <v>2900</v>
      </c>
      <c r="N39" s="2335" t="s">
        <v>2901</v>
      </c>
      <c r="O39" s="2335" t="s">
        <v>2902</v>
      </c>
      <c r="P39" s="2335" t="s">
        <v>2903</v>
      </c>
      <c r="Q39" s="2335" t="s">
        <v>2904</v>
      </c>
    </row>
    <row r="40" spans="1:17" ht="14.25" customHeight="1">
      <c r="A40" s="2335" t="s">
        <v>294</v>
      </c>
      <c r="B40" s="2336" t="s">
        <v>200</v>
      </c>
      <c r="C40" s="2993">
        <v>24740</v>
      </c>
      <c r="D40" s="2993">
        <v>24690</v>
      </c>
      <c r="E40" s="2993">
        <v>22610</v>
      </c>
      <c r="F40" s="2993"/>
      <c r="G40" s="2997">
        <v>17280</v>
      </c>
      <c r="M40" s="2335" t="s">
        <v>2905</v>
      </c>
      <c r="N40" s="2335" t="s">
        <v>2906</v>
      </c>
      <c r="O40" s="2335" t="s">
        <v>2907</v>
      </c>
      <c r="P40" s="2335" t="s">
        <v>2908</v>
      </c>
      <c r="Q40" s="2335" t="s">
        <v>2909</v>
      </c>
    </row>
    <row r="41" spans="1:17" ht="14.25" customHeight="1" thickBot="1">
      <c r="A41" s="2335" t="s">
        <v>294</v>
      </c>
      <c r="B41" s="2336" t="s">
        <v>207</v>
      </c>
      <c r="C41" s="2993">
        <v>21220</v>
      </c>
      <c r="D41" s="2993">
        <v>21120</v>
      </c>
      <c r="E41" s="2993">
        <v>22590</v>
      </c>
      <c r="F41" s="2993"/>
      <c r="G41" s="2997">
        <v>14780</v>
      </c>
      <c r="M41" s="2342" t="s">
        <v>2910</v>
      </c>
      <c r="N41" s="2335" t="s">
        <v>2911</v>
      </c>
      <c r="O41" s="2335" t="s">
        <v>2912</v>
      </c>
      <c r="P41" s="2335" t="s">
        <v>2913</v>
      </c>
      <c r="Q41" s="2335" t="s">
        <v>2914</v>
      </c>
    </row>
    <row r="42" spans="1:17" ht="14.25" customHeight="1">
      <c r="A42" s="2335" t="s">
        <v>294</v>
      </c>
      <c r="B42" s="2336" t="s">
        <v>213</v>
      </c>
      <c r="C42" s="2993">
        <v>24800</v>
      </c>
      <c r="D42" s="2993">
        <v>22280</v>
      </c>
      <c r="E42" s="2993">
        <v>24350</v>
      </c>
      <c r="F42" s="2993"/>
      <c r="G42" s="2997">
        <v>15590</v>
      </c>
      <c r="N42" s="2335" t="s">
        <v>2915</v>
      </c>
      <c r="O42" s="2335" t="s">
        <v>2916</v>
      </c>
      <c r="P42" s="2335" t="s">
        <v>2917</v>
      </c>
      <c r="Q42" s="2335" t="s">
        <v>2918</v>
      </c>
    </row>
    <row r="43" spans="1:17" ht="14.25" customHeight="1">
      <c r="A43" s="2335" t="s">
        <v>2919</v>
      </c>
      <c r="B43" s="2336" t="s">
        <v>221</v>
      </c>
      <c r="C43" s="2993">
        <v>21210</v>
      </c>
      <c r="D43" s="2993">
        <v>21160</v>
      </c>
      <c r="E43" s="2993">
        <v>22650</v>
      </c>
      <c r="F43" s="2993"/>
      <c r="G43" s="2997">
        <v>14800</v>
      </c>
      <c r="N43" s="2335" t="s">
        <v>2920</v>
      </c>
      <c r="O43" s="2335" t="s">
        <v>2921</v>
      </c>
      <c r="P43" s="2335" t="s">
        <v>2922</v>
      </c>
      <c r="Q43" s="2335" t="s">
        <v>2923</v>
      </c>
    </row>
    <row r="44" spans="1:17" ht="14.25" customHeight="1" thickBot="1">
      <c r="A44" s="2335" t="s">
        <v>294</v>
      </c>
      <c r="B44" s="2336" t="s">
        <v>229</v>
      </c>
      <c r="C44" s="2993">
        <v>22370</v>
      </c>
      <c r="D44" s="2993">
        <v>23140</v>
      </c>
      <c r="E44" s="2993">
        <v>25090</v>
      </c>
      <c r="F44" s="2993"/>
      <c r="G44" s="2997">
        <v>16190</v>
      </c>
      <c r="N44" s="2335" t="s">
        <v>2924</v>
      </c>
      <c r="O44" s="2335" t="s">
        <v>2925</v>
      </c>
      <c r="P44" s="2342" t="s">
        <v>2926</v>
      </c>
      <c r="Q44" s="2335" t="s">
        <v>2927</v>
      </c>
    </row>
    <row r="45" spans="1:17" ht="14.25" customHeight="1" thickBot="1">
      <c r="A45" s="2335" t="s">
        <v>294</v>
      </c>
      <c r="B45" s="2336" t="s">
        <v>234</v>
      </c>
      <c r="C45" s="2993">
        <v>21240</v>
      </c>
      <c r="D45" s="2993">
        <v>27050</v>
      </c>
      <c r="E45" s="2993">
        <v>28000</v>
      </c>
      <c r="F45" s="2993"/>
      <c r="G45" s="2997">
        <v>18940</v>
      </c>
      <c r="N45" s="2335" t="s">
        <v>2928</v>
      </c>
      <c r="O45" s="2342" t="s">
        <v>2929</v>
      </c>
      <c r="Q45" s="2335" t="s">
        <v>2930</v>
      </c>
    </row>
    <row r="46" spans="1:17" ht="14.25" customHeight="1">
      <c r="A46" s="2335" t="s">
        <v>294</v>
      </c>
      <c r="B46" s="2336" t="s">
        <v>243</v>
      </c>
      <c r="C46" s="2993">
        <v>23240</v>
      </c>
      <c r="D46" s="2993">
        <v>23000</v>
      </c>
      <c r="E46" s="2993">
        <v>24980</v>
      </c>
      <c r="F46" s="2993"/>
      <c r="G46" s="2997">
        <v>16100</v>
      </c>
      <c r="N46" s="2335" t="s">
        <v>2931</v>
      </c>
      <c r="Q46" s="2335" t="s">
        <v>2932</v>
      </c>
    </row>
    <row r="47" spans="1:17" ht="14.25" customHeight="1">
      <c r="A47" s="2335" t="s">
        <v>294</v>
      </c>
      <c r="B47" s="2336" t="s">
        <v>250</v>
      </c>
      <c r="C47" s="2993">
        <v>27150</v>
      </c>
      <c r="D47" s="2993">
        <v>23310</v>
      </c>
      <c r="E47" s="2993">
        <v>25150</v>
      </c>
      <c r="F47" s="2993"/>
      <c r="G47" s="2997">
        <v>16310</v>
      </c>
      <c r="N47" s="2335" t="s">
        <v>2933</v>
      </c>
      <c r="Q47" s="2335" t="s">
        <v>2934</v>
      </c>
    </row>
    <row r="48" spans="1:17" ht="14.25" customHeight="1">
      <c r="A48" s="2335" t="s">
        <v>294</v>
      </c>
      <c r="B48" s="2336" t="s">
        <v>258</v>
      </c>
      <c r="C48" s="2993">
        <v>23100</v>
      </c>
      <c r="D48" s="2993">
        <v>21110</v>
      </c>
      <c r="E48" s="2993">
        <v>23080</v>
      </c>
      <c r="F48" s="2993"/>
      <c r="G48" s="2997">
        <v>14780</v>
      </c>
      <c r="N48" s="2335" t="s">
        <v>2935</v>
      </c>
      <c r="Q48" s="2335" t="s">
        <v>2936</v>
      </c>
    </row>
    <row r="49" spans="1:17" ht="14.25" customHeight="1">
      <c r="A49" s="2335" t="s">
        <v>294</v>
      </c>
      <c r="B49" s="2336" t="s">
        <v>265</v>
      </c>
      <c r="C49" s="2993">
        <v>23400</v>
      </c>
      <c r="D49" s="2993">
        <v>22920</v>
      </c>
      <c r="E49" s="2993">
        <v>24900</v>
      </c>
      <c r="F49" s="2993"/>
      <c r="G49" s="2997">
        <v>16040</v>
      </c>
      <c r="N49" s="2335" t="s">
        <v>2937</v>
      </c>
      <c r="Q49" s="2335" t="s">
        <v>2938</v>
      </c>
    </row>
    <row r="50" spans="1:17" ht="14.25" customHeight="1">
      <c r="A50" s="2335" t="s">
        <v>294</v>
      </c>
      <c r="B50" s="2336" t="s">
        <v>2815</v>
      </c>
      <c r="C50" s="2993">
        <v>21200</v>
      </c>
      <c r="D50" s="2993">
        <v>26540</v>
      </c>
      <c r="E50" s="2993">
        <v>23200</v>
      </c>
      <c r="F50" s="2993"/>
      <c r="G50" s="2997">
        <v>18580</v>
      </c>
      <c r="N50" s="2335" t="s">
        <v>2939</v>
      </c>
      <c r="Q50" s="2336" t="s">
        <v>2940</v>
      </c>
    </row>
    <row r="51" spans="1:17" ht="14.25" customHeight="1" thickBot="1">
      <c r="A51" s="2335" t="s">
        <v>294</v>
      </c>
      <c r="B51" s="2336" t="s">
        <v>2817</v>
      </c>
      <c r="C51" s="2993">
        <v>23000</v>
      </c>
      <c r="D51" s="2993">
        <v>23460</v>
      </c>
      <c r="E51" s="2993">
        <v>25290</v>
      </c>
      <c r="F51" s="2993"/>
      <c r="G51" s="2997">
        <v>16420</v>
      </c>
      <c r="N51" s="2335" t="s">
        <v>2941</v>
      </c>
      <c r="Q51" s="2342" t="s">
        <v>2942</v>
      </c>
    </row>
    <row r="52" spans="1:17" ht="14.25" customHeight="1">
      <c r="A52" s="2335" t="s">
        <v>294</v>
      </c>
      <c r="B52" s="2336" t="s">
        <v>2821</v>
      </c>
      <c r="C52" s="2993">
        <v>26660</v>
      </c>
      <c r="D52" s="2993">
        <v>22350</v>
      </c>
      <c r="E52" s="2993">
        <v>22920</v>
      </c>
      <c r="F52" s="2993"/>
      <c r="G52" s="2997">
        <v>15640</v>
      </c>
      <c r="N52" s="2335" t="s">
        <v>2943</v>
      </c>
    </row>
    <row r="53" spans="1:17" ht="14.25" customHeight="1">
      <c r="A53" s="2335" t="s">
        <v>294</v>
      </c>
      <c r="B53" s="2336" t="s">
        <v>2826</v>
      </c>
      <c r="C53" s="2993">
        <v>23580</v>
      </c>
      <c r="D53" s="2993"/>
      <c r="E53" s="2993">
        <v>24280</v>
      </c>
      <c r="F53" s="2993"/>
      <c r="G53" s="2997"/>
      <c r="N53" s="2335" t="s">
        <v>2944</v>
      </c>
    </row>
    <row r="54" spans="1:17" ht="14.25" customHeight="1" thickBot="1">
      <c r="A54" s="2347" t="s">
        <v>294</v>
      </c>
      <c r="B54" s="2341" t="s">
        <v>2829</v>
      </c>
      <c r="C54" s="2994">
        <v>22460</v>
      </c>
      <c r="D54" s="2994"/>
      <c r="E54" s="2994"/>
      <c r="F54" s="2994"/>
      <c r="G54" s="2998"/>
      <c r="N54" s="2335" t="s">
        <v>2945</v>
      </c>
    </row>
    <row r="55" spans="1:17" ht="14.25" customHeight="1">
      <c r="A55" s="2340" t="s">
        <v>108</v>
      </c>
      <c r="B55" s="2331" t="s">
        <v>2946</v>
      </c>
      <c r="C55" s="2993">
        <v>21970</v>
      </c>
      <c r="D55" s="2993">
        <v>20370</v>
      </c>
      <c r="E55" s="2993">
        <v>20180</v>
      </c>
      <c r="F55" s="2993">
        <v>5730</v>
      </c>
      <c r="G55" s="2993">
        <v>13820</v>
      </c>
      <c r="N55" s="2335" t="s">
        <v>2947</v>
      </c>
    </row>
    <row r="56" spans="1:17" ht="14.25" customHeight="1">
      <c r="A56" s="2335" t="s">
        <v>108</v>
      </c>
      <c r="B56" s="2335" t="s">
        <v>128</v>
      </c>
      <c r="C56" s="2993">
        <v>20470</v>
      </c>
      <c r="D56" s="2993">
        <v>20700</v>
      </c>
      <c r="E56" s="2993">
        <v>20380</v>
      </c>
      <c r="F56" s="2993">
        <v>4760</v>
      </c>
      <c r="G56" s="2993">
        <v>14050</v>
      </c>
      <c r="N56" s="2335" t="s">
        <v>2948</v>
      </c>
    </row>
    <row r="57" spans="1:17" ht="14.25" customHeight="1">
      <c r="A57" s="2335" t="s">
        <v>108</v>
      </c>
      <c r="B57" s="2335" t="s">
        <v>137</v>
      </c>
      <c r="C57" s="2993">
        <v>20790</v>
      </c>
      <c r="D57" s="2993">
        <v>21370</v>
      </c>
      <c r="E57" s="2993">
        <v>20890</v>
      </c>
      <c r="F57" s="2993">
        <v>4910</v>
      </c>
      <c r="G57" s="2993">
        <v>14510</v>
      </c>
      <c r="N57" s="2335" t="s">
        <v>2949</v>
      </c>
    </row>
    <row r="58" spans="1:17" ht="14.25" customHeight="1">
      <c r="A58" s="2335" t="s">
        <v>108</v>
      </c>
      <c r="B58" s="2335" t="s">
        <v>146</v>
      </c>
      <c r="C58" s="2993">
        <v>21460</v>
      </c>
      <c r="D58" s="2993">
        <v>20920</v>
      </c>
      <c r="E58" s="2993">
        <v>23410</v>
      </c>
      <c r="F58" s="2993">
        <v>5100</v>
      </c>
      <c r="G58" s="2993">
        <v>14200</v>
      </c>
      <c r="N58" s="2335" t="s">
        <v>2950</v>
      </c>
    </row>
    <row r="59" spans="1:17" ht="14.25" customHeight="1">
      <c r="A59" s="2335" t="s">
        <v>108</v>
      </c>
      <c r="B59" s="2335" t="s">
        <v>155</v>
      </c>
      <c r="C59" s="2993">
        <v>21000</v>
      </c>
      <c r="D59" s="2993">
        <v>21550</v>
      </c>
      <c r="E59" s="2993">
        <v>21150</v>
      </c>
      <c r="F59" s="2993">
        <v>5250</v>
      </c>
      <c r="G59" s="2993">
        <v>14630</v>
      </c>
      <c r="N59" s="2335" t="s">
        <v>2951</v>
      </c>
    </row>
    <row r="60" spans="1:17" ht="14.25" customHeight="1">
      <c r="A60" s="2335" t="s">
        <v>108</v>
      </c>
      <c r="B60" s="2335" t="s">
        <v>162</v>
      </c>
      <c r="C60" s="2993">
        <v>21640</v>
      </c>
      <c r="D60" s="2993">
        <v>21260</v>
      </c>
      <c r="E60" s="2993">
        <v>24040</v>
      </c>
      <c r="F60" s="2993">
        <v>4470</v>
      </c>
      <c r="G60" s="2993">
        <v>14430</v>
      </c>
      <c r="N60" s="2335" t="s">
        <v>2952</v>
      </c>
    </row>
    <row r="61" spans="1:17" ht="14.25" customHeight="1">
      <c r="A61" s="2335" t="s">
        <v>108</v>
      </c>
      <c r="B61" s="2335" t="s">
        <v>168</v>
      </c>
      <c r="C61" s="2993">
        <v>21330</v>
      </c>
      <c r="D61" s="2993">
        <v>18640</v>
      </c>
      <c r="E61" s="2993">
        <v>21190</v>
      </c>
      <c r="F61" s="2993">
        <v>4180</v>
      </c>
      <c r="G61" s="2993">
        <v>12650</v>
      </c>
      <c r="N61" s="2335" t="s">
        <v>2953</v>
      </c>
    </row>
    <row r="62" spans="1:17" ht="14.25" customHeight="1">
      <c r="A62" s="2335" t="s">
        <v>108</v>
      </c>
      <c r="B62" s="2335" t="s">
        <v>175</v>
      </c>
      <c r="C62" s="2993">
        <v>18710</v>
      </c>
      <c r="D62" s="2993">
        <v>19400</v>
      </c>
      <c r="E62" s="2993">
        <v>23750</v>
      </c>
      <c r="F62" s="2993">
        <v>4860</v>
      </c>
      <c r="G62" s="2993">
        <v>13170</v>
      </c>
      <c r="N62" s="2335" t="s">
        <v>2954</v>
      </c>
    </row>
    <row r="63" spans="1:17" ht="14.25" customHeight="1">
      <c r="A63" s="2335" t="s">
        <v>108</v>
      </c>
      <c r="B63" s="2335" t="s">
        <v>185</v>
      </c>
      <c r="C63" s="2993">
        <v>19480</v>
      </c>
      <c r="D63" s="2993">
        <v>16830</v>
      </c>
      <c r="E63" s="2993">
        <v>21590</v>
      </c>
      <c r="F63" s="2993">
        <v>4560</v>
      </c>
      <c r="G63" s="2993">
        <v>11420</v>
      </c>
      <c r="N63" s="2335" t="s">
        <v>2955</v>
      </c>
    </row>
    <row r="64" spans="1:17" ht="14.25" customHeight="1" thickBot="1">
      <c r="A64" s="2335" t="s">
        <v>108</v>
      </c>
      <c r="B64" s="2335" t="s">
        <v>194</v>
      </c>
      <c r="C64" s="2993">
        <v>16920</v>
      </c>
      <c r="D64" s="2993">
        <v>19190</v>
      </c>
      <c r="E64" s="2993">
        <v>22200</v>
      </c>
      <c r="F64" s="2993">
        <v>4390</v>
      </c>
      <c r="G64" s="2993">
        <v>13030</v>
      </c>
      <c r="N64" s="2342" t="s">
        <v>2956</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2827</v>
      </c>
      <c r="C78" s="2993">
        <v>19820</v>
      </c>
      <c r="D78" s="2993">
        <v>19780</v>
      </c>
      <c r="E78" s="2993">
        <v>18560</v>
      </c>
      <c r="F78" s="2993"/>
      <c r="G78" s="2993">
        <v>13430</v>
      </c>
    </row>
    <row r="79" spans="1:7" s="2200" customFormat="1" ht="14.25" customHeight="1">
      <c r="A79" s="2335" t="s">
        <v>108</v>
      </c>
      <c r="B79" s="2335" t="s">
        <v>2830</v>
      </c>
      <c r="C79" s="2993">
        <v>21660</v>
      </c>
      <c r="D79" s="2993">
        <v>18000</v>
      </c>
      <c r="E79" s="2993">
        <v>22570</v>
      </c>
      <c r="F79" s="2993"/>
      <c r="G79" s="2993">
        <v>12220</v>
      </c>
    </row>
    <row r="80" spans="1:7" s="2200" customFormat="1" ht="14.25" customHeight="1">
      <c r="A80" s="2335" t="s">
        <v>108</v>
      </c>
      <c r="B80" s="2335" t="s">
        <v>2834</v>
      </c>
      <c r="C80" s="2993">
        <v>19850</v>
      </c>
      <c r="D80" s="2993"/>
      <c r="E80" s="2993">
        <v>21700</v>
      </c>
      <c r="F80" s="2993"/>
      <c r="G80" s="2993"/>
    </row>
    <row r="81" spans="1:7" s="2200" customFormat="1" ht="14.25" customHeight="1">
      <c r="A81" s="2335" t="s">
        <v>108</v>
      </c>
      <c r="B81" s="2335" t="s">
        <v>2839</v>
      </c>
      <c r="C81" s="2993">
        <v>18080</v>
      </c>
      <c r="D81" s="2993"/>
      <c r="E81" s="2993">
        <v>20900</v>
      </c>
      <c r="F81" s="2993"/>
      <c r="G81" s="2993"/>
    </row>
    <row r="82" spans="1:7" s="2200" customFormat="1" ht="14.25" customHeight="1">
      <c r="A82" s="2335" t="s">
        <v>108</v>
      </c>
      <c r="B82" s="2335" t="s">
        <v>2846</v>
      </c>
      <c r="C82" s="2993"/>
      <c r="D82" s="2993"/>
      <c r="E82" s="2993">
        <v>20840</v>
      </c>
      <c r="F82" s="2993"/>
      <c r="G82" s="2993"/>
    </row>
    <row r="83" spans="1:7" s="2200" customFormat="1" ht="14.25" customHeight="1">
      <c r="A83" s="2335" t="s">
        <v>108</v>
      </c>
      <c r="B83" s="2335" t="s">
        <v>2957</v>
      </c>
      <c r="C83" s="2993"/>
      <c r="D83" s="2993"/>
      <c r="E83" s="2993"/>
      <c r="F83" s="2993">
        <v>4770</v>
      </c>
      <c r="G83" s="2993"/>
    </row>
    <row r="84" spans="1:7" s="2200" customFormat="1" ht="14.25" customHeight="1">
      <c r="A84" s="2335" t="s">
        <v>108</v>
      </c>
      <c r="B84" s="2335" t="s">
        <v>2958</v>
      </c>
      <c r="C84" s="2993"/>
      <c r="D84" s="2993"/>
      <c r="E84" s="2993"/>
      <c r="F84" s="2993">
        <v>4600</v>
      </c>
      <c r="G84" s="2993"/>
    </row>
    <row r="85" spans="1:7" s="2200" customFormat="1" ht="14.25" customHeight="1">
      <c r="A85" s="2335" t="s">
        <v>108</v>
      </c>
      <c r="B85" s="2335" t="s">
        <v>2959</v>
      </c>
      <c r="C85" s="2993"/>
      <c r="D85" s="2993"/>
      <c r="E85" s="2993"/>
      <c r="F85" s="2993">
        <v>4680</v>
      </c>
      <c r="G85" s="2993"/>
    </row>
    <row r="86" spans="1:7" s="2200" customFormat="1" ht="14.25" customHeight="1" thickBot="1">
      <c r="A86" s="2343" t="s">
        <v>108</v>
      </c>
      <c r="B86" s="2345" t="s">
        <v>2960</v>
      </c>
      <c r="C86" s="2995">
        <v>16610</v>
      </c>
      <c r="D86" s="2995">
        <v>16540</v>
      </c>
      <c r="E86" s="2995">
        <v>18850</v>
      </c>
      <c r="F86" s="2995"/>
      <c r="G86" s="2995">
        <v>11220</v>
      </c>
    </row>
    <row r="87" spans="1:7" s="2200" customFormat="1" ht="14.25" customHeight="1">
      <c r="A87" s="2340" t="s">
        <v>301</v>
      </c>
      <c r="B87" s="2331" t="s">
        <v>2961</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2840</v>
      </c>
      <c r="C113" s="2993">
        <v>15520</v>
      </c>
      <c r="D113" s="2993">
        <v>15450</v>
      </c>
      <c r="E113" s="2993"/>
      <c r="F113" s="2993"/>
      <c r="G113" s="2997">
        <v>10210</v>
      </c>
    </row>
    <row r="114" spans="1:7" s="2200" customFormat="1" ht="14.25" customHeight="1">
      <c r="A114" s="2335" t="s">
        <v>301</v>
      </c>
      <c r="B114" s="2335" t="s">
        <v>2847</v>
      </c>
      <c r="C114" s="2993">
        <v>13110</v>
      </c>
      <c r="D114" s="2993">
        <v>13050</v>
      </c>
      <c r="E114" s="2993"/>
      <c r="F114" s="2993"/>
      <c r="G114" s="2997">
        <v>8620</v>
      </c>
    </row>
    <row r="115" spans="1:7" s="2200" customFormat="1" ht="14.25" customHeight="1">
      <c r="A115" s="2335" t="s">
        <v>301</v>
      </c>
      <c r="B115" s="2335" t="s">
        <v>2853</v>
      </c>
      <c r="C115" s="2993">
        <v>12460</v>
      </c>
      <c r="D115" s="2993">
        <v>12390</v>
      </c>
      <c r="E115" s="2993"/>
      <c r="F115" s="2993"/>
      <c r="G115" s="2997">
        <v>8190</v>
      </c>
    </row>
    <row r="116" spans="1:7" s="2200" customFormat="1" ht="14.25" customHeight="1">
      <c r="A116" s="2335" t="s">
        <v>301</v>
      </c>
      <c r="B116" s="2335" t="s">
        <v>2860</v>
      </c>
      <c r="C116" s="2993">
        <v>13580</v>
      </c>
      <c r="D116" s="2993">
        <v>13520</v>
      </c>
      <c r="E116" s="2993"/>
      <c r="F116" s="2993"/>
      <c r="G116" s="2997">
        <v>8930</v>
      </c>
    </row>
    <row r="117" spans="1:7" s="2200" customFormat="1" ht="14.25" customHeight="1">
      <c r="A117" s="2335" t="s">
        <v>301</v>
      </c>
      <c r="B117" s="2335" t="s">
        <v>2867</v>
      </c>
      <c r="C117" s="2993">
        <v>17120</v>
      </c>
      <c r="D117" s="2993">
        <v>17040</v>
      </c>
      <c r="E117" s="2993"/>
      <c r="F117" s="2993"/>
      <c r="G117" s="2997">
        <v>11260</v>
      </c>
    </row>
    <row r="118" spans="1:7" s="2200" customFormat="1" ht="14.25" customHeight="1">
      <c r="A118" s="2335" t="s">
        <v>301</v>
      </c>
      <c r="B118" s="2335" t="s">
        <v>2872</v>
      </c>
      <c r="C118" s="2993">
        <v>14860</v>
      </c>
      <c r="D118" s="2993">
        <v>14790</v>
      </c>
      <c r="E118" s="2993"/>
      <c r="F118" s="2993"/>
      <c r="G118" s="2997">
        <v>9780</v>
      </c>
    </row>
    <row r="119" spans="1:7" s="2200" customFormat="1" ht="14.25" customHeight="1">
      <c r="A119" s="2335" t="s">
        <v>301</v>
      </c>
      <c r="B119" s="2335" t="s">
        <v>2876</v>
      </c>
      <c r="C119" s="2993">
        <v>16470</v>
      </c>
      <c r="D119" s="2993">
        <v>16400</v>
      </c>
      <c r="E119" s="2993"/>
      <c r="F119" s="2993"/>
      <c r="G119" s="2997">
        <v>10840</v>
      </c>
    </row>
    <row r="120" spans="1:7" s="2200" customFormat="1" ht="14.25" customHeight="1">
      <c r="A120" s="2335" t="s">
        <v>301</v>
      </c>
      <c r="B120" s="2335" t="s">
        <v>2962</v>
      </c>
      <c r="C120" s="2993"/>
      <c r="D120" s="2993"/>
      <c r="E120" s="2993"/>
      <c r="F120" s="2993">
        <v>4160</v>
      </c>
      <c r="G120" s="2997"/>
    </row>
    <row r="121" spans="1:7" s="2200" customFormat="1" ht="14.25" customHeight="1">
      <c r="A121" s="2335" t="s">
        <v>301</v>
      </c>
      <c r="B121" s="2335" t="s">
        <v>2963</v>
      </c>
      <c r="C121" s="2993"/>
      <c r="D121" s="2993"/>
      <c r="E121" s="2993"/>
      <c r="F121" s="2993">
        <v>3880</v>
      </c>
      <c r="G121" s="2997"/>
    </row>
    <row r="122" spans="1:7" s="2200" customFormat="1" ht="14.25" customHeight="1">
      <c r="A122" s="2335" t="s">
        <v>301</v>
      </c>
      <c r="B122" s="2335" t="s">
        <v>2964</v>
      </c>
      <c r="C122" s="2993">
        <v>13750</v>
      </c>
      <c r="D122" s="2993">
        <v>13680</v>
      </c>
      <c r="E122" s="2993">
        <v>16460</v>
      </c>
      <c r="F122" s="2993">
        <v>2880</v>
      </c>
      <c r="G122" s="2997">
        <v>9040</v>
      </c>
    </row>
    <row r="123" spans="1:7" s="2200" customFormat="1" ht="14.25" customHeight="1">
      <c r="A123" s="2335" t="s">
        <v>301</v>
      </c>
      <c r="B123" s="2335" t="s">
        <v>2895</v>
      </c>
      <c r="C123" s="2993">
        <v>13590</v>
      </c>
      <c r="D123" s="2993">
        <v>13520</v>
      </c>
      <c r="E123" s="2993">
        <v>16290</v>
      </c>
      <c r="F123" s="2993">
        <v>2790</v>
      </c>
      <c r="G123" s="2997">
        <v>8930</v>
      </c>
    </row>
    <row r="124" spans="1:7" s="2200" customFormat="1" ht="14.25" customHeight="1">
      <c r="A124" s="2335" t="s">
        <v>301</v>
      </c>
      <c r="B124" s="2335" t="s">
        <v>2900</v>
      </c>
      <c r="C124" s="2993">
        <v>13400</v>
      </c>
      <c r="D124" s="2993">
        <v>13320</v>
      </c>
      <c r="E124" s="2993">
        <v>16100</v>
      </c>
      <c r="F124" s="2993">
        <v>2320</v>
      </c>
      <c r="G124" s="2997">
        <v>8800</v>
      </c>
    </row>
    <row r="125" spans="1:7" s="2200" customFormat="1" ht="14.25" customHeight="1">
      <c r="A125" s="2335" t="s">
        <v>301</v>
      </c>
      <c r="B125" s="2335" t="s">
        <v>2905</v>
      </c>
      <c r="C125" s="2993">
        <v>12860</v>
      </c>
      <c r="D125" s="2993">
        <v>12790</v>
      </c>
      <c r="E125" s="2993">
        <v>15370</v>
      </c>
      <c r="F125" s="2993">
        <v>2280</v>
      </c>
      <c r="G125" s="2997">
        <v>8450</v>
      </c>
    </row>
    <row r="126" spans="1:7" s="2200" customFormat="1" ht="14.25" customHeight="1" thickBot="1">
      <c r="A126" s="2347" t="s">
        <v>301</v>
      </c>
      <c r="B126" s="2342" t="s">
        <v>2910</v>
      </c>
      <c r="C126" s="2994">
        <v>12960</v>
      </c>
      <c r="D126" s="2994">
        <v>12890</v>
      </c>
      <c r="E126" s="2994">
        <v>15530</v>
      </c>
      <c r="F126" s="2994">
        <v>2910</v>
      </c>
      <c r="G126" s="2998">
        <v>8520</v>
      </c>
    </row>
    <row r="127" spans="1:7" s="2200" customFormat="1" ht="14.25" customHeight="1">
      <c r="A127" s="2340" t="s">
        <v>27</v>
      </c>
      <c r="B127" s="2331" t="s">
        <v>2965</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2966</v>
      </c>
      <c r="C148" s="2993">
        <v>10370</v>
      </c>
      <c r="D148" s="2993">
        <v>10310</v>
      </c>
      <c r="E148" s="2993">
        <v>12970</v>
      </c>
      <c r="F148" s="2993"/>
      <c r="G148" s="2993">
        <v>6630</v>
      </c>
    </row>
    <row r="149" spans="1:7" s="2200" customFormat="1" ht="14.25" customHeight="1">
      <c r="A149" s="2335" t="s">
        <v>27</v>
      </c>
      <c r="B149" s="2335" t="s">
        <v>2967</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2841</v>
      </c>
      <c r="C153" s="2993">
        <v>10880</v>
      </c>
      <c r="D153" s="2993">
        <v>10820</v>
      </c>
      <c r="E153" s="2993">
        <v>13660</v>
      </c>
      <c r="F153" s="2993">
        <v>2260</v>
      </c>
      <c r="G153" s="2993">
        <v>6970</v>
      </c>
    </row>
    <row r="154" spans="1:7" s="2200" customFormat="1" ht="14.25" customHeight="1">
      <c r="A154" s="2335" t="s">
        <v>27</v>
      </c>
      <c r="B154" s="2335" t="s">
        <v>2968</v>
      </c>
      <c r="C154" s="2993">
        <v>11220</v>
      </c>
      <c r="D154" s="2993">
        <v>11160</v>
      </c>
      <c r="E154" s="2993">
        <v>14130</v>
      </c>
      <c r="F154" s="2993">
        <v>2230</v>
      </c>
      <c r="G154" s="2993">
        <v>7180</v>
      </c>
    </row>
    <row r="155" spans="1:7" s="2200" customFormat="1" ht="14.25" customHeight="1">
      <c r="A155" s="2335" t="s">
        <v>27</v>
      </c>
      <c r="B155" s="2335" t="s">
        <v>2854</v>
      </c>
      <c r="C155" s="2993">
        <v>10430</v>
      </c>
      <c r="D155" s="2993">
        <v>10380</v>
      </c>
      <c r="E155" s="2993">
        <v>13140</v>
      </c>
      <c r="F155" s="2993">
        <v>2080</v>
      </c>
      <c r="G155" s="2993">
        <v>6650</v>
      </c>
    </row>
    <row r="156" spans="1:7" s="2200" customFormat="1" ht="14.25" customHeight="1">
      <c r="A156" s="2335" t="s">
        <v>27</v>
      </c>
      <c r="B156" s="2335" t="s">
        <v>2969</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2970</v>
      </c>
      <c r="C160" s="2993">
        <v>11180</v>
      </c>
      <c r="D160" s="2993">
        <v>11140</v>
      </c>
      <c r="E160" s="2993">
        <v>14050</v>
      </c>
      <c r="F160" s="2993">
        <v>2270</v>
      </c>
      <c r="G160" s="2993">
        <v>7170</v>
      </c>
    </row>
    <row r="161" spans="1:7" s="2200" customFormat="1" ht="14.25" customHeight="1">
      <c r="A161" s="2335" t="s">
        <v>27</v>
      </c>
      <c r="B161" s="2335" t="s">
        <v>2886</v>
      </c>
      <c r="C161" s="2993">
        <v>11160</v>
      </c>
      <c r="D161" s="2993">
        <v>11120</v>
      </c>
      <c r="E161" s="2993">
        <v>14020</v>
      </c>
      <c r="F161" s="2993">
        <v>2150</v>
      </c>
      <c r="G161" s="2993">
        <v>7160</v>
      </c>
    </row>
    <row r="162" spans="1:7" s="2200" customFormat="1" ht="14.25" customHeight="1">
      <c r="A162" s="2335" t="s">
        <v>27</v>
      </c>
      <c r="B162" s="2335" t="s">
        <v>2891</v>
      </c>
      <c r="C162" s="2993">
        <v>9620</v>
      </c>
      <c r="D162" s="2993">
        <v>9570</v>
      </c>
      <c r="E162" s="2993">
        <v>12320</v>
      </c>
      <c r="F162" s="2993">
        <v>2010</v>
      </c>
      <c r="G162" s="2993">
        <v>6160</v>
      </c>
    </row>
    <row r="163" spans="1:7" s="2200" customFormat="1" ht="14.25" customHeight="1">
      <c r="A163" s="2335" t="s">
        <v>27</v>
      </c>
      <c r="B163" s="2335" t="s">
        <v>2896</v>
      </c>
      <c r="C163" s="2993">
        <v>9320</v>
      </c>
      <c r="D163" s="2993">
        <v>9270</v>
      </c>
      <c r="E163" s="2993">
        <v>11790</v>
      </c>
      <c r="F163" s="2993">
        <v>1920</v>
      </c>
      <c r="G163" s="2993">
        <v>5960</v>
      </c>
    </row>
    <row r="164" spans="1:7" s="2200" customFormat="1" ht="14.25" customHeight="1">
      <c r="A164" s="2335" t="s">
        <v>27</v>
      </c>
      <c r="B164" s="2335" t="s">
        <v>2901</v>
      </c>
      <c r="C164" s="2993"/>
      <c r="D164" s="2993"/>
      <c r="E164" s="2993"/>
      <c r="F164" s="2993">
        <v>1980</v>
      </c>
      <c r="G164" s="2993"/>
    </row>
    <row r="165" spans="1:7" s="2200" customFormat="1" ht="14.25" customHeight="1">
      <c r="A165" s="2335" t="s">
        <v>27</v>
      </c>
      <c r="B165" s="2335" t="s">
        <v>2971</v>
      </c>
      <c r="C165" s="2993">
        <v>11060</v>
      </c>
      <c r="D165" s="2993">
        <v>11030</v>
      </c>
      <c r="E165" s="2993">
        <v>13850</v>
      </c>
      <c r="F165" s="2993">
        <v>2170</v>
      </c>
      <c r="G165" s="2993">
        <v>7090</v>
      </c>
    </row>
    <row r="166" spans="1:7" s="2200" customFormat="1" ht="14.25" customHeight="1">
      <c r="A166" s="2335" t="s">
        <v>27</v>
      </c>
      <c r="B166" s="2335" t="s">
        <v>2911</v>
      </c>
      <c r="C166" s="2993">
        <v>11050</v>
      </c>
      <c r="D166" s="2993">
        <v>11010</v>
      </c>
      <c r="E166" s="2993">
        <v>13920</v>
      </c>
      <c r="F166" s="2993">
        <v>2140</v>
      </c>
      <c r="G166" s="2993">
        <v>7080</v>
      </c>
    </row>
    <row r="167" spans="1:7" s="2200" customFormat="1" ht="14.25" customHeight="1">
      <c r="A167" s="2335" t="s">
        <v>27</v>
      </c>
      <c r="B167" s="2335" t="s">
        <v>2915</v>
      </c>
      <c r="C167" s="2993">
        <v>10930</v>
      </c>
      <c r="D167" s="2993">
        <v>10890</v>
      </c>
      <c r="E167" s="2993">
        <v>13790</v>
      </c>
      <c r="F167" s="2993">
        <v>2010</v>
      </c>
      <c r="G167" s="2993">
        <v>7000</v>
      </c>
    </row>
    <row r="168" spans="1:7" s="2200" customFormat="1" ht="14.25" customHeight="1">
      <c r="A168" s="2335" t="s">
        <v>27</v>
      </c>
      <c r="B168" s="2335" t="s">
        <v>2920</v>
      </c>
      <c r="C168" s="2993">
        <v>9420</v>
      </c>
      <c r="D168" s="2993">
        <v>9380</v>
      </c>
      <c r="E168" s="2993">
        <v>11970</v>
      </c>
      <c r="F168" s="2993"/>
      <c r="G168" s="2993">
        <v>6040</v>
      </c>
    </row>
    <row r="169" spans="1:7" s="2200" customFormat="1" ht="14.25" customHeight="1">
      <c r="A169" s="2335" t="s">
        <v>27</v>
      </c>
      <c r="B169" s="2335" t="s">
        <v>2972</v>
      </c>
      <c r="C169" s="2993"/>
      <c r="D169" s="2993"/>
      <c r="E169" s="2993"/>
      <c r="F169" s="2993">
        <v>2880</v>
      </c>
      <c r="G169" s="2993"/>
    </row>
    <row r="170" spans="1:7" s="2200" customFormat="1" ht="14.25" customHeight="1">
      <c r="A170" s="2335" t="s">
        <v>27</v>
      </c>
      <c r="B170" s="2335" t="s">
        <v>2928</v>
      </c>
      <c r="C170" s="2993"/>
      <c r="D170" s="2993"/>
      <c r="E170" s="2993"/>
      <c r="F170" s="2993">
        <v>2880</v>
      </c>
      <c r="G170" s="2993"/>
    </row>
    <row r="171" spans="1:7" s="2200" customFormat="1" ht="14.25" customHeight="1">
      <c r="A171" s="2335" t="s">
        <v>27</v>
      </c>
      <c r="B171" s="2335" t="s">
        <v>2931</v>
      </c>
      <c r="C171" s="2993"/>
      <c r="D171" s="2993"/>
      <c r="E171" s="2993"/>
      <c r="F171" s="2993">
        <v>2880</v>
      </c>
      <c r="G171" s="2993"/>
    </row>
    <row r="172" spans="1:7" s="2200" customFormat="1" ht="14.25" customHeight="1">
      <c r="A172" s="2335" t="s">
        <v>27</v>
      </c>
      <c r="B172" s="2335" t="s">
        <v>2933</v>
      </c>
      <c r="C172" s="2993"/>
      <c r="D172" s="2993"/>
      <c r="E172" s="2993"/>
      <c r="F172" s="2993">
        <v>2880</v>
      </c>
      <c r="G172" s="2993"/>
    </row>
    <row r="173" spans="1:7" s="2200" customFormat="1" ht="14.25" customHeight="1">
      <c r="A173" s="2335" t="s">
        <v>27</v>
      </c>
      <c r="B173" s="2335" t="s">
        <v>2935</v>
      </c>
      <c r="C173" s="2993"/>
      <c r="D173" s="2993"/>
      <c r="E173" s="2993"/>
      <c r="F173" s="2993">
        <v>2150</v>
      </c>
      <c r="G173" s="2993"/>
    </row>
    <row r="174" spans="1:7" s="2200" customFormat="1" ht="14.25" customHeight="1">
      <c r="A174" s="2335" t="s">
        <v>27</v>
      </c>
      <c r="B174" s="2335" t="s">
        <v>2937</v>
      </c>
      <c r="C174" s="2993"/>
      <c r="D174" s="2993"/>
      <c r="E174" s="2993"/>
      <c r="F174" s="2993">
        <v>2030</v>
      </c>
      <c r="G174" s="2993"/>
    </row>
    <row r="175" spans="1:7" s="2200" customFormat="1" ht="14.25" customHeight="1">
      <c r="A175" s="2335" t="s">
        <v>27</v>
      </c>
      <c r="B175" s="2335" t="s">
        <v>2939</v>
      </c>
      <c r="C175" s="2993"/>
      <c r="D175" s="2993"/>
      <c r="E175" s="2993"/>
      <c r="F175" s="2993">
        <v>2780</v>
      </c>
      <c r="G175" s="2993"/>
    </row>
    <row r="176" spans="1:7" s="2200" customFormat="1" ht="14.25" customHeight="1">
      <c r="A176" s="2335" t="s">
        <v>27</v>
      </c>
      <c r="B176" s="2335" t="s">
        <v>2941</v>
      </c>
      <c r="C176" s="2993"/>
      <c r="D176" s="2993"/>
      <c r="E176" s="2993"/>
      <c r="F176" s="2993">
        <v>2780</v>
      </c>
      <c r="G176" s="2993"/>
    </row>
    <row r="177" spans="1:7" s="2200" customFormat="1" ht="14.25" customHeight="1">
      <c r="A177" s="2335" t="s">
        <v>27</v>
      </c>
      <c r="B177" s="2335" t="s">
        <v>2973</v>
      </c>
      <c r="C177" s="2993"/>
      <c r="D177" s="2993"/>
      <c r="E177" s="2993"/>
      <c r="F177" s="2993">
        <v>2780</v>
      </c>
      <c r="G177" s="2993"/>
    </row>
    <row r="178" spans="1:7" s="2200" customFormat="1" ht="14.25" customHeight="1">
      <c r="A178" s="2335" t="s">
        <v>27</v>
      </c>
      <c r="B178" s="2335" t="s">
        <v>2974</v>
      </c>
      <c r="C178" s="2993"/>
      <c r="D178" s="2993"/>
      <c r="E178" s="2993"/>
      <c r="F178" s="2993">
        <v>2060</v>
      </c>
      <c r="G178" s="2993"/>
    </row>
    <row r="179" spans="1:7" s="2200" customFormat="1" ht="14.25" customHeight="1">
      <c r="A179" s="2335" t="s">
        <v>27</v>
      </c>
      <c r="B179" s="2335" t="s">
        <v>2975</v>
      </c>
      <c r="C179" s="2993"/>
      <c r="D179" s="2993"/>
      <c r="E179" s="2993"/>
      <c r="F179" s="2993">
        <v>2120</v>
      </c>
      <c r="G179" s="2993"/>
    </row>
    <row r="180" spans="1:7" s="2200" customFormat="1" ht="14.25" customHeight="1">
      <c r="A180" s="2335" t="s">
        <v>27</v>
      </c>
      <c r="B180" s="2335" t="s">
        <v>2947</v>
      </c>
      <c r="C180" s="2993"/>
      <c r="D180" s="2993"/>
      <c r="E180" s="2993"/>
      <c r="F180" s="2993">
        <v>2340</v>
      </c>
      <c r="G180" s="2993"/>
    </row>
    <row r="181" spans="1:7" s="2200" customFormat="1" ht="14.25" customHeight="1">
      <c r="A181" s="2335" t="s">
        <v>27</v>
      </c>
      <c r="B181" s="2335" t="s">
        <v>2948</v>
      </c>
      <c r="C181" s="2993"/>
      <c r="D181" s="2993"/>
      <c r="E181" s="2993"/>
      <c r="F181" s="2993">
        <v>2340</v>
      </c>
      <c r="G181" s="2993"/>
    </row>
    <row r="182" spans="1:7" s="2200" customFormat="1" ht="14.25" customHeight="1">
      <c r="A182" s="2335" t="s">
        <v>27</v>
      </c>
      <c r="B182" s="2335" t="s">
        <v>2949</v>
      </c>
      <c r="C182" s="2993"/>
      <c r="D182" s="2993"/>
      <c r="E182" s="2993"/>
      <c r="F182" s="2993">
        <v>2340</v>
      </c>
      <c r="G182" s="2993"/>
    </row>
    <row r="183" spans="1:7" s="2200" customFormat="1" ht="14.25" customHeight="1">
      <c r="A183" s="2335" t="s">
        <v>27</v>
      </c>
      <c r="B183" s="2335" t="s">
        <v>2950</v>
      </c>
      <c r="C183" s="2993"/>
      <c r="D183" s="2993"/>
      <c r="E183" s="2993"/>
      <c r="F183" s="2993">
        <v>2340</v>
      </c>
      <c r="G183" s="2993"/>
    </row>
    <row r="184" spans="1:7" s="2200" customFormat="1" ht="14.25" customHeight="1">
      <c r="A184" s="2335" t="s">
        <v>27</v>
      </c>
      <c r="B184" s="2335" t="s">
        <v>2951</v>
      </c>
      <c r="C184" s="2993"/>
      <c r="D184" s="2993"/>
      <c r="E184" s="2993"/>
      <c r="F184" s="2993">
        <v>2340</v>
      </c>
      <c r="G184" s="2993"/>
    </row>
    <row r="185" spans="1:7" s="2200" customFormat="1" ht="14.25" customHeight="1">
      <c r="A185" s="2335" t="s">
        <v>27</v>
      </c>
      <c r="B185" s="2335" t="s">
        <v>2952</v>
      </c>
      <c r="C185" s="2993"/>
      <c r="D185" s="2993"/>
      <c r="E185" s="2993"/>
      <c r="F185" s="2993">
        <v>2530</v>
      </c>
      <c r="G185" s="2993"/>
    </row>
    <row r="186" spans="1:7" s="2200" customFormat="1" ht="14.25" customHeight="1">
      <c r="A186" s="2335" t="s">
        <v>27</v>
      </c>
      <c r="B186" s="2335" t="s">
        <v>2953</v>
      </c>
      <c r="C186" s="2993"/>
      <c r="D186" s="2993"/>
      <c r="E186" s="2993"/>
      <c r="F186" s="2993">
        <v>2550</v>
      </c>
      <c r="G186" s="2993"/>
    </row>
    <row r="187" spans="1:7" s="2200" customFormat="1" ht="14.25" customHeight="1">
      <c r="A187" s="2335" t="s">
        <v>27</v>
      </c>
      <c r="B187" s="2335" t="s">
        <v>2954</v>
      </c>
      <c r="C187" s="2993"/>
      <c r="D187" s="2993"/>
      <c r="E187" s="2993"/>
      <c r="F187" s="2993">
        <v>2070</v>
      </c>
      <c r="G187" s="2993"/>
    </row>
    <row r="188" spans="1:7" s="2200" customFormat="1" ht="14.25" customHeight="1">
      <c r="A188" s="2335" t="s">
        <v>27</v>
      </c>
      <c r="B188" s="2335" t="s">
        <v>2955</v>
      </c>
      <c r="C188" s="2993"/>
      <c r="D188" s="2993"/>
      <c r="E188" s="2993"/>
      <c r="F188" s="2993">
        <v>2340</v>
      </c>
      <c r="G188" s="2993"/>
    </row>
    <row r="189" spans="1:7" s="2200" customFormat="1" ht="14.25" customHeight="1" thickBot="1">
      <c r="A189" s="2343" t="s">
        <v>27</v>
      </c>
      <c r="B189" s="2346" t="s">
        <v>2956</v>
      </c>
      <c r="C189" s="2995"/>
      <c r="D189" s="2995"/>
      <c r="E189" s="2995"/>
      <c r="F189" s="2995">
        <v>2050</v>
      </c>
      <c r="G189" s="2995"/>
    </row>
    <row r="190" spans="1:7" s="2200" customFormat="1" ht="14.25" customHeight="1">
      <c r="A190" s="2340" t="s">
        <v>302</v>
      </c>
      <c r="B190" s="2331" t="s">
        <v>2976</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2977</v>
      </c>
      <c r="C199" s="2993">
        <v>8690</v>
      </c>
      <c r="D199" s="2993">
        <v>8630</v>
      </c>
      <c r="E199" s="2993">
        <v>11350</v>
      </c>
      <c r="F199" s="2993">
        <v>1600</v>
      </c>
      <c r="G199" s="2997">
        <v>5450</v>
      </c>
    </row>
    <row r="200" spans="1:7" s="2200" customFormat="1" ht="14.25" customHeight="1">
      <c r="A200" s="2335" t="s">
        <v>302</v>
      </c>
      <c r="B200" s="2335" t="s">
        <v>2788</v>
      </c>
      <c r="C200" s="2993"/>
      <c r="D200" s="2993"/>
      <c r="E200" s="2993"/>
      <c r="F200" s="2993">
        <v>1510</v>
      </c>
      <c r="G200" s="2997"/>
    </row>
    <row r="201" spans="1:7" s="2200" customFormat="1" ht="14.25" customHeight="1">
      <c r="A201" s="2335" t="s">
        <v>302</v>
      </c>
      <c r="B201" s="2335" t="s">
        <v>2978</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2979</v>
      </c>
      <c r="C203" s="2993">
        <v>8130</v>
      </c>
      <c r="D203" s="2993">
        <v>8070</v>
      </c>
      <c r="E203" s="2993">
        <v>10820</v>
      </c>
      <c r="F203" s="2993">
        <v>1690</v>
      </c>
      <c r="G203" s="2997">
        <v>5100</v>
      </c>
    </row>
    <row r="204" spans="1:7" s="2200" customFormat="1" ht="14.25" customHeight="1">
      <c r="A204" s="2335" t="s">
        <v>302</v>
      </c>
      <c r="B204" s="2335" t="s">
        <v>2799</v>
      </c>
      <c r="C204" s="2993">
        <v>8350</v>
      </c>
      <c r="D204" s="2993">
        <v>8290</v>
      </c>
      <c r="E204" s="2993">
        <v>11080</v>
      </c>
      <c r="F204" s="2993">
        <v>1450</v>
      </c>
      <c r="G204" s="2997">
        <v>5240</v>
      </c>
    </row>
    <row r="205" spans="1:7" s="2200" customFormat="1" ht="14.25" customHeight="1">
      <c r="A205" s="2335" t="s">
        <v>302</v>
      </c>
      <c r="B205" s="2335" t="s">
        <v>2801</v>
      </c>
      <c r="C205" s="2993">
        <v>7190</v>
      </c>
      <c r="D205" s="2993">
        <v>7130</v>
      </c>
      <c r="E205" s="2993">
        <v>9490</v>
      </c>
      <c r="F205" s="2993">
        <v>1470</v>
      </c>
      <c r="G205" s="2997">
        <v>4510</v>
      </c>
    </row>
    <row r="206" spans="1:7" s="2200" customFormat="1" ht="14.25" customHeight="1">
      <c r="A206" s="2335" t="s">
        <v>302</v>
      </c>
      <c r="B206" s="2335" t="s">
        <v>2804</v>
      </c>
      <c r="C206" s="2993">
        <v>7000</v>
      </c>
      <c r="D206" s="2993">
        <v>6950</v>
      </c>
      <c r="E206" s="2993">
        <v>9170</v>
      </c>
      <c r="F206" s="2993">
        <v>1400</v>
      </c>
      <c r="G206" s="2997">
        <v>4380</v>
      </c>
    </row>
    <row r="207" spans="1:7" s="2200" customFormat="1" ht="14.25" customHeight="1">
      <c r="A207" s="2335" t="s">
        <v>302</v>
      </c>
      <c r="B207" s="2335" t="s">
        <v>2806</v>
      </c>
      <c r="C207" s="2993">
        <v>6950</v>
      </c>
      <c r="D207" s="2993">
        <v>6900</v>
      </c>
      <c r="E207" s="2993">
        <v>9110</v>
      </c>
      <c r="F207" s="2993">
        <v>1790</v>
      </c>
      <c r="G207" s="2997">
        <v>4360</v>
      </c>
    </row>
    <row r="208" spans="1:7" s="2200" customFormat="1" ht="14.25" customHeight="1">
      <c r="A208" s="2335" t="s">
        <v>302</v>
      </c>
      <c r="B208" s="2335" t="s">
        <v>2980</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2816</v>
      </c>
      <c r="C210" s="2993">
        <v>8710</v>
      </c>
      <c r="D210" s="2993">
        <v>8660</v>
      </c>
      <c r="E210" s="2993">
        <v>11440</v>
      </c>
      <c r="F210" s="2993">
        <v>1740</v>
      </c>
      <c r="G210" s="2997">
        <v>5470</v>
      </c>
    </row>
    <row r="211" spans="1:7" s="2200" customFormat="1" ht="14.25" customHeight="1">
      <c r="A211" s="2335" t="s">
        <v>302</v>
      </c>
      <c r="B211" s="2335" t="s">
        <v>2981</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2982</v>
      </c>
      <c r="C214" s="2993">
        <v>8090</v>
      </c>
      <c r="D214" s="2993">
        <v>8030</v>
      </c>
      <c r="E214" s="2993">
        <v>10780</v>
      </c>
      <c r="F214" s="2993">
        <v>1570</v>
      </c>
      <c r="G214" s="2997">
        <v>5070</v>
      </c>
    </row>
    <row r="215" spans="1:7" s="2200" customFormat="1" ht="14.25" customHeight="1">
      <c r="A215" s="2335" t="s">
        <v>302</v>
      </c>
      <c r="B215" s="2335" t="s">
        <v>2983</v>
      </c>
      <c r="C215" s="2993">
        <v>7950</v>
      </c>
      <c r="D215" s="2993">
        <v>7900</v>
      </c>
      <c r="E215" s="2993">
        <v>10560</v>
      </c>
      <c r="F215" s="2993">
        <v>1630</v>
      </c>
      <c r="G215" s="2997">
        <v>4990</v>
      </c>
    </row>
    <row r="216" spans="1:7" s="2200" customFormat="1" ht="14.25" customHeight="1">
      <c r="A216" s="2335" t="s">
        <v>302</v>
      </c>
      <c r="B216" s="2335" t="s">
        <v>2984</v>
      </c>
      <c r="C216" s="2993">
        <v>8490</v>
      </c>
      <c r="D216" s="2993">
        <v>8440</v>
      </c>
      <c r="E216" s="2993">
        <v>11260</v>
      </c>
      <c r="F216" s="2993">
        <v>1690</v>
      </c>
      <c r="G216" s="2997">
        <v>5330</v>
      </c>
    </row>
    <row r="217" spans="1:7" s="2200" customFormat="1" ht="14.25" customHeight="1">
      <c r="A217" s="2335" t="s">
        <v>302</v>
      </c>
      <c r="B217" s="2335" t="s">
        <v>2849</v>
      </c>
      <c r="C217" s="2993">
        <v>8200</v>
      </c>
      <c r="D217" s="2993">
        <v>8150</v>
      </c>
      <c r="E217" s="2993">
        <v>10910</v>
      </c>
      <c r="F217" s="2993">
        <v>1670</v>
      </c>
      <c r="G217" s="2997">
        <v>5150</v>
      </c>
    </row>
    <row r="218" spans="1:7" s="2200" customFormat="1" ht="14.25" customHeight="1">
      <c r="A218" s="2335" t="s">
        <v>302</v>
      </c>
      <c r="B218" s="2335" t="s">
        <v>2985</v>
      </c>
      <c r="C218" s="2993"/>
      <c r="D218" s="2993"/>
      <c r="E218" s="2993"/>
      <c r="F218" s="2993">
        <v>2040</v>
      </c>
      <c r="G218" s="2997"/>
    </row>
    <row r="219" spans="1:7" s="2200" customFormat="1" ht="14.25" customHeight="1">
      <c r="A219" s="2335" t="s">
        <v>302</v>
      </c>
      <c r="B219" s="2335" t="s">
        <v>2986</v>
      </c>
      <c r="C219" s="2993"/>
      <c r="D219" s="2993"/>
      <c r="E219" s="2993"/>
      <c r="F219" s="2993">
        <v>2040</v>
      </c>
      <c r="G219" s="2997"/>
    </row>
    <row r="220" spans="1:7" s="2200" customFormat="1" ht="14.25" customHeight="1">
      <c r="A220" s="2335" t="s">
        <v>302</v>
      </c>
      <c r="B220" s="2335" t="s">
        <v>2987</v>
      </c>
      <c r="C220" s="2993"/>
      <c r="D220" s="2993"/>
      <c r="E220" s="2993"/>
      <c r="F220" s="2993">
        <v>2040</v>
      </c>
      <c r="G220" s="2997"/>
    </row>
    <row r="221" spans="1:7" s="2200" customFormat="1" ht="14.25" customHeight="1">
      <c r="A221" s="2335" t="s">
        <v>302</v>
      </c>
      <c r="B221" s="2335" t="s">
        <v>2988</v>
      </c>
      <c r="C221" s="2993"/>
      <c r="D221" s="2993"/>
      <c r="E221" s="2993"/>
      <c r="F221" s="2993">
        <v>2040</v>
      </c>
      <c r="G221" s="2997"/>
    </row>
    <row r="222" spans="1:7" s="2200" customFormat="1" ht="14.25" customHeight="1">
      <c r="A222" s="2335" t="s">
        <v>302</v>
      </c>
      <c r="B222" s="2335" t="s">
        <v>2989</v>
      </c>
      <c r="C222" s="2993"/>
      <c r="D222" s="2993"/>
      <c r="E222" s="2993"/>
      <c r="F222" s="2993">
        <v>2040</v>
      </c>
      <c r="G222" s="2997"/>
    </row>
    <row r="223" spans="1:7" s="2200" customFormat="1" ht="14.25" customHeight="1">
      <c r="A223" s="2335" t="s">
        <v>302</v>
      </c>
      <c r="B223" s="2335" t="s">
        <v>2990</v>
      </c>
      <c r="C223" s="2993"/>
      <c r="D223" s="2993"/>
      <c r="E223" s="2993"/>
      <c r="F223" s="2993">
        <v>1930</v>
      </c>
      <c r="G223" s="2997"/>
    </row>
    <row r="224" spans="1:7" s="2200" customFormat="1" ht="14.25" customHeight="1">
      <c r="A224" s="2335" t="s">
        <v>302</v>
      </c>
      <c r="B224" s="2335" t="s">
        <v>2991</v>
      </c>
      <c r="C224" s="2993"/>
      <c r="D224" s="2993"/>
      <c r="E224" s="2993"/>
      <c r="F224" s="2993">
        <v>1930</v>
      </c>
      <c r="G224" s="2997"/>
    </row>
    <row r="225" spans="1:7" s="2200" customFormat="1" ht="14.25" customHeight="1">
      <c r="A225" s="2335" t="s">
        <v>302</v>
      </c>
      <c r="B225" s="2335" t="s">
        <v>2992</v>
      </c>
      <c r="C225" s="2993"/>
      <c r="D225" s="2993"/>
      <c r="E225" s="2993"/>
      <c r="F225" s="2993">
        <v>1930</v>
      </c>
      <c r="G225" s="2997"/>
    </row>
    <row r="226" spans="1:7" s="2200" customFormat="1" ht="14.25" customHeight="1">
      <c r="A226" s="2335" t="s">
        <v>302</v>
      </c>
      <c r="B226" s="2335" t="s">
        <v>2993</v>
      </c>
      <c r="C226" s="2993"/>
      <c r="D226" s="2993"/>
      <c r="E226" s="2993"/>
      <c r="F226" s="2993">
        <v>1700</v>
      </c>
      <c r="G226" s="2997"/>
    </row>
    <row r="227" spans="1:7" s="2200" customFormat="1" ht="14.25" customHeight="1">
      <c r="A227" s="2335" t="s">
        <v>302</v>
      </c>
      <c r="B227" s="2335" t="s">
        <v>2994</v>
      </c>
      <c r="C227" s="2993"/>
      <c r="D227" s="2993"/>
      <c r="E227" s="2993"/>
      <c r="F227" s="2993">
        <v>1520</v>
      </c>
      <c r="G227" s="2997"/>
    </row>
    <row r="228" spans="1:7" s="2200" customFormat="1" ht="14.25" customHeight="1">
      <c r="A228" s="2335" t="s">
        <v>302</v>
      </c>
      <c r="B228" s="2335" t="s">
        <v>2995</v>
      </c>
      <c r="C228" s="2993"/>
      <c r="D228" s="2993"/>
      <c r="E228" s="2993"/>
      <c r="F228" s="2993">
        <v>1520</v>
      </c>
      <c r="G228" s="2997"/>
    </row>
    <row r="229" spans="1:7" s="2200" customFormat="1" ht="14.25" customHeight="1">
      <c r="A229" s="2335" t="s">
        <v>302</v>
      </c>
      <c r="B229" s="2335" t="s">
        <v>2912</v>
      </c>
      <c r="C229" s="2993"/>
      <c r="D229" s="2993"/>
      <c r="E229" s="2993"/>
      <c r="F229" s="2993">
        <v>1520</v>
      </c>
      <c r="G229" s="2997"/>
    </row>
    <row r="230" spans="1:7" s="2200" customFormat="1" ht="14.25" customHeight="1">
      <c r="A230" s="2335" t="s">
        <v>302</v>
      </c>
      <c r="B230" s="2335" t="s">
        <v>2996</v>
      </c>
      <c r="C230" s="2993"/>
      <c r="D230" s="2993"/>
      <c r="E230" s="2993"/>
      <c r="F230" s="2993">
        <v>1820</v>
      </c>
      <c r="G230" s="2997"/>
    </row>
    <row r="231" spans="1:7" s="2200" customFormat="1" ht="14.25" customHeight="1">
      <c r="A231" s="2335" t="s">
        <v>302</v>
      </c>
      <c r="B231" s="2335" t="s">
        <v>2997</v>
      </c>
      <c r="C231" s="2993"/>
      <c r="D231" s="2993"/>
      <c r="E231" s="2993"/>
      <c r="F231" s="2993">
        <v>1760</v>
      </c>
      <c r="G231" s="2997"/>
    </row>
    <row r="232" spans="1:7" s="2200" customFormat="1" ht="14.25" customHeight="1">
      <c r="A232" s="2335" t="s">
        <v>302</v>
      </c>
      <c r="B232" s="2335" t="s">
        <v>2998</v>
      </c>
      <c r="C232" s="2993"/>
      <c r="D232" s="2993"/>
      <c r="E232" s="2993"/>
      <c r="F232" s="2993">
        <v>1840</v>
      </c>
      <c r="G232" s="2997"/>
    </row>
    <row r="233" spans="1:7" s="2200" customFormat="1" ht="14.25" customHeight="1" thickBot="1">
      <c r="A233" s="2347" t="s">
        <v>302</v>
      </c>
      <c r="B233" s="2342" t="s">
        <v>2929</v>
      </c>
      <c r="C233" s="2994"/>
      <c r="D233" s="2994"/>
      <c r="E233" s="2994"/>
      <c r="F233" s="2994">
        <v>1770</v>
      </c>
      <c r="G233" s="2998"/>
    </row>
    <row r="234" spans="1:7" s="2200" customFormat="1" ht="14.25" customHeight="1">
      <c r="A234" s="2340" t="s">
        <v>303</v>
      </c>
      <c r="B234" s="2331" t="s">
        <v>2999</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2770</v>
      </c>
      <c r="C238" s="2993">
        <v>6920</v>
      </c>
      <c r="D238" s="2993">
        <v>6890</v>
      </c>
      <c r="E238" s="2993">
        <v>8640</v>
      </c>
      <c r="F238" s="2993">
        <v>1310</v>
      </c>
      <c r="G238" s="2993">
        <v>4230</v>
      </c>
    </row>
    <row r="239" spans="1:7" s="2200" customFormat="1" ht="14.25" customHeight="1">
      <c r="A239" s="2335" t="s">
        <v>303</v>
      </c>
      <c r="B239" s="2335" t="s">
        <v>3000</v>
      </c>
      <c r="C239" s="2993">
        <v>6780</v>
      </c>
      <c r="D239" s="2993">
        <v>6750</v>
      </c>
      <c r="E239" s="2993">
        <v>8440</v>
      </c>
      <c r="F239" s="2993">
        <v>1160</v>
      </c>
      <c r="G239" s="2993">
        <v>4140</v>
      </c>
    </row>
    <row r="240" spans="1:7" s="2200" customFormat="1" ht="14.25" customHeight="1">
      <c r="A240" s="2335" t="s">
        <v>303</v>
      </c>
      <c r="B240" s="2335" t="s">
        <v>3001</v>
      </c>
      <c r="C240" s="2993">
        <v>5420</v>
      </c>
      <c r="D240" s="2993">
        <v>5380</v>
      </c>
      <c r="E240" s="2993">
        <v>6640</v>
      </c>
      <c r="F240" s="2993">
        <v>1020</v>
      </c>
      <c r="G240" s="2993">
        <v>3300</v>
      </c>
    </row>
    <row r="241" spans="1:7" s="2200" customFormat="1" ht="14.25" customHeight="1">
      <c r="A241" s="2335" t="s">
        <v>303</v>
      </c>
      <c r="B241" s="2335" t="s">
        <v>3002</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3003</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3004</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3005</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3006</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3007</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2832</v>
      </c>
      <c r="C258" s="2993">
        <v>6190</v>
      </c>
      <c r="D258" s="2993">
        <v>6160</v>
      </c>
      <c r="E258" s="2993">
        <v>7680</v>
      </c>
      <c r="F258" s="2993">
        <v>1170</v>
      </c>
      <c r="G258" s="2993">
        <v>3780</v>
      </c>
    </row>
    <row r="259" spans="1:7" s="2200" customFormat="1" ht="14.25" customHeight="1">
      <c r="A259" s="2335" t="s">
        <v>303</v>
      </c>
      <c r="B259" s="2335" t="s">
        <v>3008</v>
      </c>
      <c r="C259" s="2993">
        <v>7610</v>
      </c>
      <c r="D259" s="2993">
        <v>7570</v>
      </c>
      <c r="E259" s="2993">
        <v>9350</v>
      </c>
      <c r="F259" s="2993">
        <v>1350</v>
      </c>
      <c r="G259" s="2993">
        <v>4650</v>
      </c>
    </row>
    <row r="260" spans="1:7" s="2200" customFormat="1" ht="14.25" customHeight="1">
      <c r="A260" s="2335" t="s">
        <v>303</v>
      </c>
      <c r="B260" s="2335" t="s">
        <v>3009</v>
      </c>
      <c r="C260" s="2993">
        <v>6920</v>
      </c>
      <c r="D260" s="2993">
        <v>6880</v>
      </c>
      <c r="E260" s="2993">
        <v>8380</v>
      </c>
      <c r="F260" s="2993">
        <v>1160</v>
      </c>
      <c r="G260" s="2993">
        <v>4220</v>
      </c>
    </row>
    <row r="261" spans="1:7" s="2200" customFormat="1" ht="14.25" customHeight="1">
      <c r="A261" s="2335" t="s">
        <v>303</v>
      </c>
      <c r="B261" s="2335" t="s">
        <v>3010</v>
      </c>
      <c r="C261" s="2993">
        <v>6850</v>
      </c>
      <c r="D261" s="2993">
        <v>6810</v>
      </c>
      <c r="E261" s="2993">
        <v>8290</v>
      </c>
      <c r="F261" s="2993">
        <v>1130</v>
      </c>
      <c r="G261" s="2993">
        <v>4180</v>
      </c>
    </row>
    <row r="262" spans="1:7" s="2200" customFormat="1" ht="14.25" customHeight="1">
      <c r="A262" s="2335" t="s">
        <v>303</v>
      </c>
      <c r="B262" s="2335" t="s">
        <v>3011</v>
      </c>
      <c r="C262" s="2993">
        <v>5860</v>
      </c>
      <c r="D262" s="2993">
        <v>5820</v>
      </c>
      <c r="E262" s="2993">
        <v>7640</v>
      </c>
      <c r="F262" s="2993">
        <v>1070</v>
      </c>
      <c r="G262" s="2993">
        <v>3570</v>
      </c>
    </row>
    <row r="263" spans="1:7" s="2200" customFormat="1" ht="14.25" customHeight="1">
      <c r="A263" s="2335" t="s">
        <v>303</v>
      </c>
      <c r="B263" s="2335" t="s">
        <v>3012</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3013</v>
      </c>
      <c r="C265" s="2993"/>
      <c r="D265" s="2993"/>
      <c r="E265" s="2993"/>
      <c r="F265" s="2993">
        <v>1500</v>
      </c>
      <c r="G265" s="2993"/>
    </row>
    <row r="266" spans="1:7" s="2200" customFormat="1" ht="14.25" customHeight="1">
      <c r="A266" s="2335" t="s">
        <v>303</v>
      </c>
      <c r="B266" s="2335" t="s">
        <v>3014</v>
      </c>
      <c r="C266" s="2993"/>
      <c r="D266" s="2993"/>
      <c r="E266" s="2993"/>
      <c r="F266" s="2993">
        <v>1500</v>
      </c>
      <c r="G266" s="2993"/>
    </row>
    <row r="267" spans="1:7" s="2200" customFormat="1" ht="14.25" customHeight="1">
      <c r="A267" s="2335" t="s">
        <v>303</v>
      </c>
      <c r="B267" s="2335" t="s">
        <v>3015</v>
      </c>
      <c r="C267" s="2993"/>
      <c r="D267" s="2993"/>
      <c r="E267" s="2993"/>
      <c r="F267" s="2993">
        <v>1500</v>
      </c>
      <c r="G267" s="2993"/>
    </row>
    <row r="268" spans="1:7" s="2200" customFormat="1" ht="14.25" customHeight="1">
      <c r="A268" s="2335" t="s">
        <v>303</v>
      </c>
      <c r="B268" s="2335" t="s">
        <v>3016</v>
      </c>
      <c r="C268" s="2993"/>
      <c r="D268" s="2993"/>
      <c r="E268" s="2993"/>
      <c r="F268" s="2993">
        <v>1290</v>
      </c>
      <c r="G268" s="2993"/>
    </row>
    <row r="269" spans="1:7" s="2200" customFormat="1" ht="14.25" customHeight="1">
      <c r="A269" s="2335" t="s">
        <v>303</v>
      </c>
      <c r="B269" s="2335" t="s">
        <v>3017</v>
      </c>
      <c r="C269" s="2993"/>
      <c r="D269" s="2993"/>
      <c r="E269" s="2993"/>
      <c r="F269" s="2993">
        <v>1150</v>
      </c>
      <c r="G269" s="2993"/>
    </row>
    <row r="270" spans="1:7" s="2200" customFormat="1" ht="14.25" customHeight="1">
      <c r="A270" s="2335" t="s">
        <v>303</v>
      </c>
      <c r="B270" s="2335" t="s">
        <v>3018</v>
      </c>
      <c r="C270" s="2993"/>
      <c r="D270" s="2993"/>
      <c r="E270" s="2993"/>
      <c r="F270" s="2993">
        <v>1380</v>
      </c>
      <c r="G270" s="2993"/>
    </row>
    <row r="271" spans="1:7" s="2200" customFormat="1" ht="14.25" customHeight="1">
      <c r="A271" s="2335" t="s">
        <v>303</v>
      </c>
      <c r="B271" s="2335" t="s">
        <v>3019</v>
      </c>
      <c r="C271" s="2993"/>
      <c r="D271" s="2993"/>
      <c r="E271" s="2993"/>
      <c r="F271" s="2993">
        <v>1460</v>
      </c>
      <c r="G271" s="2993"/>
    </row>
    <row r="272" spans="1:7" s="2200" customFormat="1" ht="14.25" customHeight="1">
      <c r="A272" s="2335" t="s">
        <v>303</v>
      </c>
      <c r="B272" s="2335" t="s">
        <v>3020</v>
      </c>
      <c r="C272" s="2993"/>
      <c r="D272" s="2993"/>
      <c r="E272" s="2993"/>
      <c r="F272" s="2993">
        <v>1460</v>
      </c>
      <c r="G272" s="2993"/>
    </row>
    <row r="273" spans="1:7" s="2200" customFormat="1" ht="14.25" customHeight="1">
      <c r="A273" s="2335" t="s">
        <v>303</v>
      </c>
      <c r="B273" s="2335" t="s">
        <v>2913</v>
      </c>
      <c r="C273" s="2993"/>
      <c r="D273" s="2993"/>
      <c r="E273" s="2993"/>
      <c r="F273" s="2993">
        <v>1490</v>
      </c>
      <c r="G273" s="2993"/>
    </row>
    <row r="274" spans="1:7" s="2200" customFormat="1" ht="14.25" customHeight="1">
      <c r="A274" s="2335" t="s">
        <v>303</v>
      </c>
      <c r="B274" s="2335" t="s">
        <v>3021</v>
      </c>
      <c r="C274" s="2993"/>
      <c r="D274" s="2993"/>
      <c r="E274" s="2993"/>
      <c r="F274" s="2993">
        <v>1490</v>
      </c>
      <c r="G274" s="2993"/>
    </row>
    <row r="275" spans="1:7" s="2200" customFormat="1" ht="14.25" customHeight="1">
      <c r="A275" s="2335" t="s">
        <v>303</v>
      </c>
      <c r="B275" s="2335" t="s">
        <v>3022</v>
      </c>
      <c r="C275" s="2993"/>
      <c r="D275" s="2993"/>
      <c r="E275" s="2993"/>
      <c r="F275" s="2993">
        <v>1220</v>
      </c>
      <c r="G275" s="2993"/>
    </row>
    <row r="276" spans="1:7" s="2200" customFormat="1" ht="14.25" customHeight="1" thickBot="1">
      <c r="A276" s="2343" t="s">
        <v>303</v>
      </c>
      <c r="B276" s="2345" t="s">
        <v>3023</v>
      </c>
      <c r="C276" s="2995"/>
      <c r="D276" s="2995"/>
      <c r="E276" s="2995"/>
      <c r="F276" s="2995">
        <v>1380</v>
      </c>
      <c r="G276" s="2995"/>
    </row>
    <row r="277" spans="1:7" s="2200" customFormat="1" ht="14.25" customHeight="1">
      <c r="A277" s="2340" t="s">
        <v>304</v>
      </c>
      <c r="B277" s="2331" t="s">
        <v>3024</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3025</v>
      </c>
      <c r="C279" s="2993">
        <v>4760</v>
      </c>
      <c r="D279" s="2993">
        <v>4720</v>
      </c>
      <c r="E279" s="2993">
        <v>5540</v>
      </c>
      <c r="F279" s="2993">
        <v>810</v>
      </c>
      <c r="G279" s="2997">
        <v>2850</v>
      </c>
    </row>
    <row r="280" spans="1:7" s="2200" customFormat="1" ht="14.25" customHeight="1">
      <c r="A280" s="2335" t="s">
        <v>304</v>
      </c>
      <c r="B280" s="2335" t="s">
        <v>3026</v>
      </c>
      <c r="C280" s="2993">
        <v>4010</v>
      </c>
      <c r="D280" s="2993">
        <v>3950</v>
      </c>
      <c r="E280" s="2993">
        <v>4710</v>
      </c>
      <c r="F280" s="2993">
        <v>800</v>
      </c>
      <c r="G280" s="2997">
        <v>2390</v>
      </c>
    </row>
    <row r="281" spans="1:7" s="2200" customFormat="1" ht="14.25" customHeight="1">
      <c r="A281" s="2335" t="s">
        <v>304</v>
      </c>
      <c r="B281" s="2335" t="s">
        <v>3027</v>
      </c>
      <c r="C281" s="2993">
        <v>4480</v>
      </c>
      <c r="D281" s="2993">
        <v>4420</v>
      </c>
      <c r="E281" s="2993">
        <v>5230</v>
      </c>
      <c r="F281" s="2993">
        <v>870</v>
      </c>
      <c r="G281" s="2997">
        <v>2660</v>
      </c>
    </row>
    <row r="282" spans="1:7" s="2200" customFormat="1" ht="14.25" customHeight="1">
      <c r="A282" s="2335" t="s">
        <v>304</v>
      </c>
      <c r="B282" s="2335" t="s">
        <v>3028</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3029</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3030</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2805</v>
      </c>
      <c r="C293" s="2993">
        <v>5320</v>
      </c>
      <c r="D293" s="2993">
        <v>5270</v>
      </c>
      <c r="E293" s="2993">
        <v>6160</v>
      </c>
      <c r="F293" s="2993">
        <v>990</v>
      </c>
      <c r="G293" s="2997">
        <v>3170</v>
      </c>
    </row>
    <row r="294" spans="1:7" s="2200" customFormat="1" ht="14.25" customHeight="1">
      <c r="A294" s="2335" t="s">
        <v>304</v>
      </c>
      <c r="B294" s="2335" t="s">
        <v>3031</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2824</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3032</v>
      </c>
      <c r="C302" s="2993">
        <v>5520</v>
      </c>
      <c r="D302" s="2993">
        <v>5470</v>
      </c>
      <c r="E302" s="2993">
        <v>6410</v>
      </c>
      <c r="F302" s="2993">
        <v>950</v>
      </c>
      <c r="G302" s="2997">
        <v>3300</v>
      </c>
    </row>
    <row r="303" spans="1:7" s="2200" customFormat="1" ht="14.25" customHeight="1">
      <c r="A303" s="2335" t="s">
        <v>304</v>
      </c>
      <c r="B303" s="2335" t="s">
        <v>2844</v>
      </c>
      <c r="C303" s="2993">
        <v>5630</v>
      </c>
      <c r="D303" s="2993">
        <v>5590</v>
      </c>
      <c r="E303" s="2993">
        <v>6550</v>
      </c>
      <c r="F303" s="2993">
        <v>1010</v>
      </c>
      <c r="G303" s="2997">
        <v>3370</v>
      </c>
    </row>
    <row r="304" spans="1:7" s="2200" customFormat="1" ht="14.25" customHeight="1">
      <c r="A304" s="2335" t="s">
        <v>304</v>
      </c>
      <c r="B304" s="2335" t="s">
        <v>2851</v>
      </c>
      <c r="C304" s="2993">
        <v>5680</v>
      </c>
      <c r="D304" s="2993">
        <v>5620</v>
      </c>
      <c r="E304" s="2993">
        <v>6620</v>
      </c>
      <c r="F304" s="2993">
        <v>1050</v>
      </c>
      <c r="G304" s="2997">
        <v>3390</v>
      </c>
    </row>
    <row r="305" spans="1:7" s="2200" customFormat="1" ht="14.25" customHeight="1">
      <c r="A305" s="2335" t="s">
        <v>304</v>
      </c>
      <c r="B305" s="2335" t="s">
        <v>2857</v>
      </c>
      <c r="C305" s="2993">
        <v>5590</v>
      </c>
      <c r="D305" s="2993">
        <v>5530</v>
      </c>
      <c r="E305" s="2993">
        <v>6460</v>
      </c>
      <c r="F305" s="2993">
        <v>900</v>
      </c>
      <c r="G305" s="2997">
        <v>3340</v>
      </c>
    </row>
    <row r="306" spans="1:7" s="2200" customFormat="1" ht="14.25" customHeight="1">
      <c r="A306" s="2335" t="s">
        <v>304</v>
      </c>
      <c r="B306" s="2335" t="s">
        <v>3033</v>
      </c>
      <c r="C306" s="2993">
        <v>5560</v>
      </c>
      <c r="D306" s="2993">
        <v>5510</v>
      </c>
      <c r="E306" s="2993">
        <v>6440</v>
      </c>
      <c r="F306" s="2993">
        <v>900</v>
      </c>
      <c r="G306" s="2997">
        <v>3320</v>
      </c>
    </row>
    <row r="307" spans="1:7" s="2200" customFormat="1" ht="14.25" customHeight="1">
      <c r="A307" s="2335" t="s">
        <v>304</v>
      </c>
      <c r="B307" s="2335" t="s">
        <v>2869</v>
      </c>
      <c r="C307" s="2993">
        <v>5650</v>
      </c>
      <c r="D307" s="2993">
        <v>5600</v>
      </c>
      <c r="E307" s="2993">
        <v>6590</v>
      </c>
      <c r="F307" s="2993">
        <v>930</v>
      </c>
      <c r="G307" s="2997">
        <v>3380</v>
      </c>
    </row>
    <row r="308" spans="1:7" s="2200" customFormat="1" ht="14.25" customHeight="1">
      <c r="A308" s="2335" t="s">
        <v>304</v>
      </c>
      <c r="B308" s="2335" t="s">
        <v>3034</v>
      </c>
      <c r="C308" s="2993">
        <v>5620</v>
      </c>
      <c r="D308" s="2993">
        <v>5580</v>
      </c>
      <c r="E308" s="2993">
        <v>6540</v>
      </c>
      <c r="F308" s="2993">
        <v>910</v>
      </c>
      <c r="G308" s="2997">
        <v>3370</v>
      </c>
    </row>
    <row r="309" spans="1:7" s="2200" customFormat="1" ht="14.25" customHeight="1">
      <c r="A309" s="2335" t="s">
        <v>304</v>
      </c>
      <c r="B309" s="2335" t="s">
        <v>3035</v>
      </c>
      <c r="C309" s="2993">
        <v>5060</v>
      </c>
      <c r="D309" s="2993">
        <v>5020</v>
      </c>
      <c r="E309" s="2993">
        <v>6370</v>
      </c>
      <c r="F309" s="2993">
        <v>800</v>
      </c>
      <c r="G309" s="2997">
        <v>3020</v>
      </c>
    </row>
    <row r="310" spans="1:7" s="2200" customFormat="1" ht="14.25" customHeight="1">
      <c r="A310" s="2335" t="s">
        <v>304</v>
      </c>
      <c r="B310" s="2335" t="s">
        <v>2884</v>
      </c>
      <c r="C310" s="2993">
        <v>5150</v>
      </c>
      <c r="D310" s="2993">
        <v>5110</v>
      </c>
      <c r="E310" s="2993">
        <v>6500</v>
      </c>
      <c r="F310" s="2993">
        <v>880</v>
      </c>
      <c r="G310" s="2997">
        <v>3080</v>
      </c>
    </row>
    <row r="311" spans="1:7" s="2200" customFormat="1" ht="14.25" customHeight="1">
      <c r="A311" s="2335" t="s">
        <v>304</v>
      </c>
      <c r="B311" s="2335" t="s">
        <v>3036</v>
      </c>
      <c r="C311" s="2993">
        <v>4750</v>
      </c>
      <c r="D311" s="2993">
        <v>4710</v>
      </c>
      <c r="E311" s="2993">
        <v>5510</v>
      </c>
      <c r="F311" s="2993">
        <v>880</v>
      </c>
      <c r="G311" s="2997">
        <v>2840</v>
      </c>
    </row>
    <row r="312" spans="1:7" s="2200" customFormat="1" ht="14.25" customHeight="1">
      <c r="A312" s="2335" t="s">
        <v>304</v>
      </c>
      <c r="B312" s="2335" t="s">
        <v>2894</v>
      </c>
      <c r="C312" s="2993">
        <v>4690</v>
      </c>
      <c r="D312" s="2993">
        <v>4640</v>
      </c>
      <c r="E312" s="2993">
        <v>5420</v>
      </c>
      <c r="F312" s="2993">
        <v>800</v>
      </c>
      <c r="G312" s="2997">
        <v>2800</v>
      </c>
    </row>
    <row r="313" spans="1:7" s="2200" customFormat="1" ht="14.25" customHeight="1">
      <c r="A313" s="2335" t="s">
        <v>304</v>
      </c>
      <c r="B313" s="2335" t="s">
        <v>2899</v>
      </c>
      <c r="C313" s="2993">
        <v>4810</v>
      </c>
      <c r="D313" s="2993">
        <v>4760</v>
      </c>
      <c r="E313" s="2993">
        <v>5550</v>
      </c>
      <c r="F313" s="2993">
        <v>920</v>
      </c>
      <c r="G313" s="2997">
        <v>2870</v>
      </c>
    </row>
    <row r="314" spans="1:7" s="2200" customFormat="1" ht="14.25" customHeight="1">
      <c r="A314" s="2335" t="s">
        <v>304</v>
      </c>
      <c r="B314" s="2335" t="s">
        <v>3037</v>
      </c>
      <c r="C314" s="2993"/>
      <c r="D314" s="2993"/>
      <c r="E314" s="2993"/>
      <c r="F314" s="2993">
        <v>1020</v>
      </c>
      <c r="G314" s="2997"/>
    </row>
    <row r="315" spans="1:7" s="2200" customFormat="1" ht="14.25" customHeight="1">
      <c r="A315" s="2335" t="s">
        <v>304</v>
      </c>
      <c r="B315" s="2335" t="s">
        <v>3038</v>
      </c>
      <c r="C315" s="2993"/>
      <c r="D315" s="2993"/>
      <c r="E315" s="2993"/>
      <c r="F315" s="2993">
        <v>1050</v>
      </c>
      <c r="G315" s="2997"/>
    </row>
    <row r="316" spans="1:7" s="2200" customFormat="1" ht="14.25" customHeight="1">
      <c r="A316" s="2335" t="s">
        <v>304</v>
      </c>
      <c r="B316" s="2335" t="s">
        <v>2914</v>
      </c>
      <c r="C316" s="2993"/>
      <c r="D316" s="2993"/>
      <c r="E316" s="2993"/>
      <c r="F316" s="2993">
        <v>900</v>
      </c>
      <c r="G316" s="2997"/>
    </row>
    <row r="317" spans="1:7" s="2200" customFormat="1" ht="14.25" customHeight="1">
      <c r="A317" s="2335" t="s">
        <v>304</v>
      </c>
      <c r="B317" s="2335" t="s">
        <v>3039</v>
      </c>
      <c r="C317" s="2993"/>
      <c r="D317" s="2993"/>
      <c r="E317" s="2993"/>
      <c r="F317" s="2993">
        <v>920</v>
      </c>
      <c r="G317" s="2997"/>
    </row>
    <row r="318" spans="1:7" s="2200" customFormat="1" ht="14.25" customHeight="1">
      <c r="A318" s="2335" t="s">
        <v>304</v>
      </c>
      <c r="B318" s="2335" t="s">
        <v>3040</v>
      </c>
      <c r="C318" s="2993"/>
      <c r="D318" s="2993"/>
      <c r="E318" s="2993"/>
      <c r="F318" s="2993">
        <v>1080</v>
      </c>
      <c r="G318" s="2997"/>
    </row>
    <row r="319" spans="1:7" s="2200" customFormat="1" ht="14.25" customHeight="1">
      <c r="A319" s="2335" t="s">
        <v>304</v>
      </c>
      <c r="B319" s="2335" t="s">
        <v>2927</v>
      </c>
      <c r="C319" s="2993"/>
      <c r="D319" s="2993"/>
      <c r="E319" s="2993"/>
      <c r="F319" s="2993">
        <v>1020</v>
      </c>
      <c r="G319" s="2997"/>
    </row>
    <row r="320" spans="1:7" s="2200" customFormat="1" ht="14.25" customHeight="1">
      <c r="A320" s="2335" t="s">
        <v>304</v>
      </c>
      <c r="B320" s="2335" t="s">
        <v>2930</v>
      </c>
      <c r="C320" s="2993"/>
      <c r="D320" s="2993"/>
      <c r="E320" s="2993"/>
      <c r="F320" s="2993">
        <v>1050</v>
      </c>
      <c r="G320" s="2997"/>
    </row>
    <row r="321" spans="1:7" s="2200" customFormat="1" ht="14.25" customHeight="1">
      <c r="A321" s="2335" t="s">
        <v>304</v>
      </c>
      <c r="B321" s="2335" t="s">
        <v>2932</v>
      </c>
      <c r="C321" s="2993"/>
      <c r="D321" s="2993"/>
      <c r="E321" s="2993"/>
      <c r="F321" s="2993">
        <v>960</v>
      </c>
      <c r="G321" s="2997"/>
    </row>
    <row r="322" spans="1:7" s="2200" customFormat="1" ht="14.25" customHeight="1">
      <c r="A322" s="2335" t="s">
        <v>304</v>
      </c>
      <c r="B322" s="2335" t="s">
        <v>2934</v>
      </c>
      <c r="C322" s="2993"/>
      <c r="D322" s="2993"/>
      <c r="E322" s="2993"/>
      <c r="F322" s="2993">
        <v>960</v>
      </c>
      <c r="G322" s="2997"/>
    </row>
    <row r="323" spans="1:7" s="2200" customFormat="1" ht="14.25" customHeight="1">
      <c r="A323" s="2335" t="s">
        <v>304</v>
      </c>
      <c r="B323" s="2335" t="s">
        <v>2936</v>
      </c>
      <c r="C323" s="2993"/>
      <c r="D323" s="2993"/>
      <c r="E323" s="2993"/>
      <c r="F323" s="2993">
        <v>880</v>
      </c>
      <c r="G323" s="2997"/>
    </row>
    <row r="324" spans="1:7" s="2200" customFormat="1" ht="14.25" customHeight="1">
      <c r="A324" s="2335" t="s">
        <v>304</v>
      </c>
      <c r="B324" s="2335" t="s">
        <v>2938</v>
      </c>
      <c r="C324" s="2993"/>
      <c r="D324" s="2993"/>
      <c r="E324" s="2993"/>
      <c r="F324" s="2993">
        <v>930</v>
      </c>
      <c r="G324" s="2997"/>
    </row>
    <row r="325" spans="1:7" s="2200" customFormat="1" ht="14.25" customHeight="1">
      <c r="A325" s="2335" t="s">
        <v>304</v>
      </c>
      <c r="B325" s="2336" t="s">
        <v>2940</v>
      </c>
      <c r="C325" s="2993"/>
      <c r="D325" s="2993"/>
      <c r="E325" s="2993"/>
      <c r="F325" s="2993">
        <v>900</v>
      </c>
      <c r="G325" s="2997"/>
    </row>
    <row r="326" spans="1:7" s="2200" customFormat="1" ht="14.25" customHeight="1" thickBot="1">
      <c r="A326" s="2347" t="s">
        <v>304</v>
      </c>
      <c r="B326" s="2342" t="s">
        <v>2942</v>
      </c>
      <c r="C326" s="2994"/>
      <c r="D326" s="2994"/>
      <c r="E326" s="2994"/>
      <c r="F326" s="2994">
        <v>790</v>
      </c>
      <c r="G326" s="2998"/>
    </row>
    <row r="327" spans="1:7" s="2200" customFormat="1" ht="14.25" customHeight="1">
      <c r="A327" s="2340" t="s">
        <v>305</v>
      </c>
      <c r="B327" s="2331" t="s">
        <v>3041</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3042</v>
      </c>
      <c r="C329" s="2993">
        <v>2730</v>
      </c>
      <c r="D329" s="2993">
        <v>2690</v>
      </c>
      <c r="E329" s="2993">
        <v>3100</v>
      </c>
      <c r="F329" s="2993">
        <v>660</v>
      </c>
      <c r="G329" s="2993">
        <v>1610</v>
      </c>
    </row>
    <row r="330" spans="1:7" s="2200" customFormat="1" ht="14.25" customHeight="1">
      <c r="A330" s="2335" t="s">
        <v>305</v>
      </c>
      <c r="B330" s="2335" t="s">
        <v>3043</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2776</v>
      </c>
      <c r="C332" s="2993">
        <v>3520</v>
      </c>
      <c r="D332" s="2993">
        <v>3480</v>
      </c>
      <c r="E332" s="2993">
        <v>3830</v>
      </c>
      <c r="F332" s="2993">
        <v>720</v>
      </c>
      <c r="G332" s="2993">
        <v>2090</v>
      </c>
    </row>
    <row r="333" spans="1:7" s="2200" customFormat="1" ht="14.25" customHeight="1">
      <c r="A333" s="2335" t="s">
        <v>305</v>
      </c>
      <c r="B333" s="2335" t="s">
        <v>3044</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2786</v>
      </c>
      <c r="C336" s="2993">
        <v>3570</v>
      </c>
      <c r="D336" s="2993">
        <v>3530</v>
      </c>
      <c r="E336" s="2993">
        <v>3880</v>
      </c>
      <c r="F336" s="2993">
        <v>770</v>
      </c>
      <c r="G336" s="2993">
        <v>2110</v>
      </c>
    </row>
    <row r="337" spans="1:10" s="2200" customFormat="1" ht="14.25" customHeight="1">
      <c r="A337" s="2335" t="s">
        <v>305</v>
      </c>
      <c r="B337" s="2335" t="s">
        <v>3045</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3046</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3047</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2811</v>
      </c>
      <c r="C345" s="2993">
        <v>3190</v>
      </c>
      <c r="D345" s="2993">
        <v>3140</v>
      </c>
      <c r="E345" s="2993">
        <v>3450</v>
      </c>
      <c r="F345" s="2993">
        <v>720</v>
      </c>
      <c r="G345" s="2993">
        <v>1880</v>
      </c>
      <c r="J345" s="2200"/>
    </row>
    <row r="346" spans="1:10">
      <c r="A346" s="2335" t="s">
        <v>305</v>
      </c>
      <c r="B346" s="2335" t="s">
        <v>3048</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2820</v>
      </c>
      <c r="C348" s="2993">
        <v>4000</v>
      </c>
      <c r="D348" s="2993">
        <v>3950</v>
      </c>
      <c r="E348" s="2993">
        <v>4430</v>
      </c>
      <c r="F348" s="2993">
        <v>760</v>
      </c>
      <c r="G348" s="2993">
        <v>2360</v>
      </c>
      <c r="J348" s="2200"/>
    </row>
    <row r="349" spans="1:10">
      <c r="A349" s="2335" t="s">
        <v>305</v>
      </c>
      <c r="B349" s="2335" t="s">
        <v>2825</v>
      </c>
      <c r="C349" s="2993">
        <v>3820</v>
      </c>
      <c r="D349" s="2993">
        <v>3780</v>
      </c>
      <c r="E349" s="2993">
        <v>4170</v>
      </c>
      <c r="F349" s="2993">
        <v>710</v>
      </c>
      <c r="G349" s="2993">
        <v>2260</v>
      </c>
      <c r="J349" s="2200"/>
    </row>
    <row r="350" spans="1:10">
      <c r="A350" s="2335" t="s">
        <v>305</v>
      </c>
      <c r="B350" s="2335" t="s">
        <v>3049</v>
      </c>
      <c r="C350" s="2993">
        <v>3760</v>
      </c>
      <c r="D350" s="2993">
        <v>3730</v>
      </c>
      <c r="E350" s="2993">
        <v>4100</v>
      </c>
      <c r="F350" s="2993">
        <v>800</v>
      </c>
      <c r="G350" s="2993">
        <v>2230</v>
      </c>
      <c r="J350" s="2200"/>
    </row>
    <row r="351" spans="1:10">
      <c r="A351" s="2335" t="s">
        <v>305</v>
      </c>
      <c r="B351" s="2335" t="s">
        <v>2833</v>
      </c>
      <c r="C351" s="2993">
        <v>3610</v>
      </c>
      <c r="D351" s="2993">
        <v>3580</v>
      </c>
      <c r="E351" s="2993">
        <v>3930</v>
      </c>
      <c r="F351" s="2993">
        <v>700</v>
      </c>
      <c r="G351" s="2993">
        <v>2140</v>
      </c>
      <c r="J351" s="2200"/>
    </row>
    <row r="352" spans="1:10">
      <c r="A352" s="2335" t="s">
        <v>305</v>
      </c>
      <c r="B352" s="2335" t="s">
        <v>2838</v>
      </c>
      <c r="C352" s="2993">
        <v>3670</v>
      </c>
      <c r="D352" s="2993">
        <v>3630</v>
      </c>
      <c r="E352" s="2993">
        <v>4000</v>
      </c>
      <c r="F352" s="2993">
        <v>750</v>
      </c>
      <c r="G352" s="2993">
        <v>2180</v>
      </c>
    </row>
    <row r="353" spans="1:7" s="2201" customFormat="1">
      <c r="A353" s="2335" t="s">
        <v>305</v>
      </c>
      <c r="B353" s="2335" t="s">
        <v>3050</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2858</v>
      </c>
      <c r="C355" s="2993">
        <v>3650</v>
      </c>
      <c r="D355" s="2993">
        <v>3610</v>
      </c>
      <c r="E355" s="2993">
        <v>4200</v>
      </c>
      <c r="F355" s="2993">
        <v>640</v>
      </c>
      <c r="G355" s="2993">
        <v>2160</v>
      </c>
    </row>
    <row r="356" spans="1:7" s="2201" customFormat="1">
      <c r="A356" s="2335" t="s">
        <v>305</v>
      </c>
      <c r="B356" s="2335" t="s">
        <v>2865</v>
      </c>
      <c r="C356" s="2993">
        <v>3260</v>
      </c>
      <c r="D356" s="2993">
        <v>3230</v>
      </c>
      <c r="E356" s="2993">
        <v>3740</v>
      </c>
      <c r="F356" s="2993">
        <v>600</v>
      </c>
      <c r="G356" s="2993">
        <v>1930</v>
      </c>
    </row>
    <row r="357" spans="1:7" s="2201" customFormat="1" ht="12" thickBot="1">
      <c r="A357" s="2343" t="s">
        <v>305</v>
      </c>
      <c r="B357" s="2346" t="s">
        <v>3051</v>
      </c>
      <c r="C357" s="2995">
        <v>3690</v>
      </c>
      <c r="D357" s="2995">
        <v>3650</v>
      </c>
      <c r="E357" s="2995">
        <v>4020</v>
      </c>
      <c r="F357" s="2995">
        <v>700</v>
      </c>
      <c r="G357" s="2995">
        <v>2190</v>
      </c>
    </row>
    <row r="358" spans="1:7" s="2201" customFormat="1">
      <c r="A358" s="2340" t="s">
        <v>3052</v>
      </c>
      <c r="B358" s="2331" t="s">
        <v>3053</v>
      </c>
      <c r="C358" s="2992">
        <v>2080</v>
      </c>
      <c r="D358" s="2992">
        <v>2040</v>
      </c>
      <c r="E358" s="2992">
        <v>2010</v>
      </c>
      <c r="F358" s="2992">
        <v>530</v>
      </c>
      <c r="G358" s="2996">
        <v>1230</v>
      </c>
    </row>
    <row r="359" spans="1:7" s="2201" customFormat="1">
      <c r="A359" s="2335" t="s">
        <v>3052</v>
      </c>
      <c r="B359" s="2335" t="s">
        <v>3054</v>
      </c>
      <c r="C359" s="2993">
        <v>1850</v>
      </c>
      <c r="D359" s="2993">
        <v>1820</v>
      </c>
      <c r="E359" s="2993">
        <v>1780</v>
      </c>
      <c r="F359" s="2993">
        <v>520</v>
      </c>
      <c r="G359" s="2997">
        <v>1100</v>
      </c>
    </row>
    <row r="360" spans="1:7" s="2201" customFormat="1">
      <c r="A360" s="2335" t="s">
        <v>3052</v>
      </c>
      <c r="B360" s="2335" t="s">
        <v>3055</v>
      </c>
      <c r="C360" s="2993">
        <v>2020</v>
      </c>
      <c r="D360" s="2993">
        <v>1990</v>
      </c>
      <c r="E360" s="2993">
        <v>1950</v>
      </c>
      <c r="F360" s="2993">
        <v>500</v>
      </c>
      <c r="G360" s="2997">
        <v>1200</v>
      </c>
    </row>
    <row r="361" spans="1:7" s="2201" customFormat="1">
      <c r="A361" s="2335" t="s">
        <v>3052</v>
      </c>
      <c r="B361" s="2335" t="s">
        <v>151</v>
      </c>
      <c r="C361" s="2993">
        <v>2260</v>
      </c>
      <c r="D361" s="2993">
        <v>2220</v>
      </c>
      <c r="E361" s="2993">
        <v>2180</v>
      </c>
      <c r="F361" s="2993">
        <v>580</v>
      </c>
      <c r="G361" s="2997">
        <v>1340</v>
      </c>
    </row>
    <row r="362" spans="1:7" s="2201" customFormat="1">
      <c r="A362" s="2335" t="s">
        <v>3052</v>
      </c>
      <c r="B362" s="2335" t="s">
        <v>3056</v>
      </c>
      <c r="C362" s="2993">
        <v>2650</v>
      </c>
      <c r="D362" s="2993">
        <v>2610</v>
      </c>
      <c r="E362" s="2993">
        <v>2570</v>
      </c>
      <c r="F362" s="2993">
        <v>630</v>
      </c>
      <c r="G362" s="2997">
        <v>1570</v>
      </c>
    </row>
    <row r="363" spans="1:7" s="2201" customFormat="1">
      <c r="A363" s="2335" t="s">
        <v>3052</v>
      </c>
      <c r="B363" s="2335" t="s">
        <v>2777</v>
      </c>
      <c r="C363" s="2993">
        <v>2390</v>
      </c>
      <c r="D363" s="2993">
        <v>2360</v>
      </c>
      <c r="E363" s="2993">
        <v>2320</v>
      </c>
      <c r="F363" s="2993">
        <v>600</v>
      </c>
      <c r="G363" s="2997">
        <v>1420</v>
      </c>
    </row>
    <row r="364" spans="1:7" s="2201" customFormat="1">
      <c r="A364" s="2335" t="s">
        <v>3052</v>
      </c>
      <c r="B364" s="2335" t="s">
        <v>3057</v>
      </c>
      <c r="C364" s="2993">
        <v>2050</v>
      </c>
      <c r="D364" s="2993">
        <v>2030</v>
      </c>
      <c r="E364" s="2993">
        <v>1990</v>
      </c>
      <c r="F364" s="2993">
        <v>550</v>
      </c>
      <c r="G364" s="2997">
        <v>1220</v>
      </c>
    </row>
    <row r="365" spans="1:7" s="2201" customFormat="1">
      <c r="A365" s="2335" t="s">
        <v>3052</v>
      </c>
      <c r="B365" s="2335" t="s">
        <v>198</v>
      </c>
      <c r="C365" s="2993">
        <v>2140</v>
      </c>
      <c r="D365" s="2993">
        <v>2100</v>
      </c>
      <c r="E365" s="2993">
        <v>2060</v>
      </c>
      <c r="F365" s="2993">
        <v>540</v>
      </c>
      <c r="G365" s="2997">
        <v>1270</v>
      </c>
    </row>
    <row r="366" spans="1:7" s="2201" customFormat="1">
      <c r="A366" s="2335" t="s">
        <v>3052</v>
      </c>
      <c r="B366" s="2335" t="s">
        <v>2784</v>
      </c>
      <c r="C366" s="2993">
        <v>2410</v>
      </c>
      <c r="D366" s="2993">
        <v>2370</v>
      </c>
      <c r="E366" s="2993">
        <v>2330</v>
      </c>
      <c r="F366" s="2993">
        <v>570</v>
      </c>
      <c r="G366" s="2997">
        <v>1440</v>
      </c>
    </row>
    <row r="367" spans="1:7" s="2201" customFormat="1">
      <c r="A367" s="2335" t="s">
        <v>3052</v>
      </c>
      <c r="B367" s="2335" t="s">
        <v>3058</v>
      </c>
      <c r="C367" s="2993">
        <v>2300</v>
      </c>
      <c r="D367" s="2993">
        <v>2260</v>
      </c>
      <c r="E367" s="2993">
        <v>2220</v>
      </c>
      <c r="F367" s="2993">
        <v>560</v>
      </c>
      <c r="G367" s="2997">
        <v>1370</v>
      </c>
    </row>
    <row r="368" spans="1:7" s="2201" customFormat="1">
      <c r="A368" s="2335" t="s">
        <v>3052</v>
      </c>
      <c r="B368" s="2335" t="s">
        <v>3059</v>
      </c>
      <c r="C368" s="2993">
        <v>2430</v>
      </c>
      <c r="D368" s="2993">
        <v>2390</v>
      </c>
      <c r="E368" s="2993">
        <v>2350</v>
      </c>
      <c r="F368" s="2993">
        <v>570</v>
      </c>
      <c r="G368" s="2997">
        <v>1450</v>
      </c>
    </row>
    <row r="369" spans="1:7" s="2201" customFormat="1">
      <c r="A369" s="2335" t="s">
        <v>3052</v>
      </c>
      <c r="B369" s="2335" t="s">
        <v>212</v>
      </c>
      <c r="C369" s="2993">
        <v>2320</v>
      </c>
      <c r="D369" s="2993">
        <v>2290</v>
      </c>
      <c r="E369" s="2993">
        <v>2250</v>
      </c>
      <c r="F369" s="2993">
        <v>550</v>
      </c>
      <c r="G369" s="2997">
        <v>1380</v>
      </c>
    </row>
    <row r="370" spans="1:7" s="2201" customFormat="1">
      <c r="A370" s="2335" t="s">
        <v>3052</v>
      </c>
      <c r="B370" s="2335" t="s">
        <v>219</v>
      </c>
      <c r="C370" s="2993">
        <v>2190</v>
      </c>
      <c r="D370" s="2993">
        <v>2170</v>
      </c>
      <c r="E370" s="2993">
        <v>2130</v>
      </c>
      <c r="F370" s="2993">
        <v>530</v>
      </c>
      <c r="G370" s="2997">
        <v>1310</v>
      </c>
    </row>
    <row r="371" spans="1:7" s="2201" customFormat="1">
      <c r="A371" s="2335" t="s">
        <v>3052</v>
      </c>
      <c r="B371" s="2335" t="s">
        <v>227</v>
      </c>
      <c r="C371" s="2993">
        <v>2460</v>
      </c>
      <c r="D371" s="2993">
        <v>2420</v>
      </c>
      <c r="E371" s="2993">
        <v>2370</v>
      </c>
      <c r="F371" s="2993">
        <v>560</v>
      </c>
      <c r="G371" s="2997">
        <v>1470</v>
      </c>
    </row>
    <row r="372" spans="1:7" s="2201" customFormat="1">
      <c r="A372" s="2335" t="s">
        <v>3052</v>
      </c>
      <c r="B372" s="2335" t="s">
        <v>3060</v>
      </c>
      <c r="C372" s="2993">
        <v>2250</v>
      </c>
      <c r="D372" s="2993">
        <v>2210</v>
      </c>
      <c r="E372" s="2993">
        <v>2180</v>
      </c>
      <c r="F372" s="2993">
        <v>550</v>
      </c>
      <c r="G372" s="2997">
        <v>1340</v>
      </c>
    </row>
    <row r="373" spans="1:7" s="2201" customFormat="1">
      <c r="A373" s="2335" t="s">
        <v>3052</v>
      </c>
      <c r="B373" s="2335" t="s">
        <v>256</v>
      </c>
      <c r="C373" s="2993">
        <v>2210</v>
      </c>
      <c r="D373" s="2993">
        <v>2190</v>
      </c>
      <c r="E373" s="2993">
        <v>2150</v>
      </c>
      <c r="F373" s="2993">
        <v>530</v>
      </c>
      <c r="G373" s="2997">
        <v>1320</v>
      </c>
    </row>
    <row r="374" spans="1:7" s="2201" customFormat="1">
      <c r="A374" s="2335" t="s">
        <v>3052</v>
      </c>
      <c r="B374" s="2335" t="s">
        <v>264</v>
      </c>
      <c r="C374" s="2993">
        <v>2320</v>
      </c>
      <c r="D374" s="2993">
        <v>2280</v>
      </c>
      <c r="E374" s="2993">
        <v>2230</v>
      </c>
      <c r="F374" s="2993">
        <v>580</v>
      </c>
      <c r="G374" s="2997">
        <v>1380</v>
      </c>
    </row>
    <row r="375" spans="1:7" s="2201" customFormat="1">
      <c r="A375" s="2335" t="s">
        <v>3052</v>
      </c>
      <c r="B375" s="2335" t="s">
        <v>3061</v>
      </c>
      <c r="C375" s="2993">
        <v>2090</v>
      </c>
      <c r="D375" s="2993">
        <v>2050</v>
      </c>
      <c r="E375" s="2993">
        <v>2020</v>
      </c>
      <c r="F375" s="2993">
        <v>520</v>
      </c>
      <c r="G375" s="2997">
        <v>1240</v>
      </c>
    </row>
    <row r="376" spans="1:7" s="2201" customFormat="1">
      <c r="A376" s="2335" t="s">
        <v>3052</v>
      </c>
      <c r="B376" s="2335" t="s">
        <v>275</v>
      </c>
      <c r="C376" s="2993">
        <v>2010</v>
      </c>
      <c r="D376" s="2993">
        <v>1980</v>
      </c>
      <c r="E376" s="2993">
        <v>1940</v>
      </c>
      <c r="F376" s="2993">
        <v>540</v>
      </c>
      <c r="G376" s="2997">
        <v>1190</v>
      </c>
    </row>
    <row r="377" spans="1:7" s="2201" customFormat="1" ht="12" thickBot="1">
      <c r="A377" s="2343" t="s">
        <v>3052</v>
      </c>
      <c r="B377" s="2346" t="s">
        <v>2814</v>
      </c>
      <c r="C377" s="2995">
        <v>1930</v>
      </c>
      <c r="D377" s="2995">
        <v>1890</v>
      </c>
      <c r="E377" s="2995">
        <v>1860</v>
      </c>
      <c r="F377" s="2995">
        <v>530</v>
      </c>
      <c r="G377" s="2999">
        <v>1150</v>
      </c>
    </row>
    <row r="378" spans="1:7" s="2201" customFormat="1">
      <c r="A378" s="2348" t="s">
        <v>3062</v>
      </c>
      <c r="B378" s="2331" t="s">
        <v>3063</v>
      </c>
      <c r="C378" s="2992">
        <v>1520</v>
      </c>
      <c r="D378" s="2992">
        <v>1490</v>
      </c>
      <c r="E378" s="2992">
        <v>1460</v>
      </c>
      <c r="F378" s="2992">
        <v>460</v>
      </c>
      <c r="G378" s="2996">
        <v>940</v>
      </c>
    </row>
    <row r="379" spans="1:7" s="2201" customFormat="1">
      <c r="A379" s="2349" t="s">
        <v>3062</v>
      </c>
      <c r="B379" s="2335" t="s">
        <v>3064</v>
      </c>
      <c r="C379" s="2993">
        <v>1500</v>
      </c>
      <c r="D379" s="2993">
        <v>1470</v>
      </c>
      <c r="E379" s="2993">
        <v>1430</v>
      </c>
      <c r="F379" s="2993">
        <v>460</v>
      </c>
      <c r="G379" s="2997">
        <v>920</v>
      </c>
    </row>
    <row r="380" spans="1:7" s="2201" customFormat="1">
      <c r="A380" s="2349" t="s">
        <v>3062</v>
      </c>
      <c r="B380" s="2335" t="s">
        <v>3065</v>
      </c>
      <c r="C380" s="2993">
        <v>1620</v>
      </c>
      <c r="D380" s="2993">
        <v>1590</v>
      </c>
      <c r="E380" s="2993">
        <v>1560</v>
      </c>
      <c r="F380" s="2993">
        <v>480</v>
      </c>
      <c r="G380" s="2997">
        <v>1000</v>
      </c>
    </row>
    <row r="381" spans="1:7" s="2201" customFormat="1">
      <c r="A381" s="2349" t="s">
        <v>3062</v>
      </c>
      <c r="B381" s="2335" t="s">
        <v>3066</v>
      </c>
      <c r="C381" s="2993">
        <v>1460</v>
      </c>
      <c r="D381" s="2993">
        <v>1430</v>
      </c>
      <c r="E381" s="2993">
        <v>1390</v>
      </c>
      <c r="F381" s="2993">
        <v>450</v>
      </c>
      <c r="G381" s="2997">
        <v>900</v>
      </c>
    </row>
    <row r="382" spans="1:7" s="2201" customFormat="1">
      <c r="A382" s="2349" t="s">
        <v>3062</v>
      </c>
      <c r="B382" s="2335" t="s">
        <v>3067</v>
      </c>
      <c r="C382" s="2993">
        <v>1310</v>
      </c>
      <c r="D382" s="2993">
        <v>1280</v>
      </c>
      <c r="E382" s="2993">
        <v>1250</v>
      </c>
      <c r="F382" s="2993">
        <v>440</v>
      </c>
      <c r="G382" s="2997">
        <v>800</v>
      </c>
    </row>
    <row r="383" spans="1:7" s="2201" customFormat="1">
      <c r="A383" s="2349" t="s">
        <v>3062</v>
      </c>
      <c r="B383" s="2335" t="s">
        <v>3068</v>
      </c>
      <c r="C383" s="2993">
        <v>1260</v>
      </c>
      <c r="D383" s="2993">
        <v>1230</v>
      </c>
      <c r="E383" s="2993">
        <v>1200</v>
      </c>
      <c r="F383" s="2993">
        <v>420</v>
      </c>
      <c r="G383" s="2997">
        <v>770</v>
      </c>
    </row>
    <row r="384" spans="1:7" s="2201" customFormat="1" ht="12" thickBot="1">
      <c r="A384" s="2350" t="s">
        <v>3062</v>
      </c>
      <c r="B384" s="2342" t="s">
        <v>3069</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46097</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2204</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5" t="str">
        <f>IF(项目基本情况!B9="房地产市场价值","估价结果一览表","结果表-2")</f>
        <v>结果表-2</v>
      </c>
      <c r="B1" s="4275"/>
      <c r="C1" s="4275"/>
      <c r="D1" s="4275"/>
      <c r="E1" s="4275"/>
      <c r="F1" s="4275"/>
      <c r="G1" s="4275"/>
      <c r="H1" s="4275"/>
      <c r="I1" s="4275"/>
    </row>
    <row r="2" spans="1:9" ht="30" customHeight="1" thickTop="1">
      <c r="A2" s="4276" t="s">
        <v>912</v>
      </c>
      <c r="B2" s="4276" t="s">
        <v>913</v>
      </c>
      <c r="C2" s="4276" t="s">
        <v>914</v>
      </c>
      <c r="D2" s="4276" t="str">
        <f>结果表!D116</f>
        <v>出让国有建设用地使用权价值</v>
      </c>
      <c r="E2" s="4276"/>
      <c r="F2" s="4276">
        <f>结果表!F116</f>
        <v>0</v>
      </c>
      <c r="G2" s="4276"/>
      <c r="H2" s="4276" t="str">
        <f>IF(项目基本情况!B9="房地产市场价值","房地产市场价值","房地产价值")</f>
        <v>房地产价值</v>
      </c>
      <c r="I2" s="4276"/>
    </row>
    <row r="3" spans="1:9" ht="15">
      <c r="A3" s="4277"/>
      <c r="B3" s="4277"/>
      <c r="C3" s="4277"/>
      <c r="D3" s="544" t="s">
        <v>909</v>
      </c>
      <c r="E3" s="544" t="s">
        <v>915</v>
      </c>
      <c r="F3" s="544" t="s">
        <v>909</v>
      </c>
      <c r="G3" s="544" t="s">
        <v>910</v>
      </c>
      <c r="H3" s="544" t="s">
        <v>909</v>
      </c>
      <c r="I3" s="544" t="s">
        <v>910</v>
      </c>
    </row>
    <row r="4" spans="1:9" ht="15">
      <c r="A4" s="1047" t="str">
        <f>项目基本情况!S2</f>
        <v>北京市房地产</v>
      </c>
      <c r="B4" s="544">
        <f>项目基本情况!C17</f>
        <v>498.23</v>
      </c>
      <c r="C4" s="544">
        <f>项目基本情况!C18</f>
        <v>0</v>
      </c>
      <c r="D4" s="544">
        <f ca="1">结果表!E118</f>
        <v>465</v>
      </c>
      <c r="E4" s="544">
        <f ca="1">结果表!D118</f>
        <v>19109</v>
      </c>
      <c r="F4" s="544">
        <f ca="1">结果表!G118</f>
        <v>487</v>
      </c>
      <c r="G4" s="544">
        <f>结果表!F118</f>
        <v>0</v>
      </c>
      <c r="H4" s="544">
        <f ca="1">结果表!I118</f>
        <v>952.06769999999995</v>
      </c>
      <c r="I4" s="544">
        <f ca="1">结果表!H118</f>
        <v>19109</v>
      </c>
    </row>
    <row r="5" spans="1:9" ht="30" customHeight="1">
      <c r="A5" s="4277" t="s">
        <v>911</v>
      </c>
      <c r="B5" s="4277"/>
      <c r="C5" s="4277"/>
      <c r="D5" s="4277" t="str">
        <f ca="1">结果表!D119</f>
        <v>肆佰陆拾伍万元整</v>
      </c>
      <c r="E5" s="4277"/>
      <c r="F5" s="4277" t="str">
        <f ca="1">结果表!F119</f>
        <v>肆佰捌拾柒万元整</v>
      </c>
      <c r="G5" s="4277"/>
      <c r="H5" s="4277" t="str">
        <f ca="1">结果表!H119</f>
        <v>玖佰伍拾贰万零陆佰柒拾柒元整</v>
      </c>
      <c r="I5" s="4277"/>
    </row>
    <row r="6" spans="1:9" ht="15.75">
      <c r="A6" s="4278" t="str">
        <f>结果表!A120</f>
        <v>估价师知悉的法定优先受偿款</v>
      </c>
      <c r="B6" s="4278"/>
      <c r="C6" s="4278"/>
      <c r="D6" s="4278">
        <f>结果表!H120</f>
        <v>0</v>
      </c>
      <c r="E6" s="4278"/>
      <c r="F6" s="4278"/>
      <c r="G6" s="4278"/>
      <c r="H6" s="4278"/>
      <c r="I6" s="4278"/>
    </row>
    <row r="7" spans="1:9" ht="15">
      <c r="A7" s="4277" t="s">
        <v>911</v>
      </c>
      <c r="B7" s="4277"/>
      <c r="C7" s="4277"/>
      <c r="D7" s="4279" t="str">
        <f>结果表!H121</f>
        <v>零元整</v>
      </c>
      <c r="E7" s="4280"/>
      <c r="F7" s="4280"/>
      <c r="G7" s="4280"/>
      <c r="H7" s="4280"/>
      <c r="I7" s="4281"/>
    </row>
    <row r="8" spans="1:9" ht="15.75">
      <c r="A8" s="4278" t="str">
        <f>结果表!A122</f>
        <v>房地产抵押价值</v>
      </c>
      <c r="B8" s="4278"/>
      <c r="C8" s="4278"/>
      <c r="D8" s="4278">
        <f ca="1">结果表!H122</f>
        <v>952.06769999999995</v>
      </c>
      <c r="E8" s="4278"/>
      <c r="F8" s="4278"/>
      <c r="G8" s="4278"/>
      <c r="H8" s="4278"/>
      <c r="I8" s="4278"/>
    </row>
    <row r="9" spans="1:9" ht="15">
      <c r="A9" s="4277" t="s">
        <v>911</v>
      </c>
      <c r="B9" s="4277"/>
      <c r="C9" s="4277"/>
      <c r="D9" s="4277" t="str">
        <f ca="1">结果表!H123</f>
        <v>玖佰伍拾贰万零陆佰柒拾柒元整</v>
      </c>
      <c r="E9" s="4277"/>
      <c r="F9" s="4277"/>
      <c r="G9" s="4277"/>
      <c r="H9" s="4277"/>
      <c r="I9" s="4277"/>
    </row>
    <row r="10" spans="1:9" ht="15.75">
      <c r="A10" s="4278" t="str">
        <f>结果表!A124</f>
        <v/>
      </c>
      <c r="B10" s="4278"/>
      <c r="C10" s="4278"/>
      <c r="D10" s="4278" t="str">
        <f>结果表!H124</f>
        <v>——</v>
      </c>
      <c r="E10" s="4278"/>
      <c r="F10" s="4278"/>
      <c r="G10" s="4278"/>
      <c r="H10" s="4278"/>
      <c r="I10" s="4278"/>
    </row>
    <row r="11" spans="1:9" ht="15">
      <c r="A11" s="4277" t="s">
        <v>911</v>
      </c>
      <c r="B11" s="4277"/>
      <c r="C11" s="4277"/>
      <c r="D11" s="4277" t="e">
        <f>结果表!H125</f>
        <v>#VALUE!</v>
      </c>
      <c r="E11" s="4277"/>
      <c r="F11" s="4277"/>
      <c r="G11" s="4277"/>
      <c r="H11" s="4277"/>
      <c r="I11" s="4277"/>
    </row>
    <row r="12" spans="1:9" ht="15.75">
      <c r="A12" s="4278" t="str">
        <f>结果表!A126</f>
        <v/>
      </c>
      <c r="B12" s="4278"/>
      <c r="C12" s="4278"/>
      <c r="D12" s="4278" t="str">
        <f>结果表!H126</f>
        <v>——</v>
      </c>
      <c r="E12" s="4278"/>
      <c r="F12" s="4278"/>
      <c r="G12" s="4278"/>
      <c r="H12" s="4278"/>
      <c r="I12" s="4278"/>
    </row>
    <row r="13" spans="1:9" ht="15.75" thickBot="1">
      <c r="A13" s="4282" t="s">
        <v>911</v>
      </c>
      <c r="B13" s="4282"/>
      <c r="C13" s="4282"/>
      <c r="D13" s="4282" t="e">
        <f>结果表!H127</f>
        <v>#VALUE!</v>
      </c>
      <c r="E13" s="4282"/>
      <c r="F13" s="4282"/>
      <c r="G13" s="4282"/>
      <c r="H13" s="4282"/>
      <c r="I13" s="4282"/>
    </row>
    <row r="14" spans="1:9" ht="15" thickTop="1">
      <c r="A14" s="4283" t="s">
        <v>916</v>
      </c>
      <c r="B14" s="4283"/>
      <c r="C14" s="4283"/>
      <c r="D14" s="4283"/>
      <c r="E14" s="4283"/>
      <c r="F14" s="4283"/>
      <c r="G14" s="4283"/>
      <c r="H14" s="4283"/>
      <c r="I14" s="4283"/>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0" sqref="J220"/>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2" sqref="N72"/>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3" workbookViewId="0">
      <selection activeCell="A228" sqref="A228"/>
    </sheetView>
  </sheetViews>
  <sheetFormatPr defaultRowHeight="13.5"/>
  <cols>
    <col min="1" max="16384" width="9" style="4263"/>
  </cols>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4" t="s">
        <v>933</v>
      </c>
      <c r="B1" s="4284"/>
      <c r="C1" s="4284"/>
      <c r="D1" s="4284"/>
    </row>
    <row r="2" spans="1:4" ht="18">
      <c r="A2" s="4285" t="s">
        <v>917</v>
      </c>
      <c r="B2" s="4285"/>
      <c r="C2" s="4285"/>
      <c r="D2" s="4285"/>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5" t="s">
        <v>923</v>
      </c>
      <c r="B6" s="4285"/>
      <c r="C6" s="4285"/>
      <c r="D6" s="4285"/>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6" t="s">
        <v>926</v>
      </c>
      <c r="B11" s="4287"/>
      <c r="C11" s="4287"/>
      <c r="D11" s="4287"/>
    </row>
    <row r="12" spans="1:4" ht="15.75">
      <c r="A12" s="4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8"/>
      <c r="C12" s="4288"/>
      <c r="D12" s="4288"/>
    </row>
    <row r="13" spans="1:4" ht="30" customHeight="1">
      <c r="A13" s="4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8"/>
      <c r="C13" s="4288"/>
      <c r="D13" s="4288"/>
    </row>
    <row r="14" spans="1:4" ht="15.75" customHeight="1">
      <c r="A14" s="4287" t="str">
        <f>IF(项目基本情况!B8="抵押","4.本次评估估价师所知悉的法定优先受偿款情况说明如下：","——")</f>
        <v>4.本次评估估价师所知悉的法定优先受偿款情况说明如下：</v>
      </c>
      <c r="B14" s="4288"/>
      <c r="C14" s="4288"/>
      <c r="D14" s="4288"/>
    </row>
    <row r="15" spans="1:4" ht="42" customHeight="1">
      <c r="A15" s="4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7"/>
      <c r="C15" s="4287"/>
      <c r="D15" s="4287"/>
    </row>
    <row r="16" spans="1:4" ht="30" customHeight="1">
      <c r="A16" s="4290" t="s">
        <v>927</v>
      </c>
      <c r="B16" s="4290"/>
      <c r="C16" s="4290"/>
      <c r="D16" s="4290"/>
    </row>
    <row r="17" spans="1:4" ht="144" customHeight="1">
      <c r="A17" s="4290" t="s">
        <v>928</v>
      </c>
      <c r="B17" s="4290"/>
      <c r="C17" s="4290"/>
      <c r="D17" s="4290"/>
    </row>
    <row r="18" spans="1:4" ht="15.75" customHeight="1">
      <c r="A18" s="4287" t="str">
        <f>IF(项目基本情况!B8="抵押",结果表!K120,"——")</f>
        <v>故，本次评估不存在估价师知悉的法定优先受偿款</v>
      </c>
      <c r="B18" s="4287"/>
      <c r="C18" s="4287"/>
      <c r="D18" s="4287"/>
    </row>
    <row r="19" spans="1:4" ht="46.5" customHeight="1">
      <c r="A19" s="4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7"/>
      <c r="C19" s="4287"/>
      <c r="D19" s="4287"/>
    </row>
    <row r="20" spans="1:4" ht="57.75" customHeight="1">
      <c r="A20" s="4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7"/>
      <c r="C20" s="4287"/>
      <c r="D20" s="4287"/>
    </row>
    <row r="21" spans="1:4" ht="57.75" customHeight="1">
      <c r="A21" s="4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1"/>
      <c r="C21" s="4291"/>
      <c r="D21" s="4291"/>
    </row>
    <row r="22" spans="1:4" ht="18.75" customHeight="1">
      <c r="A22" s="4292" t="s">
        <v>929</v>
      </c>
      <c r="B22" s="4292"/>
      <c r="C22" s="4292"/>
      <c r="D22" s="4292"/>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9">
        <v>42551</v>
      </c>
      <c r="D31" s="428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8" t="s">
        <v>940</v>
      </c>
      <c r="B15" s="4293" t="s">
        <v>107</v>
      </c>
      <c r="C15" s="4294"/>
    </row>
    <row r="16" spans="1:7" ht="13.5">
      <c r="A16" s="4299"/>
      <c r="B16" s="4293" t="s">
        <v>40</v>
      </c>
      <c r="C16" s="4294"/>
    </row>
    <row r="17" spans="1:3" ht="13.5">
      <c r="A17" s="4299"/>
      <c r="B17" s="4296" t="s">
        <v>941</v>
      </c>
      <c r="C17" s="1073" t="s">
        <v>940</v>
      </c>
    </row>
    <row r="18" spans="1:3" ht="13.5">
      <c r="A18" s="4299"/>
      <c r="B18" s="4296"/>
      <c r="C18" s="1073" t="s">
        <v>942</v>
      </c>
    </row>
    <row r="19" spans="1:3" ht="13.5">
      <c r="A19" s="4299"/>
      <c r="B19" s="4296"/>
      <c r="C19" s="1073" t="s">
        <v>943</v>
      </c>
    </row>
    <row r="20" spans="1:3" ht="13.5">
      <c r="A20" s="4300"/>
      <c r="B20" s="4295" t="s">
        <v>944</v>
      </c>
      <c r="C20" s="4294"/>
    </row>
    <row r="21" spans="1:3" ht="13.5">
      <c r="A21" s="1074" t="s">
        <v>945</v>
      </c>
      <c r="B21" s="1075"/>
      <c r="C21" s="1076"/>
    </row>
    <row r="22" spans="1:3" ht="13.5">
      <c r="A22" s="4297" t="s">
        <v>946</v>
      </c>
      <c r="B22" s="4295" t="s">
        <v>947</v>
      </c>
      <c r="C22" s="4294"/>
    </row>
    <row r="23" spans="1:3" ht="13.5">
      <c r="A23" s="4297"/>
      <c r="B23" s="4295" t="s">
        <v>948</v>
      </c>
      <c r="C23" s="4294"/>
    </row>
    <row r="24" spans="1:3" ht="13.5">
      <c r="A24" s="4297"/>
      <c r="B24" s="4295" t="s">
        <v>949</v>
      </c>
      <c r="C24" s="4294"/>
    </row>
    <row r="25" spans="1:3" ht="13.5">
      <c r="A25" s="4297"/>
      <c r="B25" s="4296" t="s">
        <v>950</v>
      </c>
      <c r="C25" s="1073" t="s">
        <v>951</v>
      </c>
    </row>
    <row r="26" spans="1:3" ht="13.5">
      <c r="A26" s="4297"/>
      <c r="B26" s="4296"/>
      <c r="C26" s="1073" t="s">
        <v>952</v>
      </c>
    </row>
    <row r="27" spans="1:3" ht="13.5">
      <c r="A27" s="4297"/>
      <c r="B27" s="4296"/>
      <c r="C27" s="1073" t="s">
        <v>953</v>
      </c>
    </row>
    <row r="28" spans="1:3" ht="13.5">
      <c r="A28" s="4297"/>
      <c r="B28" s="4296"/>
      <c r="C28" s="1073" t="s">
        <v>954</v>
      </c>
    </row>
    <row r="29" spans="1:3" ht="13.5">
      <c r="A29" s="4297"/>
      <c r="B29" s="4296"/>
      <c r="C29" s="1073" t="s">
        <v>955</v>
      </c>
    </row>
    <row r="30" spans="1:3" ht="13.5">
      <c r="A30" s="4297"/>
      <c r="B30" s="4296"/>
      <c r="C30" s="1073" t="s">
        <v>956</v>
      </c>
    </row>
    <row r="31" spans="1:3" ht="13.5">
      <c r="A31" s="4297"/>
      <c r="B31" s="4296"/>
      <c r="C31" s="1073" t="s">
        <v>957</v>
      </c>
    </row>
    <row r="32" spans="1:3" ht="13.5">
      <c r="A32" s="4297"/>
      <c r="B32" s="4296"/>
      <c r="C32" s="1073" t="s">
        <v>958</v>
      </c>
    </row>
    <row r="33" spans="1:3" ht="13.5">
      <c r="A33" s="4297"/>
      <c r="B33" s="4296"/>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2043</v>
      </c>
      <c r="B2" s="1703">
        <f ca="1">TODAY()</f>
        <v>46099</v>
      </c>
      <c r="C2" s="1704" t="s">
        <v>2044</v>
      </c>
      <c r="D2" s="1704"/>
      <c r="E2" s="1704"/>
      <c r="F2" s="1700"/>
      <c r="G2" s="1700"/>
      <c r="H2" s="1700"/>
    </row>
    <row r="3" spans="1:8" ht="24" customHeight="1">
      <c r="A3" s="1705" t="s">
        <v>2045</v>
      </c>
      <c r="B3" s="876" t="s">
        <v>2046</v>
      </c>
      <c r="C3" s="876" t="s">
        <v>2047</v>
      </c>
      <c r="D3" s="1706" t="s">
        <v>2048</v>
      </c>
      <c r="E3" s="1707" t="s">
        <v>2049</v>
      </c>
      <c r="F3" s="876" t="s">
        <v>2050</v>
      </c>
      <c r="G3" s="876" t="s">
        <v>2047</v>
      </c>
      <c r="H3" s="1706" t="s">
        <v>2051</v>
      </c>
    </row>
    <row r="4" spans="1:8" ht="24" customHeight="1">
      <c r="A4" s="876" t="s">
        <v>2052</v>
      </c>
      <c r="B4" s="3488" t="str">
        <f ca="1">IF(C4&lt;B2,"已过期",1119970066)</f>
        <v>已过期</v>
      </c>
      <c r="C4" s="876">
        <v>45937</v>
      </c>
      <c r="D4" s="1708" t="str">
        <f ca="1">A4&amp;"（注册号："&amp;B4&amp;"）"</f>
        <v>梁津（注册号：已过期）</v>
      </c>
      <c r="E4" s="1709" t="s">
        <v>2052</v>
      </c>
      <c r="F4" s="3488">
        <f ca="1">IF(G4&lt;B2,"已过期",96010014)</f>
        <v>96010014</v>
      </c>
      <c r="G4" s="1710">
        <v>47118</v>
      </c>
      <c r="H4" s="1711" t="str">
        <f ca="1">E4&amp;"（注册号："&amp;F4&amp;"）"</f>
        <v>梁津（注册号：96010014）</v>
      </c>
    </row>
    <row r="5" spans="1:8" ht="24" customHeight="1">
      <c r="A5" s="876" t="s">
        <v>2053</v>
      </c>
      <c r="B5" s="3488" t="str">
        <f ca="1">IF(C5&lt;B2,"已过期",1119970111)</f>
        <v>已过期</v>
      </c>
      <c r="C5" s="876">
        <v>45937</v>
      </c>
      <c r="D5" s="1708" t="str">
        <f t="shared" ref="D5:D15" ca="1" si="0">A5&amp;"（注册号："&amp;B5&amp;"）"</f>
        <v>叶凌（注册号：已过期）</v>
      </c>
      <c r="E5" s="1709" t="s">
        <v>2053</v>
      </c>
      <c r="F5" s="3488">
        <f ca="1">IF(G5&lt;B2,"已过期",94010078)</f>
        <v>94010078</v>
      </c>
      <c r="G5" s="1710">
        <v>46387</v>
      </c>
      <c r="H5" s="1711" t="str">
        <f t="shared" ref="H5:H16" ca="1" si="1">E5&amp;"（注册号："&amp;F5&amp;"）"</f>
        <v>叶凌（注册号：94010078）</v>
      </c>
    </row>
    <row r="6" spans="1:8" ht="24" customHeight="1">
      <c r="A6" s="876" t="s">
        <v>2054</v>
      </c>
      <c r="B6" s="3488" t="str">
        <f ca="1">IF(C6&lt;B2,"已过期",1120050019)</f>
        <v>已过期</v>
      </c>
      <c r="C6" s="876">
        <v>45410</v>
      </c>
      <c r="D6" s="1708" t="str">
        <f t="shared" ca="1" si="0"/>
        <v>王鹏（注册号：已过期）</v>
      </c>
      <c r="E6" s="1709" t="s">
        <v>2054</v>
      </c>
      <c r="F6" s="3488">
        <f ca="1">IF(G6&lt;B2,"已过期",2002110030)</f>
        <v>2002110030</v>
      </c>
      <c r="G6" s="1710">
        <v>46387</v>
      </c>
      <c r="H6" s="1711" t="str">
        <f t="shared" ca="1" si="1"/>
        <v>王鹏（注册号：2002110030）</v>
      </c>
    </row>
    <row r="7" spans="1:8" ht="24" customHeight="1">
      <c r="A7" s="876" t="s">
        <v>2055</v>
      </c>
      <c r="B7" s="3488" t="str">
        <f ca="1">IF(C7&lt;B2,"已过期",1120000080)</f>
        <v>已过期</v>
      </c>
      <c r="C7" s="876">
        <v>45937</v>
      </c>
      <c r="D7" s="1708" t="str">
        <f t="shared" ca="1" si="0"/>
        <v>欧红伟（注册号：已过期）</v>
      </c>
      <c r="E7" s="1709" t="s">
        <v>2055</v>
      </c>
      <c r="F7" s="3488">
        <f ca="1">IF(G7&lt;B2,"已过期",2000110082)</f>
        <v>2000110082</v>
      </c>
      <c r="G7" s="1710">
        <v>46387</v>
      </c>
      <c r="H7" s="1711" t="str">
        <f t="shared" ca="1" si="1"/>
        <v>欧红伟（注册号：2000110082）</v>
      </c>
    </row>
    <row r="8" spans="1:8" ht="24" customHeight="1">
      <c r="A8" s="876" t="s">
        <v>2056</v>
      </c>
      <c r="B8" s="3488" t="str">
        <f ca="1">IF(C8&lt;B2,"已过期",1419970001)</f>
        <v>已过期</v>
      </c>
      <c r="C8" s="876">
        <v>45937</v>
      </c>
      <c r="D8" s="1708" t="str">
        <f t="shared" ca="1" si="0"/>
        <v>吴薇（注册号：已过期）</v>
      </c>
      <c r="E8" s="1709" t="s">
        <v>2056</v>
      </c>
      <c r="F8" s="3488">
        <f ca="1">IF(G8&lt;B2,"已过期",2002110125)</f>
        <v>2002110125</v>
      </c>
      <c r="G8" s="1710">
        <v>47118</v>
      </c>
      <c r="H8" s="1711" t="str">
        <f t="shared" ca="1" si="1"/>
        <v>吴薇（注册号：2002110125）</v>
      </c>
    </row>
    <row r="9" spans="1:8" ht="24" customHeight="1">
      <c r="A9" s="876" t="s">
        <v>2057</v>
      </c>
      <c r="B9" s="3488" t="str">
        <f ca="1">IF(C9&lt;B2,"已过期",1120060040)</f>
        <v>已过期</v>
      </c>
      <c r="C9" s="1706">
        <v>45592</v>
      </c>
      <c r="D9" s="1708" t="str">
        <f t="shared" ca="1" si="0"/>
        <v>陈颖（注册号：已过期）</v>
      </c>
      <c r="E9" s="1709" t="s">
        <v>2057</v>
      </c>
      <c r="F9" s="3488">
        <f ca="1">IF(G9&lt;B2,"已过期",2004110096)</f>
        <v>2004110096</v>
      </c>
      <c r="G9" s="1710">
        <v>47118</v>
      </c>
      <c r="H9" s="1711" t="str">
        <f t="shared" ca="1" si="1"/>
        <v>陈颖（注册号：2004110096）</v>
      </c>
    </row>
    <row r="10" spans="1:8" ht="24" customHeight="1">
      <c r="A10" s="876" t="s">
        <v>2058</v>
      </c>
      <c r="B10" s="3488" t="str">
        <f ca="1">IF(C10&lt;B2,"已过期",1120100036)</f>
        <v>已过期</v>
      </c>
      <c r="C10" s="1706">
        <v>45752</v>
      </c>
      <c r="D10" s="1708" t="str">
        <f t="shared" ca="1" si="0"/>
        <v>崔锴（注册号：已过期）</v>
      </c>
      <c r="E10" s="1709" t="s">
        <v>2058</v>
      </c>
      <c r="F10" s="3488">
        <f ca="1">IF(G10&lt;B2,"已过期",2010110070)</f>
        <v>2010110070</v>
      </c>
      <c r="G10" s="1710">
        <v>47907</v>
      </c>
      <c r="H10" s="1711" t="str">
        <f t="shared" ca="1" si="1"/>
        <v>崔锴（注册号：2010110070）</v>
      </c>
    </row>
    <row r="11" spans="1:8" ht="24" customHeight="1">
      <c r="A11" s="876" t="s">
        <v>2059</v>
      </c>
      <c r="B11" s="3488" t="str">
        <f ca="1">IF(C11&lt;B2,"已过期",1120070131)</f>
        <v>已过期</v>
      </c>
      <c r="C11" s="876">
        <v>45937</v>
      </c>
      <c r="D11" s="1708" t="str">
        <f t="shared" ca="1" si="0"/>
        <v>郑燚（注册号：已过期）</v>
      </c>
      <c r="E11" s="1709" t="s">
        <v>2059</v>
      </c>
      <c r="F11" s="3488">
        <f ca="1">IF(G11&lt;B2,"已过期",2014110011)</f>
        <v>2014110011</v>
      </c>
      <c r="G11" s="1710">
        <v>49302</v>
      </c>
      <c r="H11" s="1711" t="str">
        <f t="shared" ca="1" si="1"/>
        <v>郑燚（注册号：2014110011）</v>
      </c>
    </row>
    <row r="12" spans="1:8" ht="24" customHeight="1">
      <c r="A12" s="876" t="s">
        <v>2060</v>
      </c>
      <c r="B12" s="3488" t="str">
        <f ca="1">IF(C12&lt;B2,"已过期",1120040230)</f>
        <v>已过期</v>
      </c>
      <c r="C12" s="1706">
        <v>45937</v>
      </c>
      <c r="D12" s="1708" t="str">
        <f t="shared" ca="1" si="0"/>
        <v>苏海（注册号：已过期）</v>
      </c>
      <c r="E12" s="1709" t="s">
        <v>2060</v>
      </c>
      <c r="F12" s="3488">
        <f ca="1">IF(G12&lt;B2,"已过期",98030020)</f>
        <v>98030020</v>
      </c>
      <c r="G12" s="1710">
        <v>47118</v>
      </c>
      <c r="H12" s="1711" t="str">
        <f t="shared" ca="1" si="1"/>
        <v>苏海（注册号：98030020）</v>
      </c>
    </row>
    <row r="13" spans="1:8" ht="24" customHeight="1">
      <c r="A13" s="876" t="s">
        <v>2061</v>
      </c>
      <c r="B13" s="3488" t="str">
        <f ca="1">IF(C13&lt;B2,"已过期",1120020033)</f>
        <v>已过期</v>
      </c>
      <c r="C13" s="876">
        <v>45375</v>
      </c>
      <c r="D13" s="1708" t="str">
        <f t="shared" ca="1" si="0"/>
        <v>刘敬东（注册号：已过期）</v>
      </c>
      <c r="E13" s="1709" t="s">
        <v>2061</v>
      </c>
      <c r="F13" s="3488">
        <f ca="1">IF(G13&lt;B2,"已过期",2000110137)</f>
        <v>2000110137</v>
      </c>
      <c r="G13" s="1710">
        <v>46387</v>
      </c>
      <c r="H13" s="1711" t="str">
        <f t="shared" ca="1" si="1"/>
        <v>刘敬东（注册号：2000110137）</v>
      </c>
    </row>
    <row r="14" spans="1:8" ht="24" customHeight="1">
      <c r="A14" s="876" t="s">
        <v>2062</v>
      </c>
      <c r="B14" s="3488" t="str">
        <f ca="1">IF(C14&lt;B2,"已过期",1119980106)</f>
        <v>已过期</v>
      </c>
      <c r="C14" s="1706">
        <v>44969</v>
      </c>
      <c r="D14" s="1708" t="str">
        <f t="shared" ca="1" si="0"/>
        <v>刘俊财（注册号：已过期）</v>
      </c>
      <c r="E14" s="1709" t="s">
        <v>2062</v>
      </c>
      <c r="F14" s="3488">
        <f ca="1">IF(G14&lt;B2,"已过期",96010063)</f>
        <v>96010063</v>
      </c>
      <c r="G14" s="1710">
        <v>47483</v>
      </c>
      <c r="H14" s="1711" t="str">
        <f t="shared" ca="1" si="1"/>
        <v>刘俊财（注册号：96010063）</v>
      </c>
    </row>
    <row r="15" spans="1:8" ht="24" customHeight="1">
      <c r="A15" s="876" t="s">
        <v>2326</v>
      </c>
      <c r="B15" s="3488">
        <v>1120210056</v>
      </c>
      <c r="C15" s="1706">
        <v>45410</v>
      </c>
      <c r="D15" s="1708" t="str">
        <f t="shared" si="0"/>
        <v>宁小鳗（注册号：1120210056）</v>
      </c>
      <c r="E15" s="1709" t="s">
        <v>2063</v>
      </c>
      <c r="F15" s="3488">
        <f ca="1">IF(G15&lt;B2,"已过期",2011110090)</f>
        <v>2011110090</v>
      </c>
      <c r="G15" s="1710">
        <v>48302</v>
      </c>
      <c r="H15" s="1711" t="str">
        <f t="shared" ca="1" si="1"/>
        <v>赵雯（注册号：2011110090）</v>
      </c>
    </row>
    <row r="16" spans="1:8" ht="24" customHeight="1">
      <c r="A16" s="876" t="s">
        <v>3974</v>
      </c>
      <c r="B16" s="876">
        <v>1120240051</v>
      </c>
      <c r="C16" s="876"/>
      <c r="D16" s="1708" t="str">
        <f>A16&amp;"（注册号："&amp;B16&amp;"）"</f>
        <v>赵雯（注册号：1120240051）</v>
      </c>
      <c r="E16" s="1709"/>
      <c r="F16" s="876"/>
      <c r="G16" s="876"/>
      <c r="H16" s="1712" t="str">
        <f t="shared" si="1"/>
        <v>（注册号：）</v>
      </c>
    </row>
    <row r="17" spans="1:8" ht="24" customHeight="1">
      <c r="A17" s="4301" t="s">
        <v>2064</v>
      </c>
      <c r="B17" s="4301"/>
      <c r="C17" s="4301"/>
      <c r="D17" s="4301"/>
      <c r="E17" s="4301"/>
      <c r="F17" s="4301"/>
      <c r="G17" s="4301"/>
      <c r="H17" s="4301"/>
    </row>
    <row r="18" spans="1:8" ht="24" customHeight="1">
      <c r="A18" s="4302" t="s">
        <v>2065</v>
      </c>
      <c r="B18" s="4302"/>
      <c r="C18" s="4302"/>
      <c r="D18" s="1706"/>
      <c r="E18" s="4303" t="s">
        <v>2066</v>
      </c>
      <c r="F18" s="4302"/>
      <c r="G18" s="4302"/>
    </row>
    <row r="19" spans="1:8" s="1714" customFormat="1" ht="24" customHeight="1">
      <c r="A19" s="1713" t="s">
        <v>2067</v>
      </c>
      <c r="B19" s="876" t="s">
        <v>2068</v>
      </c>
      <c r="C19" s="876" t="s">
        <v>2047</v>
      </c>
      <c r="D19" s="1706"/>
      <c r="E19" s="1709" t="s">
        <v>2067</v>
      </c>
      <c r="F19" s="876" t="s">
        <v>2068</v>
      </c>
      <c r="G19" s="876" t="s">
        <v>2047</v>
      </c>
    </row>
    <row r="20" spans="1:8" s="1714" customFormat="1" ht="24" customHeight="1">
      <c r="A20" s="1715" t="s">
        <v>2069</v>
      </c>
      <c r="B20" s="1715" t="s">
        <v>2070</v>
      </c>
      <c r="C20" s="1710">
        <v>45898</v>
      </c>
      <c r="D20" s="1716"/>
      <c r="E20" s="1717" t="s">
        <v>2071</v>
      </c>
      <c r="F20" s="1720" t="s">
        <v>2327</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2026-03-18T07:46:27Z</dcterms:modified>
</cp:coreProperties>
</file>