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8" activeTab="2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H9" i="1" l="1"/>
  <c r="D28" i="9"/>
  <c r="D27" i="9"/>
  <c r="C7" i="39" l="1"/>
  <c r="E37" i="9" l="1"/>
  <c r="E38" i="9"/>
  <c r="D38" i="9"/>
  <c r="D37" i="9"/>
  <c r="B38" i="9"/>
  <c r="B37" i="9"/>
  <c r="D30" i="9" l="1"/>
  <c r="G35" i="9" s="1"/>
  <c r="O18" i="3"/>
  <c r="Q73" i="75" l="1"/>
  <c r="Q60" i="75"/>
  <c r="D60" i="75"/>
  <c r="Q59" i="75"/>
  <c r="K59" i="75"/>
  <c r="P75" i="75" s="1"/>
  <c r="F58" i="75"/>
  <c r="Q52" i="75"/>
  <c r="J50" i="75"/>
  <c r="J51" i="75" s="1"/>
  <c r="M47" i="75"/>
  <c r="F33" i="75"/>
  <c r="F60" i="75" s="1"/>
  <c r="F31" i="75"/>
  <c r="F23" i="75"/>
  <c r="D24" i="75" s="1"/>
  <c r="D22" i="75"/>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3" i="74" l="1"/>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29" i="69" l="1"/>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6" i="68"/>
  <c r="F38" i="68"/>
  <c r="M9" i="68"/>
  <c r="F16" i="68"/>
  <c r="F42" i="68"/>
  <c r="F37" i="68"/>
  <c r="M23" i="68"/>
  <c r="F13" i="68"/>
  <c r="F26" i="68"/>
  <c r="J15" i="68"/>
  <c r="M8" i="68"/>
  <c r="F36" i="68"/>
  <c r="C76" i="68"/>
  <c r="M28" i="68"/>
  <c r="M22" i="68"/>
  <c r="M24" i="68"/>
  <c r="M26" i="68"/>
  <c r="F40" i="68"/>
  <c r="F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8" i="67"/>
  <c r="B12" i="67"/>
  <c r="E12" i="67"/>
  <c r="B11" i="67"/>
  <c r="F10" i="67"/>
  <c r="E10" i="67"/>
  <c r="E11" i="67"/>
  <c r="F8" i="67"/>
  <c r="E13" i="67"/>
  <c r="B14" i="67"/>
  <c r="F12" i="67"/>
  <c r="B10" i="67"/>
  <c r="E9" i="67"/>
  <c r="F14" i="67"/>
  <c r="F9" i="67"/>
  <c r="F13" i="67"/>
  <c r="F11" i="67"/>
  <c r="E8" i="67"/>
  <c r="B9"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N4" i="65"/>
  <c r="I7" i="65"/>
  <c r="N3" i="65"/>
  <c r="C4" i="65" l="1"/>
  <c r="B39" i="1" s="1"/>
  <c r="J3" i="65"/>
  <c r="I5" i="65"/>
  <c r="I4" i="65"/>
  <c r="J4" i="65"/>
  <c r="J5" i="65"/>
  <c r="J7" i="65"/>
  <c r="J6" i="65"/>
  <c r="I6" i="65"/>
  <c r="I3"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s="1"/>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AZ366" i="3" s="1"/>
  <c r="BL367" i="3"/>
  <c r="AZ205" i="3"/>
  <c r="AZ309" i="3"/>
  <c r="G368" i="3"/>
  <c r="BA370" i="3"/>
  <c r="BL371" i="3"/>
  <c r="G372" i="3"/>
  <c r="BA374" i="3"/>
  <c r="AZ374" i="3" s="1"/>
  <c r="BL375" i="3"/>
  <c r="G376" i="3"/>
  <c r="BA378" i="3"/>
  <c r="BL379" i="3"/>
  <c r="AZ379" i="3" s="1"/>
  <c r="G380" i="3"/>
  <c r="BA382" i="3"/>
  <c r="AZ382" i="3" s="1"/>
  <c r="BL383" i="3"/>
  <c r="G384" i="3"/>
  <c r="AZ270" i="3"/>
  <c r="AZ282" i="3"/>
  <c r="AZ286" i="3"/>
  <c r="AZ290"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E2" i="65"/>
  <c r="L47" i="68"/>
  <c r="H21" i="39" l="1"/>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F21" i="6"/>
  <c r="E21" i="6" s="1"/>
  <c r="F19" i="6"/>
  <c r="E19" i="6" s="1"/>
  <c r="F20" i="6"/>
  <c r="E20" i="6" s="1"/>
  <c r="BL548" i="3"/>
  <c r="BA349" i="3"/>
  <c r="AZ349" i="3" s="1"/>
  <c r="BA351" i="3"/>
  <c r="BA357" i="3"/>
  <c r="BA371" i="3"/>
  <c r="AZ371" i="3" s="1"/>
  <c r="BA375" i="3"/>
  <c r="AZ375" i="3" s="1"/>
  <c r="G183" i="3"/>
  <c r="BA186" i="3"/>
  <c r="BL188" i="3"/>
  <c r="AZ188" i="3" s="1"/>
  <c r="G191" i="3"/>
  <c r="BA194" i="3"/>
  <c r="G195" i="3"/>
  <c r="BL196" i="3"/>
  <c r="AZ196" i="3" s="1"/>
  <c r="BA198" i="3"/>
  <c r="AZ198" i="3" s="1"/>
  <c r="BL198" i="3"/>
  <c r="BL200" i="3"/>
  <c r="AZ200" i="3" s="1"/>
  <c r="G201" i="3"/>
  <c r="BL202" i="3"/>
  <c r="G203" i="3"/>
  <c r="BA204" i="3"/>
  <c r="AZ204" i="3" s="1"/>
  <c r="BL204" i="3"/>
  <c r="BA23" i="3"/>
  <c r="BL23" i="3"/>
  <c r="BL25" i="3"/>
  <c r="BA27" i="3"/>
  <c r="G28" i="3"/>
  <c r="BA29" i="3"/>
  <c r="BL29" i="3"/>
  <c r="BA30" i="3"/>
  <c r="AZ30" i="3" s="1"/>
  <c r="BA31" i="3"/>
  <c r="AZ31" i="3" s="1"/>
  <c r="BA32" i="3"/>
  <c r="AZ32" i="3" s="1"/>
  <c r="BL34" i="3"/>
  <c r="G35" i="3"/>
  <c r="BA36" i="3"/>
  <c r="AZ36" i="3" s="1"/>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10" i="44"/>
  <c r="F11" i="44"/>
  <c r="M6" i="15"/>
  <c r="F9" i="15"/>
  <c r="J36" i="15"/>
  <c r="M26" i="15"/>
  <c r="F8" i="15"/>
  <c r="F43" i="44"/>
  <c r="J17" i="44"/>
  <c r="F28" i="44"/>
  <c r="F45" i="44"/>
  <c r="F15" i="44"/>
  <c r="M26" i="44"/>
  <c r="L48" i="44"/>
  <c r="M11" i="44"/>
  <c r="M28" i="44"/>
  <c r="M8" i="44"/>
  <c r="F31" i="68"/>
  <c r="F18" i="44"/>
  <c r="F39" i="44"/>
  <c r="AC44" i="39" l="1"/>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13" i="74"/>
  <c r="F8" i="73"/>
  <c r="F43" i="75"/>
  <c r="J15" i="72"/>
  <c r="F40" i="15"/>
  <c r="F6" i="74"/>
  <c r="L47" i="75"/>
  <c r="M22" i="74"/>
  <c r="F37" i="74"/>
  <c r="L48" i="74"/>
  <c r="M22" i="72"/>
  <c r="F6" i="72"/>
  <c r="M9" i="72"/>
  <c r="F40" i="75"/>
  <c r="M26" i="75"/>
  <c r="F37" i="72"/>
  <c r="M28" i="15"/>
  <c r="F13" i="72"/>
  <c r="F6" i="73"/>
  <c r="F26" i="73"/>
  <c r="M22" i="71"/>
  <c r="F43" i="74"/>
  <c r="M29" i="74"/>
  <c r="M28" i="71"/>
  <c r="F7" i="74"/>
  <c r="F40" i="73"/>
  <c r="F13" i="15"/>
  <c r="F13" i="71"/>
  <c r="M24" i="74"/>
  <c r="J15" i="71"/>
  <c r="F37" i="71"/>
  <c r="F26" i="74"/>
  <c r="M23" i="72"/>
  <c r="F7" i="71"/>
  <c r="F40" i="71"/>
  <c r="F43" i="71"/>
  <c r="F38" i="71"/>
  <c r="F16" i="72"/>
  <c r="M29" i="75"/>
  <c r="M23" i="74"/>
  <c r="M8" i="74"/>
  <c r="F26" i="72"/>
  <c r="M27" i="73"/>
  <c r="F9" i="73"/>
  <c r="C19" i="44"/>
  <c r="F7" i="67"/>
  <c r="L49" i="44"/>
  <c r="M8" i="73"/>
  <c r="M26" i="74"/>
  <c r="F36" i="73"/>
  <c r="M8" i="71"/>
  <c r="F26" i="15"/>
  <c r="F40" i="74"/>
  <c r="L48" i="72"/>
  <c r="M29" i="71"/>
  <c r="F40" i="44"/>
  <c r="F6" i="75"/>
  <c r="F43" i="15"/>
  <c r="F43" i="72"/>
  <c r="M31" i="44"/>
  <c r="M9" i="73"/>
  <c r="F38" i="75"/>
  <c r="L47" i="72"/>
  <c r="F42" i="15"/>
  <c r="F43" i="73"/>
  <c r="F7" i="15"/>
  <c r="F43" i="68"/>
  <c r="M27" i="68"/>
  <c r="F8" i="44"/>
  <c r="J36" i="72"/>
  <c r="L48" i="75"/>
  <c r="F59" i="68"/>
  <c r="M26" i="73"/>
  <c r="M9" i="71"/>
  <c r="M22" i="73"/>
  <c r="L48" i="73"/>
  <c r="M6" i="71"/>
  <c r="F16" i="73"/>
  <c r="M28" i="73"/>
  <c r="F38" i="72"/>
  <c r="M23" i="71"/>
  <c r="L47" i="71"/>
  <c r="F42" i="74"/>
  <c r="F6" i="15"/>
  <c r="M28" i="72"/>
  <c r="M26" i="72"/>
  <c r="F37" i="73"/>
  <c r="M28" i="74"/>
  <c r="M29" i="15"/>
  <c r="M8" i="72"/>
  <c r="F36" i="71"/>
  <c r="F16" i="71"/>
  <c r="M8" i="15"/>
  <c r="F9" i="74"/>
  <c r="F42" i="72"/>
  <c r="M6" i="73"/>
  <c r="F7" i="72"/>
  <c r="F9" i="75"/>
  <c r="F41" i="68"/>
  <c r="M26" i="71"/>
  <c r="M6" i="74"/>
  <c r="M6" i="75"/>
  <c r="F8" i="74"/>
  <c r="M23" i="73"/>
  <c r="F16" i="75"/>
  <c r="F42" i="71"/>
  <c r="F42" i="73"/>
  <c r="F37" i="15"/>
  <c r="M24" i="72"/>
  <c r="F8" i="75"/>
  <c r="L47" i="73"/>
  <c r="M29" i="44"/>
  <c r="F38" i="73"/>
  <c r="F8" i="72"/>
  <c r="M27" i="72"/>
  <c r="F7" i="68"/>
  <c r="M27" i="71"/>
  <c r="F38" i="15"/>
  <c r="J15" i="15"/>
  <c r="M29" i="68"/>
  <c r="L47" i="15"/>
  <c r="F42" i="75"/>
  <c r="M27" i="74"/>
  <c r="M28" i="75"/>
  <c r="L48" i="15"/>
  <c r="J15" i="73"/>
  <c r="F16" i="74"/>
  <c r="F9" i="44"/>
  <c r="M9" i="74"/>
  <c r="F9" i="71"/>
  <c r="F46" i="44"/>
  <c r="M29" i="72"/>
  <c r="F10" i="44"/>
  <c r="M24" i="73"/>
  <c r="F13" i="75"/>
  <c r="F16" i="15"/>
  <c r="J36" i="73"/>
  <c r="J36" i="71"/>
  <c r="L48" i="71"/>
  <c r="F26" i="75"/>
  <c r="M24" i="75"/>
  <c r="F38" i="74"/>
  <c r="M24" i="15"/>
  <c r="F36" i="15"/>
  <c r="M23" i="75"/>
  <c r="F36" i="74"/>
  <c r="J15" i="75"/>
  <c r="M24" i="71"/>
  <c r="M22" i="15"/>
  <c r="M6" i="72"/>
  <c r="F26" i="71"/>
  <c r="F38" i="44"/>
  <c r="M17" i="68"/>
  <c r="M27" i="15"/>
  <c r="M24" i="44"/>
  <c r="M9" i="75"/>
  <c r="C18" i="44"/>
  <c r="M27" i="75"/>
  <c r="F7" i="73"/>
  <c r="J36" i="75"/>
  <c r="M25" i="44"/>
  <c r="F36" i="75"/>
  <c r="M22" i="75"/>
  <c r="F7" i="75"/>
  <c r="F40" i="72"/>
  <c r="L47" i="74"/>
  <c r="F9" i="72"/>
  <c r="M30" i="44"/>
  <c r="M8" i="75"/>
  <c r="M23" i="15"/>
  <c r="J15" i="74"/>
  <c r="M29" i="73"/>
  <c r="F37" i="75"/>
  <c r="M9" i="15"/>
  <c r="F8" i="71"/>
  <c r="J36" i="74"/>
  <c r="F6" i="71"/>
  <c r="F13" i="73"/>
  <c r="F36" i="72"/>
  <c r="E7" i="67"/>
  <c r="B7" i="67"/>
  <c r="F41" i="71"/>
  <c r="F41" i="73"/>
  <c r="C10" i="15" l="1"/>
  <c r="E3" i="67"/>
  <c r="F63" i="72"/>
  <c r="C6" i="71"/>
  <c r="C10" i="71"/>
  <c r="Q72" i="74"/>
  <c r="F50" i="71"/>
  <c r="F64" i="75"/>
  <c r="L59" i="74"/>
  <c r="L58" i="74"/>
  <c r="F67" i="72"/>
  <c r="M7" i="75"/>
  <c r="J6" i="75" s="1"/>
  <c r="J5" i="75" s="1"/>
  <c r="F49" i="75"/>
  <c r="F63" i="75"/>
  <c r="Q72" i="75"/>
  <c r="F49" i="73"/>
  <c r="M7" i="73"/>
  <c r="J6" i="73" s="1"/>
  <c r="J5" i="73" s="1"/>
  <c r="C27" i="71"/>
  <c r="F63" i="74"/>
  <c r="F63" i="15"/>
  <c r="F65" i="74"/>
  <c r="C27" i="75"/>
  <c r="J57" i="71"/>
  <c r="J55" i="71" s="1"/>
  <c r="J58" i="71" s="1"/>
  <c r="Q51" i="71" s="1"/>
  <c r="J53" i="71"/>
  <c r="I54" i="71"/>
  <c r="L56" i="71"/>
  <c r="J59" i="71"/>
  <c r="J60" i="71"/>
  <c r="Q49" i="71" s="1"/>
  <c r="Q72" i="71"/>
  <c r="Q72" i="73"/>
  <c r="M9" i="44"/>
  <c r="J8" i="44" s="1"/>
  <c r="J7" i="44" s="1"/>
  <c r="J57" i="15"/>
  <c r="J55" i="15" s="1"/>
  <c r="J58" i="15" s="1"/>
  <c r="Q51" i="15" s="1"/>
  <c r="I54" i="15"/>
  <c r="J53" i="15"/>
  <c r="L56" i="15"/>
  <c r="L59" i="15"/>
  <c r="L58" i="15"/>
  <c r="F65" i="15"/>
  <c r="F50" i="68"/>
  <c r="C49" i="68" s="1"/>
  <c r="C48" i="68" s="1"/>
  <c r="M7" i="68"/>
  <c r="J6" i="68" s="1"/>
  <c r="J5" i="68" s="1"/>
  <c r="C6" i="68"/>
  <c r="C5" i="68" s="1"/>
  <c r="F50" i="72"/>
  <c r="F65" i="73"/>
  <c r="L59" i="73"/>
  <c r="L58" i="73"/>
  <c r="F50" i="75"/>
  <c r="F64" i="15"/>
  <c r="F50" i="74"/>
  <c r="F69" i="68"/>
  <c r="M7" i="72"/>
  <c r="J6" i="72" s="1"/>
  <c r="J5" i="72" s="1"/>
  <c r="J18" i="72" s="1"/>
  <c r="F49" i="72"/>
  <c r="F63" i="71"/>
  <c r="F64" i="73"/>
  <c r="C6" i="15"/>
  <c r="C5" i="15" s="1"/>
  <c r="L59" i="71"/>
  <c r="L58" i="71"/>
  <c r="F65" i="72"/>
  <c r="L56" i="73"/>
  <c r="I54" i="73"/>
  <c r="L46" i="73"/>
  <c r="J60" i="73"/>
  <c r="Q49" i="73" s="1"/>
  <c r="J59" i="73"/>
  <c r="L57" i="73"/>
  <c r="J57" i="73"/>
  <c r="J55" i="73" s="1"/>
  <c r="J58" i="73" s="1"/>
  <c r="Q51" i="73" s="1"/>
  <c r="L60" i="73"/>
  <c r="J53" i="73"/>
  <c r="L57" i="75"/>
  <c r="J53" i="75"/>
  <c r="J60" i="75"/>
  <c r="Q49" i="75" s="1"/>
  <c r="J59" i="75"/>
  <c r="L56" i="75"/>
  <c r="L60" i="75"/>
  <c r="J57" i="75"/>
  <c r="J55" i="75" s="1"/>
  <c r="J58" i="75" s="1"/>
  <c r="Q51" i="75" s="1"/>
  <c r="I54" i="75"/>
  <c r="Q72" i="72"/>
  <c r="C8" i="44"/>
  <c r="C7" i="44" s="1"/>
  <c r="F71" i="68"/>
  <c r="M7" i="15"/>
  <c r="J6" i="15" s="1"/>
  <c r="J5" i="15" s="1"/>
  <c r="F49" i="15"/>
  <c r="C48" i="15" s="1"/>
  <c r="F70" i="73"/>
  <c r="L59" i="72"/>
  <c r="L58" i="72"/>
  <c r="F65" i="75"/>
  <c r="F70" i="72"/>
  <c r="F70" i="15"/>
  <c r="C6" i="75"/>
  <c r="C10" i="75"/>
  <c r="L56" i="72"/>
  <c r="J57" i="72"/>
  <c r="J55" i="72" s="1"/>
  <c r="J58" i="72" s="1"/>
  <c r="Q51" i="72" s="1"/>
  <c r="J60" i="72"/>
  <c r="Q49" i="72" s="1"/>
  <c r="J59" i="72"/>
  <c r="J53" i="72"/>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C5" i="74" s="1"/>
  <c r="F67" i="15"/>
  <c r="F70" i="75"/>
  <c r="F50" i="73"/>
  <c r="L47" i="44"/>
  <c r="L46" i="75"/>
  <c r="C48" i="73"/>
  <c r="C47" i="73" s="1"/>
  <c r="L46" i="74"/>
  <c r="Q53" i="72"/>
  <c r="F1" i="72"/>
  <c r="C5" i="75"/>
  <c r="C48" i="75"/>
  <c r="C47" i="75" s="1"/>
  <c r="Q74" i="74"/>
  <c r="Q61" i="74"/>
  <c r="Q74" i="72"/>
  <c r="Q61" i="72"/>
  <c r="J18" i="15"/>
  <c r="J24" i="15"/>
  <c r="Q74" i="73"/>
  <c r="Q61" i="73"/>
  <c r="C48" i="72"/>
  <c r="C47" i="72" s="1"/>
  <c r="F1" i="75"/>
  <c r="Q53" i="75"/>
  <c r="C60" i="68"/>
  <c r="C66" i="68"/>
  <c r="Q75" i="15"/>
  <c r="Q62" i="15"/>
  <c r="F1" i="15"/>
  <c r="Q53" i="15"/>
  <c r="Q75" i="71"/>
  <c r="Q62" i="71"/>
  <c r="C5" i="71"/>
  <c r="J26" i="73"/>
  <c r="J29" i="73" s="1"/>
  <c r="J24" i="73"/>
  <c r="J18" i="73"/>
  <c r="Q62" i="75"/>
  <c r="J24" i="72"/>
  <c r="J26" i="72"/>
  <c r="Q58" i="74"/>
  <c r="Q53" i="74"/>
  <c r="J24" i="75"/>
  <c r="J18" i="75"/>
  <c r="J26" i="75"/>
  <c r="Q53" i="71"/>
  <c r="F1" i="71"/>
  <c r="Q75" i="74"/>
  <c r="Q62" i="74"/>
  <c r="Q75" i="72"/>
  <c r="Q62" i="72"/>
  <c r="C38" i="73"/>
  <c r="Q62" i="73"/>
  <c r="Q75" i="73"/>
  <c r="C40" i="44"/>
  <c r="C34" i="44"/>
  <c r="Q67" i="75"/>
  <c r="Q58" i="75"/>
  <c r="J24" i="68"/>
  <c r="J18" i="68"/>
  <c r="J26" i="68"/>
  <c r="J29" i="68" s="1"/>
  <c r="Q53" i="73"/>
  <c r="F1" i="73"/>
  <c r="Q67" i="73"/>
  <c r="Q58" i="73"/>
  <c r="Q74" i="15"/>
  <c r="Q61" i="15"/>
  <c r="Q74" i="71"/>
  <c r="Q61" i="71"/>
  <c r="J20" i="44"/>
  <c r="J26"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6" i="75"/>
  <c r="C16" i="73"/>
  <c r="C17" i="68"/>
  <c r="C17" i="73"/>
  <c r="C17" i="72"/>
  <c r="C17" i="15"/>
  <c r="C17" i="74"/>
  <c r="C17" i="75"/>
  <c r="C14" i="71"/>
  <c r="C14" i="73"/>
  <c r="AE8" i="1"/>
  <c r="C16" i="15"/>
  <c r="C16" i="74"/>
  <c r="C16" i="71"/>
  <c r="C16" i="68"/>
  <c r="C14" i="68"/>
  <c r="C16" i="72"/>
  <c r="C16" i="44"/>
  <c r="C14" i="74"/>
  <c r="AE10" i="1"/>
  <c r="F35" i="73"/>
  <c r="AE7" i="1"/>
  <c r="C14" i="72"/>
  <c r="C17" i="71"/>
  <c r="C14" i="15"/>
  <c r="M21" i="73"/>
  <c r="C14" i="75"/>
  <c r="AE9" i="1"/>
  <c r="L52" i="44"/>
  <c r="J26" i="71" l="1"/>
  <c r="J29" i="71" s="1"/>
  <c r="J18" i="74"/>
  <c r="Q62" i="44"/>
  <c r="C38" i="74"/>
  <c r="C32" i="74"/>
  <c r="C5" i="72"/>
  <c r="C18" i="68"/>
  <c r="C15" i="68"/>
  <c r="C32" i="72"/>
  <c r="C38" i="72"/>
  <c r="J24" i="71"/>
  <c r="J26" i="74"/>
  <c r="Q74" i="75"/>
  <c r="Q61" i="75"/>
  <c r="C48" i="74"/>
  <c r="C47" i="74" s="1"/>
  <c r="C38" i="68"/>
  <c r="C32" i="68"/>
  <c r="C48" i="71"/>
  <c r="C47" i="71" s="1"/>
  <c r="Q54" i="44"/>
  <c r="F1" i="44"/>
  <c r="C38" i="15"/>
  <c r="C32" i="15"/>
  <c r="C59" i="73"/>
  <c r="C65" i="73"/>
  <c r="L58" i="44"/>
  <c r="L61" i="44" s="1"/>
  <c r="Q69" i="4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41" i="72"/>
  <c r="F35" i="68"/>
  <c r="M21" i="68"/>
  <c r="F41" i="75"/>
  <c r="F35" i="15"/>
  <c r="F41" i="74"/>
  <c r="F35" i="75"/>
  <c r="F41" i="15"/>
  <c r="M21" i="75"/>
  <c r="C19" i="68" l="1"/>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F35" i="74"/>
  <c r="M23" i="44"/>
  <c r="M21" i="71"/>
  <c r="M21" i="72"/>
  <c r="M21" i="74"/>
  <c r="F37" i="44"/>
  <c r="F35" i="71"/>
  <c r="F35" i="72"/>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4"/>
  <c r="L51" i="75"/>
  <c r="J16" i="68" l="1"/>
  <c r="J25" i="68" s="1"/>
  <c r="C40" i="68"/>
  <c r="Q69" i="68"/>
  <c r="Q68" i="68" s="1"/>
  <c r="C80" i="68"/>
  <c r="C79" i="68" s="1"/>
  <c r="C58" i="68"/>
  <c r="C67" i="68" s="1"/>
  <c r="C68" i="68" s="1"/>
  <c r="Q70" i="75"/>
  <c r="Q69" i="75" s="1"/>
  <c r="C40" i="75"/>
  <c r="C46" i="75" s="1"/>
  <c r="Q68" i="75"/>
  <c r="C40" i="74"/>
  <c r="C46" i="74" s="1"/>
  <c r="Q68" i="74"/>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L51" i="72"/>
  <c r="L51" i="68"/>
  <c r="L57" i="68" l="1"/>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2" i="68"/>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68" l="1"/>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<sst xmlns="http://schemas.openxmlformats.org/spreadsheetml/2006/main" count="9579" uniqueCount="3431">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</sst>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5" fontId="144" fillId="0" borderId="0">
      <alignment vertical="center"/>
    </xf>
  </cellStyleXfs>
  <cellXfs count="38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2"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2"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2"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2"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2"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3"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3"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80"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2" fontId="70" fillId="9" borderId="12" xfId="0" applyNumberFormat="1" applyFont="1" applyFill="1" applyBorder="1" applyAlignment="1" applyProtection="1">
      <alignment vertical="center"/>
      <protection locked="0"/>
    </xf>
    <xf numFmtId="182"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2"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80" fontId="75" fillId="0" borderId="2" xfId="0" applyNumberFormat="1" applyFont="1" applyBorder="1" applyAlignment="1" applyProtection="1">
      <alignment horizontal="center" vertical="center" wrapText="1"/>
      <protection locked="0"/>
    </xf>
    <xf numFmtId="177" fontId="287" fillId="6" borderId="2" xfId="0" applyNumberFormat="1" applyFont="1" applyFill="1" applyBorder="1" applyAlignment="1" applyProtection="1">
      <alignment vertical="center" wrapText="1"/>
      <protection locked="0"/>
    </xf>
    <xf numFmtId="178" fontId="85" fillId="8" borderId="2" xfId="2" applyNumberFormat="1" applyFont="1" applyFill="1" applyBorder="1" applyAlignment="1" applyProtection="1">
      <alignment horizontal="center" vertical="center"/>
      <protection locked="0"/>
    </xf>
    <xf numFmtId="178"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vertical="center"/>
      <protection locked="0"/>
    </xf>
    <xf numFmtId="180"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3" xfId="0" applyFont="1" applyBorder="1" applyAlignment="1" applyProtection="1">
      <alignment horizontal="center" vertical="center"/>
      <protection locked="0"/>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78" t="str">
        <f>IF(B10="北京市","北京市",C10)&amp;F10&amp;B16&amp;"国有建设用地使用权"&amp;B9&amp;"预评估"</f>
        <v>北京市怀柔区怀柔镇张各长村HR00-0004-6001地块F2公建混合住宅用地出让国有建设用地使用权抵押价格预评估</v>
      </c>
      <c r="C1" s="3579"/>
      <c r="D1" s="3579"/>
      <c r="E1" s="3579"/>
      <c r="F1" s="3579"/>
      <c r="G1" s="3579"/>
      <c r="H1" s="3579"/>
      <c r="I1" s="3580"/>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84"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85"/>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81" t="s">
        <v>3273</v>
      </c>
      <c r="C12" s="3582"/>
      <c r="D12" s="3583"/>
      <c r="E12" s="1690" t="s">
        <v>2023</v>
      </c>
      <c r="F12" s="3599" t="s">
        <v>3366</v>
      </c>
      <c r="G12" s="3600"/>
      <c r="H12" s="3600"/>
      <c r="I12" s="3601"/>
      <c r="J12" s="1685"/>
      <c r="K12" s="1765"/>
      <c r="L12" s="1714"/>
      <c r="M12" s="1714"/>
      <c r="N12" s="1685"/>
      <c r="O12" s="1686"/>
      <c r="P12" s="1685"/>
      <c r="Q12" s="1685"/>
      <c r="R12" s="1685"/>
      <c r="S12" s="1685"/>
      <c r="T12" s="1685"/>
      <c r="U12" s="1685"/>
    </row>
    <row r="13" spans="1:21">
      <c r="A13" s="1678" t="s">
        <v>2021</v>
      </c>
      <c r="B13" s="3581" t="str">
        <f>B12</f>
        <v>住宅、酒店、办公、地下车库</v>
      </c>
      <c r="C13" s="3582"/>
      <c r="D13" s="3583"/>
      <c r="E13" s="1690" t="s">
        <v>2023</v>
      </c>
      <c r="F13" s="3599" t="s">
        <v>3366</v>
      </c>
      <c r="G13" s="3600"/>
      <c r="H13" s="3600"/>
      <c r="I13" s="3601"/>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96" t="s">
        <v>3274</v>
      </c>
      <c r="E20" s="3597"/>
      <c r="F20" s="3597"/>
      <c r="G20" s="3597"/>
      <c r="H20" s="3597"/>
      <c r="I20" s="3598"/>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86" t="s">
        <v>3367</v>
      </c>
      <c r="F21" s="3587"/>
      <c r="G21" s="3587"/>
      <c r="H21" s="3587"/>
      <c r="I21" s="3588"/>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86" t="s">
        <v>3275</v>
      </c>
      <c r="F22" s="3587"/>
      <c r="G22" s="3587"/>
      <c r="H22" s="3587"/>
      <c r="I22" s="3588"/>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89" t="s">
        <v>1931</v>
      </c>
      <c r="C24" s="3590"/>
      <c r="D24" s="3591" t="s">
        <v>1932</v>
      </c>
      <c r="E24" s="3592"/>
      <c r="F24" s="1699" t="s">
        <v>1933</v>
      </c>
      <c r="G24" s="1685"/>
      <c r="H24" s="1685"/>
      <c r="I24" s="1698"/>
      <c r="J24" s="1685"/>
      <c r="K24" s="3577"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77"/>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77"/>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63" t="s">
        <v>1963</v>
      </c>
      <c r="B31" s="1755" t="s">
        <v>1964</v>
      </c>
      <c r="C31" s="3602" t="s">
        <v>3276</v>
      </c>
      <c r="D31" s="3603"/>
      <c r="E31" s="1685"/>
      <c r="F31" s="1685"/>
      <c r="G31" s="1685"/>
      <c r="H31" s="1685"/>
      <c r="I31" s="1698"/>
      <c r="J31" s="1685"/>
      <c r="K31" s="2474"/>
      <c r="L31" s="1685"/>
      <c r="M31" s="1685"/>
      <c r="N31" s="1685"/>
      <c r="O31" s="1685"/>
      <c r="P31" s="1685"/>
      <c r="Q31" s="1685"/>
      <c r="R31" s="1685"/>
      <c r="S31" s="1685"/>
      <c r="T31" s="1685"/>
      <c r="U31" s="1685"/>
    </row>
    <row r="32" spans="1:21">
      <c r="A32" s="3563"/>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63"/>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64"/>
      <c r="B34" s="1652" t="s">
        <v>1967</v>
      </c>
      <c r="C34" s="3565" t="s">
        <v>3279</v>
      </c>
      <c r="D34" s="3566"/>
      <c r="E34" s="1685"/>
      <c r="F34" s="1685"/>
      <c r="G34" s="1685"/>
      <c r="H34" s="1685"/>
      <c r="I34" s="1698"/>
      <c r="J34" s="1685"/>
      <c r="K34" s="2474"/>
      <c r="L34" s="1685"/>
      <c r="M34" s="1685"/>
      <c r="N34" s="1685"/>
      <c r="O34" s="1685"/>
      <c r="P34" s="1685"/>
      <c r="Q34" s="1685"/>
      <c r="R34" s="1685"/>
      <c r="S34" s="1685"/>
      <c r="T34" s="1685"/>
      <c r="U34" s="1685"/>
    </row>
    <row r="35" spans="1:21">
      <c r="A35" s="3567" t="s">
        <v>813</v>
      </c>
      <c r="B35" s="1713" t="s">
        <v>3159</v>
      </c>
      <c r="C35" s="1767" t="str">
        <f>IF(B35="场地平整","——","具体情况：")</f>
        <v>——</v>
      </c>
      <c r="D35" s="3569"/>
      <c r="E35" s="3570"/>
      <c r="F35" s="3570"/>
      <c r="G35" s="3570"/>
      <c r="H35" s="3570"/>
      <c r="I35" s="3571"/>
      <c r="J35" s="1685"/>
      <c r="K35" s="1766"/>
      <c r="L35" s="1714"/>
      <c r="M35" s="1714"/>
      <c r="N35" s="1685"/>
      <c r="O35" s="1686"/>
      <c r="P35" s="1685"/>
      <c r="Q35" s="1685"/>
      <c r="R35" s="1685"/>
      <c r="S35" s="1685"/>
      <c r="T35" s="1685"/>
      <c r="U35" s="1685"/>
    </row>
    <row r="36" spans="1:21">
      <c r="A36" s="3563"/>
      <c r="B36" s="3572" t="s">
        <v>2016</v>
      </c>
      <c r="C36" s="3573"/>
      <c r="D36" s="1783" t="s">
        <v>3280</v>
      </c>
      <c r="E36" s="3574"/>
      <c r="F36" s="3574"/>
      <c r="G36" s="1678" t="str">
        <f>IF(B35="场地未平整","估价结果处理","")</f>
        <v/>
      </c>
      <c r="H36" s="3575"/>
      <c r="I36" s="3575"/>
      <c r="J36" s="1685"/>
      <c r="K36" s="1766"/>
      <c r="L36" s="1714"/>
      <c r="M36" s="1714"/>
      <c r="N36" s="1685"/>
      <c r="O36" s="1686"/>
      <c r="P36" s="1685"/>
      <c r="Q36" s="1685"/>
      <c r="R36" s="1685"/>
      <c r="S36" s="1685"/>
      <c r="T36" s="1685"/>
      <c r="U36" s="1685"/>
    </row>
    <row r="37" spans="1:21" ht="28.5">
      <c r="A37" s="3563"/>
      <c r="B37" s="3593"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63"/>
      <c r="B38" s="3594"/>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64"/>
      <c r="B39" s="3595"/>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76" t="s">
        <v>1948</v>
      </c>
      <c r="T40" s="1722" t="str">
        <f>NUMBERSTRING(7-K40,1)&amp;"通"</f>
        <v>七通</v>
      </c>
      <c r="U40" s="1685"/>
    </row>
    <row r="41" spans="1:21">
      <c r="A41" s="1654"/>
      <c r="B41" s="3568" t="s">
        <v>1684</v>
      </c>
      <c r="C41" s="3568"/>
      <c r="D41" s="3568"/>
      <c r="E41" s="3568"/>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76"/>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2">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0"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0"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0"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3"/>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0"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3"/>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0"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0"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0"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0"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0"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0"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1"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5" sqref="L5:M1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4">
        <v>3000</v>
      </c>
      <c r="M6" s="176">
        <f t="shared" ref="M6:M14" si="0">ROUND(K6*L6/10000,0)</f>
        <v>7263</v>
      </c>
      <c r="N6" s="3041">
        <v>0</v>
      </c>
      <c r="O6" s="176">
        <f>IF($N$5="成新度","——",ROUND(M6*N6,0))</f>
        <v>0</v>
      </c>
      <c r="P6" s="177">
        <f>IF($N$5="成新度","——",M6-O6)</f>
        <v>7263</v>
      </c>
      <c r="Q6" s="3526">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4">
        <v>2600</v>
      </c>
      <c r="M7" s="176">
        <f t="shared" si="0"/>
        <v>4760</v>
      </c>
      <c r="N7" s="3041">
        <v>0</v>
      </c>
      <c r="O7" s="176">
        <f t="shared" ref="O7:O14" si="3">IF($N$5="成新度","——",ROUND(M7*N7,0))</f>
        <v>0</v>
      </c>
      <c r="P7" s="177">
        <f t="shared" ref="P7:P14" si="4">IF($N$5="成新度","——",M7-O7)</f>
        <v>4760</v>
      </c>
      <c r="Q7" s="3526">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9">
        <v>2.8</v>
      </c>
      <c r="V7" s="180">
        <v>1.4999999999999999E-2</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4">
        <v>3000</v>
      </c>
      <c r="M8" s="176">
        <f>ROUND(K8*L8/10000,0)</f>
        <v>5351</v>
      </c>
      <c r="N8" s="3041">
        <v>0</v>
      </c>
      <c r="O8" s="176">
        <f t="shared" si="3"/>
        <v>0</v>
      </c>
      <c r="P8" s="177">
        <f t="shared" si="4"/>
        <v>5351</v>
      </c>
      <c r="Q8" s="3526">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9">
        <v>2</v>
      </c>
      <c r="V8" s="3527">
        <v>1.4999999999999999E-2</v>
      </c>
      <c r="W8" s="180">
        <v>0.1</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3415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5">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9">
        <v>500</v>
      </c>
      <c r="V9" s="3527">
        <v>0.01</v>
      </c>
      <c r="W9" s="180">
        <v>0.1</v>
      </c>
      <c r="X9" s="2313"/>
      <c r="Y9" s="3502">
        <v>1</v>
      </c>
      <c r="Z9" s="182"/>
      <c r="AA9" s="175"/>
      <c r="AB9" s="175"/>
      <c r="AC9" s="2316"/>
      <c r="AD9" s="183"/>
      <c r="AE9" s="966">
        <f t="shared" ca="1" si="6"/>
        <v>47.38</v>
      </c>
      <c r="AF9" s="140"/>
      <c r="AG9" s="1207">
        <f t="shared" si="7"/>
        <v>0</v>
      </c>
      <c r="AH9" s="3528">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5">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9">
        <v>1</v>
      </c>
      <c r="V10" s="3527">
        <v>0.01</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5"/>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5"/>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5"/>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5">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1"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65390</v>
      </c>
      <c r="C5" s="3058">
        <f ca="1">ROUND(B5*10000/$B$1,0)</f>
        <v>8155</v>
      </c>
      <c r="D5" s="3058">
        <f ca="1">ROUND(B5*10000/$B$2,0)</f>
        <v>32144</v>
      </c>
      <c r="E5" s="3059"/>
      <c r="F5" s="3059"/>
    </row>
    <row r="6" spans="1:9" ht="16.5">
      <c r="A6" s="3058" t="s">
        <v>2817</v>
      </c>
      <c r="B6" s="3058">
        <f ca="1">SUM(G14:G23)</f>
        <v>64597</v>
      </c>
      <c r="C6" s="3058">
        <f t="shared" ref="C6:C8" ca="1" si="0">ROUND(B6*10000/$B$1,0)</f>
        <v>8056</v>
      </c>
      <c r="D6" s="3058">
        <f t="shared" ref="D6:D8" ca="1" si="1">ROUND(B6*10000/$B$2,0)</f>
        <v>31755</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65390</v>
      </c>
      <c r="E14" s="3062">
        <f ca="1">ROUND(D14*10000/B14,0)</f>
        <v>8155</v>
      </c>
      <c r="F14" s="3062">
        <f ca="1">ROUND(D14*10000/C14,0)</f>
        <v>32144</v>
      </c>
      <c r="G14" s="3062">
        <f ca="1">结果表!C44</f>
        <v>64597</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SheetLayoutView="100" zoomScalePageLayoutView="80" workbookViewId="0">
      <selection activeCell="G19" sqref="G19"/>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66" t="str">
        <f>项目基本情况!K2</f>
        <v>北京市怀柔区怀柔镇张各长村HR00-0004-6001地块F2公建混合住宅用地出让国有建设用地使用权</v>
      </c>
      <c r="B2" s="3667"/>
      <c r="C2" s="3668"/>
      <c r="D2" s="3668"/>
      <c r="E2" s="3668"/>
      <c r="F2" s="3668"/>
      <c r="G2" s="3667"/>
      <c r="H2" s="3667"/>
      <c r="I2" s="3669"/>
      <c r="J2" s="2022"/>
      <c r="K2" s="2021"/>
      <c r="L2" s="2021"/>
      <c r="M2" s="2021"/>
      <c r="N2" s="2021"/>
      <c r="O2" s="2021"/>
      <c r="P2" s="2021"/>
      <c r="Q2" s="2021"/>
      <c r="R2" s="2021"/>
      <c r="S2" s="2021"/>
      <c r="T2" s="2021"/>
      <c r="U2" s="2021"/>
      <c r="V2" s="2021"/>
    </row>
    <row r="3" spans="1:22" ht="14.25">
      <c r="A3" s="3658" t="s">
        <v>263</v>
      </c>
      <c r="B3" s="3659"/>
      <c r="C3" s="3659"/>
      <c r="D3" s="3659"/>
      <c r="E3" s="3659"/>
      <c r="F3" s="3659"/>
      <c r="G3" s="3659"/>
      <c r="H3" s="3659"/>
      <c r="I3" s="3659"/>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27" t="s">
        <v>266</v>
      </c>
      <c r="F4" s="3628"/>
      <c r="G4" s="3628"/>
      <c r="H4" s="3628"/>
      <c r="I4" s="3661"/>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26" t="s">
        <v>267</v>
      </c>
      <c r="B5" s="3652">
        <v>25</v>
      </c>
      <c r="C5" s="3650"/>
      <c r="D5" s="3657"/>
      <c r="E5" s="256" t="s">
        <v>268</v>
      </c>
      <c r="F5" s="257"/>
      <c r="G5" s="257"/>
      <c r="H5" s="257"/>
      <c r="I5" s="258"/>
      <c r="J5" s="2022"/>
      <c r="K5" s="2021"/>
      <c r="L5" s="2021"/>
      <c r="M5" s="2021"/>
      <c r="N5" s="2021"/>
      <c r="O5" s="2021"/>
      <c r="P5" s="2021"/>
      <c r="Q5" s="2021"/>
      <c r="R5" s="2021"/>
      <c r="S5" s="2021"/>
      <c r="T5" s="2021"/>
      <c r="U5" s="2021"/>
      <c r="V5" s="2021"/>
    </row>
    <row r="6" spans="1:22" ht="14.25">
      <c r="A6" s="3626"/>
      <c r="B6" s="3652"/>
      <c r="C6" s="3660"/>
      <c r="D6" s="3657"/>
      <c r="E6" s="256" t="s">
        <v>269</v>
      </c>
      <c r="F6" s="257"/>
      <c r="G6" s="257"/>
      <c r="H6" s="257"/>
      <c r="I6" s="258"/>
      <c r="J6" s="2022"/>
      <c r="K6" s="2021"/>
      <c r="L6" s="2021"/>
      <c r="M6" s="2021"/>
      <c r="N6" s="2021"/>
      <c r="O6" s="2021"/>
      <c r="P6" s="2021"/>
      <c r="Q6" s="2021"/>
      <c r="R6" s="2021"/>
      <c r="S6" s="2021"/>
      <c r="T6" s="2021"/>
      <c r="U6" s="2021"/>
      <c r="V6" s="2021"/>
    </row>
    <row r="7" spans="1:22" ht="14.25">
      <c r="A7" s="3626"/>
      <c r="B7" s="3652"/>
      <c r="C7" s="3651"/>
      <c r="D7" s="3657"/>
      <c r="E7" s="256" t="s">
        <v>270</v>
      </c>
      <c r="F7" s="257"/>
      <c r="G7" s="257"/>
      <c r="H7" s="257"/>
      <c r="I7" s="258"/>
      <c r="J7" s="2022"/>
      <c r="K7" s="2021"/>
      <c r="L7" s="2021"/>
      <c r="M7" s="2021"/>
      <c r="N7" s="2021"/>
      <c r="O7" s="2021"/>
      <c r="P7" s="2021"/>
      <c r="Q7" s="2021"/>
      <c r="R7" s="2021"/>
      <c r="S7" s="2021"/>
      <c r="T7" s="2021"/>
      <c r="U7" s="2021"/>
      <c r="V7" s="2021"/>
    </row>
    <row r="8" spans="1:22" ht="14.25">
      <c r="A8" s="3626" t="s">
        <v>271</v>
      </c>
      <c r="B8" s="3652">
        <v>15</v>
      </c>
      <c r="C8" s="3650"/>
      <c r="D8" s="3657"/>
      <c r="E8" s="256" t="s">
        <v>272</v>
      </c>
      <c r="F8" s="257"/>
      <c r="G8" s="257"/>
      <c r="H8" s="257"/>
      <c r="I8" s="258"/>
      <c r="J8" s="2022"/>
      <c r="K8" s="2021"/>
      <c r="L8" s="2021"/>
      <c r="M8" s="2021"/>
      <c r="N8" s="2021"/>
      <c r="O8" s="2021"/>
      <c r="P8" s="2021"/>
      <c r="Q8" s="2021"/>
      <c r="R8" s="2021"/>
      <c r="S8" s="2021"/>
      <c r="T8" s="2021"/>
      <c r="U8" s="2021"/>
      <c r="V8" s="2021"/>
    </row>
    <row r="9" spans="1:22" ht="14.25">
      <c r="A9" s="3626"/>
      <c r="B9" s="3652"/>
      <c r="C9" s="3651"/>
      <c r="D9" s="3657"/>
      <c r="E9" s="256" t="s">
        <v>273</v>
      </c>
      <c r="F9" s="257"/>
      <c r="G9" s="257"/>
      <c r="H9" s="257"/>
      <c r="I9" s="258"/>
      <c r="J9" s="2022"/>
      <c r="K9" s="2021"/>
      <c r="L9" s="2021"/>
      <c r="M9" s="2021"/>
      <c r="N9" s="2021"/>
      <c r="O9" s="2021"/>
      <c r="P9" s="2021"/>
      <c r="Q9" s="2021"/>
      <c r="R9" s="2021"/>
      <c r="S9" s="2021"/>
      <c r="T9" s="2021"/>
      <c r="U9" s="2021"/>
      <c r="V9" s="2021"/>
    </row>
    <row r="10" spans="1:22" ht="14.25">
      <c r="A10" s="3626" t="s">
        <v>274</v>
      </c>
      <c r="B10" s="3652">
        <v>15</v>
      </c>
      <c r="C10" s="3650"/>
      <c r="D10" s="365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26"/>
      <c r="B11" s="3652"/>
      <c r="C11" s="3651"/>
      <c r="D11" s="365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26" t="s">
        <v>277</v>
      </c>
      <c r="B12" s="3652">
        <v>15</v>
      </c>
      <c r="C12" s="3650"/>
      <c r="D12" s="365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26"/>
      <c r="B13" s="3652"/>
      <c r="C13" s="3651"/>
      <c r="D13" s="365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26" t="s">
        <v>280</v>
      </c>
      <c r="B14" s="3652">
        <v>30</v>
      </c>
      <c r="C14" s="3653">
        <v>45</v>
      </c>
      <c r="D14" s="3656">
        <v>55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26"/>
      <c r="B15" s="3652"/>
      <c r="C15" s="3654"/>
      <c r="D15" s="3656"/>
      <c r="E15" s="256" t="s">
        <v>282</v>
      </c>
      <c r="F15" s="257"/>
      <c r="G15" s="257"/>
      <c r="H15" s="257"/>
      <c r="I15" s="258"/>
      <c r="J15" s="2022"/>
      <c r="K15" s="2021"/>
      <c r="L15" s="2021"/>
      <c r="M15" s="2021"/>
      <c r="N15" s="2021"/>
      <c r="O15" s="2021"/>
      <c r="P15" s="2021"/>
      <c r="Q15" s="2021"/>
      <c r="R15" s="2021"/>
      <c r="S15" s="2021"/>
      <c r="T15" s="2021"/>
      <c r="U15" s="2021"/>
      <c r="V15" s="2021"/>
    </row>
    <row r="16" spans="1:22" ht="14.25">
      <c r="A16" s="3626"/>
      <c r="B16" s="3652"/>
      <c r="C16" s="3655"/>
      <c r="D16" s="3656"/>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45</v>
      </c>
      <c r="D17" s="260">
        <f>SUM(D5:D16)</f>
        <v>55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0.45</v>
      </c>
      <c r="D18" s="262">
        <f>1-C18</f>
        <v>0.55000000000000004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50403</v>
      </c>
      <c r="E19" s="263" t="s">
        <v>288</v>
      </c>
      <c r="F19" s="264" t="s">
        <v>287</v>
      </c>
      <c r="G19" s="267">
        <f ca="1">ROUND(C19*$C$18+D19*$D$18,0)</f>
        <v>65390</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6286</v>
      </c>
      <c r="E20" s="269"/>
      <c r="F20" s="270" t="s">
        <v>290</v>
      </c>
      <c r="G20" s="273">
        <f ca="1">ROUND(C20*$C$18+D20*$D$18,0)</f>
        <v>8155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24777</v>
      </c>
      <c r="E21" s="269"/>
      <c r="F21" s="275" t="s">
        <v>292</v>
      </c>
      <c r="G21" s="277">
        <f ca="1">ROUND(C21*$C$18+D21*$D$18,0)</f>
        <v>32144</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0.66075432017935443</v>
      </c>
      <c r="E22" s="279"/>
      <c r="F22" s="280"/>
      <c r="G22" s="281">
        <f ca="1">ROUND(G19/('数据-汇总表'!D3/666.67),0)</f>
        <v>2143</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32"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33"/>
      <c r="B25" s="1315" t="s">
        <v>296</v>
      </c>
      <c r="C25" s="285">
        <f>IF(B30=0,0,C30)</f>
        <v>0</v>
      </c>
      <c r="D25" s="286"/>
      <c r="E25" s="305"/>
      <c r="F25" s="305"/>
      <c r="G25" s="305"/>
      <c r="H25" s="305"/>
      <c r="I25" s="305"/>
      <c r="J25" s="2021"/>
      <c r="K25" s="1249" t="str">
        <f ca="1">项目基本情况!B16&amp;"国有建设用地使用权价格："&amp;O38&amp;"万元"</f>
        <v>出让国有建设用地使用权价格：65390万元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大写金额：人民币陆亿伍仟叁佰玖拾万元整</v>
      </c>
      <c r="L26" s="1246"/>
      <c r="M26" s="1246"/>
      <c r="N26" s="1246"/>
      <c r="O26" s="1245"/>
      <c r="P26" s="2021"/>
      <c r="Q26" s="2021"/>
      <c r="R26" s="2021"/>
      <c r="S26" s="2021"/>
      <c r="T26" s="2021"/>
      <c r="U26" s="2021"/>
      <c r="V26" s="2021"/>
      <c r="W26" s="287"/>
      <c r="X26" s="287"/>
      <c r="Y26" s="287"/>
      <c r="Z26" s="287"/>
    </row>
    <row r="27" spans="1:26" ht="18">
      <c r="A27" s="3508"/>
      <c r="B27" s="289"/>
      <c r="C27" s="289"/>
      <c r="D27" s="290">
        <f>62000*1.0305</f>
        <v>63891</v>
      </c>
      <c r="E27" s="305"/>
      <c r="F27" s="305"/>
      <c r="G27" s="305"/>
      <c r="H27" s="305"/>
      <c r="I27" s="305"/>
      <c r="J27" s="2021"/>
      <c r="K27" s="1252" t="str">
        <f ca="1">"单位面积地价："&amp;M38&amp;"元/平方米"</f>
        <v>单位面积地价：32144元/平方米</v>
      </c>
      <c r="L27" s="1246"/>
      <c r="M27" s="1246"/>
      <c r="N27" s="1246"/>
      <c r="O27" s="1245"/>
      <c r="P27" s="2021"/>
      <c r="Q27" s="2021"/>
      <c r="R27" s="2021"/>
      <c r="S27" s="2021"/>
      <c r="T27" s="2021"/>
      <c r="U27" s="2021"/>
      <c r="V27" s="2021"/>
    </row>
    <row r="28" spans="1:26" ht="18.75" customHeight="1">
      <c r="A28" s="3508"/>
      <c r="B28" s="289"/>
      <c r="C28" s="289"/>
      <c r="D28" s="290">
        <f>D27+G35</f>
        <v>64684</v>
      </c>
      <c r="E28" s="305"/>
      <c r="F28" s="305"/>
      <c r="G28" s="305"/>
      <c r="H28" s="305"/>
      <c r="I28" s="305"/>
      <c r="J28" s="2021"/>
      <c r="K28" s="1252" t="str">
        <f ca="1">"楼面地价："&amp;N38&amp;"元/平方米"</f>
        <v>楼面地价：8155元/平方米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抵押价格：64597万元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大写金额：人民币陆亿肆仟伍佰玖拾柒万元整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65390</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8155</v>
      </c>
      <c r="D33" s="1377" t="s">
        <v>1654</v>
      </c>
      <c r="E33" s="3632"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32144</v>
      </c>
      <c r="D34" s="1379" t="s">
        <v>1654</v>
      </c>
      <c r="E34" s="3677"/>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2143</v>
      </c>
      <c r="D35" s="1382" t="s">
        <v>1656</v>
      </c>
      <c r="E35" s="3678"/>
      <c r="F35" s="296" t="s">
        <v>307</v>
      </c>
      <c r="G35" s="976">
        <f>D30</f>
        <v>793</v>
      </c>
      <c r="H35" s="975" t="s">
        <v>308</v>
      </c>
      <c r="I35" s="305"/>
      <c r="J35" s="2021"/>
      <c r="K35" s="3647" t="s">
        <v>315</v>
      </c>
      <c r="L35" s="3647" t="s">
        <v>316</v>
      </c>
      <c r="M35" s="1258" t="s">
        <v>317</v>
      </c>
      <c r="N35" s="3647" t="s">
        <v>318</v>
      </c>
      <c r="O35" s="3647" t="s">
        <v>319</v>
      </c>
      <c r="P35" s="2021"/>
      <c r="V35" s="2021"/>
    </row>
    <row r="36" spans="1:26" ht="16.5" customHeight="1">
      <c r="A36" s="298" t="s">
        <v>309</v>
      </c>
      <c r="B36" s="299" t="s">
        <v>298</v>
      </c>
      <c r="C36" s="300" t="s">
        <v>310</v>
      </c>
      <c r="D36" s="300" t="s">
        <v>311</v>
      </c>
      <c r="E36" s="301" t="s">
        <v>312</v>
      </c>
      <c r="F36" s="305"/>
      <c r="G36" s="305"/>
      <c r="H36" s="305"/>
      <c r="I36" s="305"/>
      <c r="J36" s="2023"/>
      <c r="K36" s="3648"/>
      <c r="L36" s="3648"/>
      <c r="M36" s="1260" t="s">
        <v>320</v>
      </c>
      <c r="N36" s="3648"/>
      <c r="O36" s="3648"/>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49"/>
      <c r="L37" s="3649"/>
      <c r="M37" s="1261"/>
      <c r="N37" s="3649"/>
      <c r="O37" s="3649"/>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32144</v>
      </c>
      <c r="N38" s="1263">
        <f ca="1">C33</f>
        <v>8155</v>
      </c>
      <c r="O38" s="1264">
        <f ca="1">C32</f>
        <v>65390</v>
      </c>
      <c r="P38" s="2021"/>
      <c r="V38" s="2021"/>
    </row>
    <row r="39" spans="1:26" ht="16.5" customHeight="1" thickBot="1">
      <c r="A39" s="1259"/>
      <c r="B39" s="302"/>
      <c r="C39" s="303"/>
      <c r="D39" s="303"/>
      <c r="E39" s="304"/>
      <c r="F39" s="305"/>
      <c r="G39" s="305"/>
      <c r="H39" s="305"/>
      <c r="I39" s="305"/>
      <c r="J39" s="2023"/>
      <c r="K39" s="3696" t="str">
        <f>MID(A44,3,LEN(A44)-2)</f>
        <v>抵押价格</v>
      </c>
      <c r="L39" s="3697"/>
      <c r="M39" s="3697"/>
      <c r="N39" s="3698"/>
      <c r="O39" s="1384">
        <f ca="1">C44</f>
        <v>64597</v>
      </c>
      <c r="P39" s="2021"/>
      <c r="V39" s="2021"/>
    </row>
    <row r="40" spans="1:26" ht="19.5" thickBot="1">
      <c r="A40" s="103" t="s">
        <v>839</v>
      </c>
      <c r="B40" s="305"/>
      <c r="C40" s="305"/>
      <c r="D40" s="305"/>
      <c r="E40" s="305"/>
      <c r="F40" s="305"/>
      <c r="G40" s="305"/>
      <c r="H40" s="305"/>
      <c r="I40" s="305"/>
      <c r="J40" s="2023"/>
      <c r="K40" s="3696" t="str">
        <f t="shared" ref="K40:K41" si="0">MID(A45,3,LEN(A45)-2)</f>
        <v/>
      </c>
      <c r="L40" s="3697"/>
      <c r="M40" s="3697"/>
      <c r="N40" s="3698"/>
      <c r="O40" s="1384" t="str">
        <f>C45</f>
        <v>——</v>
      </c>
      <c r="P40" s="2021"/>
      <c r="V40" s="2021"/>
    </row>
    <row r="41" spans="1:26" ht="16.5" thickBot="1">
      <c r="A41" s="306" t="s">
        <v>321</v>
      </c>
      <c r="B41" s="307"/>
      <c r="C41" s="308" t="s">
        <v>322</v>
      </c>
      <c r="D41" s="309" t="s">
        <v>323</v>
      </c>
      <c r="E41" s="309" t="s">
        <v>324</v>
      </c>
      <c r="F41" s="310" t="s">
        <v>325</v>
      </c>
      <c r="G41" s="305"/>
      <c r="H41" s="305"/>
      <c r="I41" s="305"/>
      <c r="J41" s="2023"/>
      <c r="K41" s="3696" t="str">
        <f t="shared" si="0"/>
        <v/>
      </c>
      <c r="L41" s="3697"/>
      <c r="M41" s="3697"/>
      <c r="N41" s="3698"/>
      <c r="O41" s="1384" t="str">
        <f>C46</f>
        <v>——</v>
      </c>
      <c r="P41" s="2021"/>
      <c r="V41" s="2021"/>
    </row>
    <row r="42" spans="1:26" ht="29.25">
      <c r="A42" s="3634" t="s">
        <v>2029</v>
      </c>
      <c r="B42" s="3635"/>
      <c r="C42" s="259">
        <f ca="1">C32</f>
        <v>65390</v>
      </c>
      <c r="D42" s="311">
        <f ca="1">C33</f>
        <v>8155</v>
      </c>
      <c r="E42" s="311">
        <f ca="1">C34</f>
        <v>32144</v>
      </c>
      <c r="F42" s="312">
        <f ca="1">C35</f>
        <v>2143</v>
      </c>
      <c r="G42" s="305"/>
      <c r="H42" s="305"/>
      <c r="I42" s="313"/>
      <c r="J42" s="2023"/>
      <c r="K42" s="1265" t="s">
        <v>326</v>
      </c>
      <c r="L42" s="2040" t="s">
        <v>327</v>
      </c>
      <c r="M42" s="1266" t="s">
        <v>328</v>
      </c>
      <c r="N42" s="2041" t="s">
        <v>329</v>
      </c>
      <c r="O42" s="2042" t="s">
        <v>330</v>
      </c>
      <c r="P42" s="2021"/>
      <c r="V42" s="2021"/>
    </row>
    <row r="43" spans="1:26" ht="30">
      <c r="A43" s="3645" t="s">
        <v>2695</v>
      </c>
      <c r="B43" s="364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0.45</v>
      </c>
      <c r="N43" s="1270">
        <f ca="1">IF(N42="测算结果/万元",G19,G20)</f>
        <v>65390</v>
      </c>
      <c r="O43" s="1271">
        <f ca="1">IF(O42="最终结果/万元",C32,C33)</f>
        <v>65390</v>
      </c>
      <c r="P43" s="2021"/>
      <c r="V43" s="2021"/>
    </row>
    <row r="44" spans="1:26" ht="30.75" thickBot="1">
      <c r="A44" s="3634" t="str">
        <f>IF(OR(项目基本情况!E8="抵押价格",项目基本情况!E8="已注销及未注销"),"3.抵押价格","——")</f>
        <v>3.抵押价格</v>
      </c>
      <c r="B44" s="3635"/>
      <c r="C44" s="259">
        <f ca="1">IF(A44="——","——",C42-C43)</f>
        <v>64597</v>
      </c>
      <c r="D44" s="311">
        <f ca="1">ROUND(C44*10000/'数据-汇总表'!E3,0)</f>
        <v>8056</v>
      </c>
      <c r="E44" s="311">
        <f ca="1">ROUND(C44*10000/'数据-汇总表'!D3,0)</f>
        <v>31755</v>
      </c>
      <c r="F44" s="312">
        <f ca="1">ROUND(C44/('数据-汇总表'!D3/666.67),0)</f>
        <v>2117</v>
      </c>
      <c r="G44" s="305"/>
      <c r="H44" s="305"/>
      <c r="I44" s="313"/>
      <c r="J44" s="2023"/>
      <c r="K44" s="1272" t="str">
        <f>D4</f>
        <v>剩余法-待开发</v>
      </c>
      <c r="L44" s="1273">
        <f ca="1">IF(L42="估价结果/万元",D19,D20)</f>
        <v>50403</v>
      </c>
      <c r="M44" s="1274">
        <f>D18</f>
        <v>0.55000000000000004</v>
      </c>
      <c r="N44" s="1275"/>
      <c r="O44" s="1276"/>
      <c r="P44" s="2021"/>
      <c r="V44" s="2021"/>
    </row>
    <row r="45" spans="1:26" ht="15">
      <c r="A45" s="3640" t="str">
        <f>IF(项目基本情况!E8="已注销及未注销","4.抵押担保权已注销时的抵押价格",IF(项目基本情况!E8="已注销","3.抵押担保权已注销时的抵押价格","——"))</f>
        <v>——</v>
      </c>
      <c r="B45" s="364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36" t="str">
        <f>IF(项目基本情况!E9="抵押净值",IF(A45="——","4.抵押净值","5.抵押净值"),"——")</f>
        <v>——</v>
      </c>
      <c r="B46" s="3637"/>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85" t="s">
        <v>339</v>
      </c>
      <c r="B63" s="3686"/>
      <c r="C63" s="3687"/>
      <c r="D63" s="335">
        <f ca="1">ROUND(C42*F63,0)</f>
        <v>39234</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642" t="s">
        <v>343</v>
      </c>
      <c r="B64" s="3643"/>
      <c r="C64" s="3643"/>
      <c r="D64" s="3643"/>
      <c r="E64" s="3643"/>
      <c r="F64" s="3643"/>
      <c r="G64" s="364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38" t="s">
        <v>351</v>
      </c>
      <c r="B66" s="3639"/>
      <c r="C66" s="3639"/>
      <c r="D66" s="256">
        <f ca="1">IF(H66="情况1",0,IF(H66="情况2",D70,IF(H66="情况3",D71,IF(H66="情况4",D72))))</f>
        <v>2055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700" t="s">
        <v>350</v>
      </c>
      <c r="M66" s="3701"/>
      <c r="N66" s="2475"/>
      <c r="O66" s="2476"/>
      <c r="P66" s="2477"/>
      <c r="Q66" s="2021"/>
      <c r="R66" s="2021"/>
      <c r="S66" s="2021"/>
      <c r="T66" s="2021"/>
      <c r="U66" s="2021"/>
      <c r="V66" s="2021"/>
    </row>
    <row r="67" spans="1:22" ht="25.5" customHeight="1">
      <c r="A67" s="346" t="s">
        <v>355</v>
      </c>
      <c r="B67" s="3629" t="s">
        <v>356</v>
      </c>
      <c r="C67" s="3629"/>
      <c r="D67" s="347">
        <v>0</v>
      </c>
      <c r="E67" s="40" t="s">
        <v>357</v>
      </c>
      <c r="F67" s="61" t="s">
        <v>20</v>
      </c>
      <c r="G67" s="3688"/>
      <c r="H67" s="305"/>
      <c r="I67" s="1286"/>
      <c r="J67" s="2028"/>
      <c r="K67" s="1969">
        <v>2</v>
      </c>
      <c r="L67" s="3699" t="s">
        <v>354</v>
      </c>
      <c r="M67" s="3699"/>
      <c r="N67" s="1319">
        <f>'数据-取费表'!B2</f>
        <v>43223</v>
      </c>
      <c r="O67" s="1319"/>
      <c r="P67" s="1319"/>
      <c r="Q67" s="2021"/>
      <c r="R67" s="2021"/>
      <c r="S67" s="2021"/>
      <c r="T67" s="2021"/>
      <c r="U67" s="2021"/>
      <c r="V67" s="2021"/>
    </row>
    <row r="68" spans="1:22" ht="25.5" customHeight="1">
      <c r="A68" s="348"/>
      <c r="B68" s="3629" t="s">
        <v>359</v>
      </c>
      <c r="C68" s="3629"/>
      <c r="D68" s="349"/>
      <c r="E68" s="76"/>
      <c r="F68" s="350"/>
      <c r="G68" s="3689"/>
      <c r="H68" s="305"/>
      <c r="I68" s="1286"/>
      <c r="J68" s="2028"/>
      <c r="K68" s="1969">
        <v>3</v>
      </c>
      <c r="L68" s="3699" t="s">
        <v>358</v>
      </c>
      <c r="M68" s="3699"/>
      <c r="N68" s="1287">
        <f ca="1">C42</f>
        <v>65390</v>
      </c>
      <c r="O68" s="1287"/>
      <c r="P68" s="1287"/>
      <c r="Q68" s="2021"/>
      <c r="R68" s="2021"/>
      <c r="S68" s="2021"/>
      <c r="T68" s="2021"/>
      <c r="U68" s="2021"/>
      <c r="V68" s="2021"/>
    </row>
    <row r="69" spans="1:22" ht="12" customHeight="1">
      <c r="A69" s="351"/>
      <c r="B69" s="3629" t="s">
        <v>360</v>
      </c>
      <c r="C69" s="3629"/>
      <c r="D69" s="352"/>
      <c r="E69" s="72"/>
      <c r="F69" s="350"/>
      <c r="G69" s="3690"/>
      <c r="H69" s="305"/>
      <c r="I69" s="1286"/>
      <c r="J69" s="2028"/>
      <c r="K69" s="1288">
        <v>4</v>
      </c>
      <c r="L69" s="3704" t="s">
        <v>2848</v>
      </c>
      <c r="M69" s="3705"/>
      <c r="N69" s="1289">
        <f ca="1">C44</f>
        <v>64597</v>
      </c>
      <c r="O69" s="1289"/>
      <c r="P69" s="1289"/>
      <c r="Q69" s="2021"/>
      <c r="R69" s="2021"/>
      <c r="S69" s="2021"/>
      <c r="T69" s="2021"/>
      <c r="U69" s="2021"/>
      <c r="V69" s="2021"/>
    </row>
    <row r="70" spans="1:22" ht="24" customHeight="1">
      <c r="A70" s="353" t="s">
        <v>361</v>
      </c>
      <c r="B70" s="3629" t="s">
        <v>362</v>
      </c>
      <c r="C70" s="3629"/>
      <c r="D70" s="352">
        <f ca="1">ROUND(D63*'数据-取费表'!B41/(1+'数据-取费表'!C42),0)</f>
        <v>2055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30" t="s">
        <v>370</v>
      </c>
      <c r="C71" s="3631"/>
      <c r="D71" s="352">
        <f ca="1">ROUND(D63*'数据-取费表'!B41/(1+'数据-取费表'!C42),0)</f>
        <v>2055</v>
      </c>
      <c r="E71" s="17" t="s">
        <v>363</v>
      </c>
      <c r="F71" s="354">
        <f>'数据-取费表'!B41</f>
        <v>5.5000000000000007E-2</v>
      </c>
      <c r="G71" s="355"/>
      <c r="H71" s="305"/>
      <c r="I71" s="1286"/>
      <c r="J71" s="2028"/>
      <c r="K71" s="3074" t="s">
        <v>364</v>
      </c>
      <c r="L71" s="3706" t="s">
        <v>365</v>
      </c>
      <c r="M71" s="3706"/>
      <c r="N71" s="3074" t="s">
        <v>366</v>
      </c>
      <c r="O71" s="3074" t="s">
        <v>367</v>
      </c>
      <c r="P71" s="3074" t="s">
        <v>368</v>
      </c>
      <c r="Q71" s="2021"/>
      <c r="R71" s="2021"/>
      <c r="S71" s="2021"/>
      <c r="T71" s="2021"/>
      <c r="U71" s="2021"/>
      <c r="V71" s="2021"/>
    </row>
    <row r="72" spans="1:22" ht="12" customHeight="1">
      <c r="A72" s="353" t="s">
        <v>372</v>
      </c>
      <c r="B72" s="3630" t="s">
        <v>373</v>
      </c>
      <c r="C72" s="3631"/>
      <c r="D72" s="352">
        <f ca="1">C86</f>
        <v>1945</v>
      </c>
      <c r="E72" s="72" t="s">
        <v>374</v>
      </c>
      <c r="F72" s="354">
        <f>'数据-取费表'!B41</f>
        <v>5.5000000000000007E-2</v>
      </c>
      <c r="G72" s="355"/>
      <c r="H72" s="1292"/>
      <c r="I72" s="1286"/>
      <c r="J72" s="2028"/>
      <c r="K72" s="1969">
        <v>1</v>
      </c>
      <c r="L72" s="3681" t="s">
        <v>371</v>
      </c>
      <c r="M72" s="3681"/>
      <c r="N72" s="1290">
        <f ca="1">D66</f>
        <v>2055</v>
      </c>
      <c r="O72" s="1852" t="str">
        <f>E66</f>
        <v>销售额×税（费）率</v>
      </c>
      <c r="P72" s="1291">
        <f>F66</f>
        <v>5.5000000000000007E-2</v>
      </c>
      <c r="Q72" s="2021"/>
      <c r="R72" s="2021"/>
      <c r="S72" s="2021"/>
      <c r="T72" s="2021"/>
      <c r="U72" s="2021"/>
      <c r="V72" s="2021"/>
    </row>
    <row r="73" spans="1:22" ht="24" customHeight="1">
      <c r="A73" s="3675" t="s">
        <v>376</v>
      </c>
      <c r="B73" s="3639"/>
      <c r="C73" s="3639"/>
      <c r="D73" s="356">
        <f>IF(H73="个人住宅",0,ROUND(D63*I73,0))</f>
        <v>0</v>
      </c>
      <c r="E73" s="17" t="s">
        <v>377</v>
      </c>
      <c r="F73" s="354" t="str">
        <f>IF(H73="正常",I73,"免征")</f>
        <v>免征</v>
      </c>
      <c r="G73" s="355"/>
      <c r="H73" s="190" t="s">
        <v>2419</v>
      </c>
      <c r="I73" s="354">
        <f>'数据-取费表'!B49</f>
        <v>5.0000000000000001E-4</v>
      </c>
      <c r="J73" s="2028"/>
      <c r="K73" s="1969">
        <v>2</v>
      </c>
      <c r="L73" s="3681" t="s">
        <v>375</v>
      </c>
      <c r="M73" s="3681"/>
      <c r="N73" s="1290">
        <f t="shared" ref="N73:P74" si="1">D73</f>
        <v>0</v>
      </c>
      <c r="O73" s="1852" t="str">
        <f t="shared" si="1"/>
        <v>销售额×税（费）率</v>
      </c>
      <c r="P73" s="1291" t="str">
        <f t="shared" si="1"/>
        <v>免征</v>
      </c>
      <c r="Q73" s="2021"/>
      <c r="R73" s="2021"/>
      <c r="S73" s="2021"/>
      <c r="T73" s="2021"/>
      <c r="U73" s="2021"/>
      <c r="V73" s="2021"/>
    </row>
    <row r="74" spans="1:22" ht="24.75">
      <c r="A74" s="3675" t="s">
        <v>380</v>
      </c>
      <c r="B74" s="3639"/>
      <c r="C74" s="3639"/>
      <c r="D74" s="356">
        <f ca="1">IF(H74="个人住宅",D75,D76)</f>
        <v>21586</v>
      </c>
      <c r="E74" s="17" t="s">
        <v>381</v>
      </c>
      <c r="F74" s="354" t="str">
        <f>IF(H74="正常",F76,"免征")</f>
        <v>——</v>
      </c>
      <c r="G74" s="977" t="s">
        <v>382</v>
      </c>
      <c r="H74" s="357" t="s">
        <v>378</v>
      </c>
      <c r="I74" s="41"/>
      <c r="J74" s="2028"/>
      <c r="K74" s="1969">
        <v>3</v>
      </c>
      <c r="L74" s="3681" t="s">
        <v>379</v>
      </c>
      <c r="M74" s="3681"/>
      <c r="N74" s="1290">
        <f t="shared" ca="1" si="1"/>
        <v>21586</v>
      </c>
      <c r="O74" s="1852" t="str">
        <f t="shared" si="1"/>
        <v>增值额×税（费）率</v>
      </c>
      <c r="P74" s="1293" t="str">
        <f t="shared" si="1"/>
        <v>——</v>
      </c>
      <c r="Q74" s="2021"/>
      <c r="R74" s="2021"/>
      <c r="S74" s="2021"/>
      <c r="T74" s="2021"/>
      <c r="U74" s="2021"/>
      <c r="V74" s="2021"/>
    </row>
    <row r="75" spans="1:22" ht="24">
      <c r="A75" s="353" t="s">
        <v>383</v>
      </c>
      <c r="B75" s="3627" t="s">
        <v>384</v>
      </c>
      <c r="C75" s="3661"/>
      <c r="D75" s="358">
        <v>0</v>
      </c>
      <c r="E75" s="40" t="s">
        <v>385</v>
      </c>
      <c r="F75" s="359"/>
      <c r="G75" s="355"/>
      <c r="H75" s="41"/>
      <c r="I75" s="41"/>
      <c r="J75" s="2028"/>
      <c r="K75" s="3067">
        <f>IF(H77="非个人房产","",4)</f>
        <v>4</v>
      </c>
      <c r="L75" s="3681" t="str">
        <f>IF(H77="非个人房产","——","个人所得税")</f>
        <v>个人所得税</v>
      </c>
      <c r="M75" s="3681"/>
      <c r="N75" s="1294">
        <f ca="1">D77</f>
        <v>392</v>
      </c>
      <c r="O75" s="1865" t="str">
        <f>E77</f>
        <v>销售额×税（费）率</v>
      </c>
      <c r="P75" s="1295">
        <f>F77</f>
        <v>0.01</v>
      </c>
      <c r="Q75" s="2021"/>
      <c r="R75" s="2021"/>
      <c r="S75" s="2021"/>
      <c r="T75" s="2021"/>
      <c r="U75" s="2021"/>
      <c r="V75" s="2021"/>
    </row>
    <row r="76" spans="1:22" ht="24.75">
      <c r="A76" s="353" t="s">
        <v>361</v>
      </c>
      <c r="B76" s="3627" t="s">
        <v>387</v>
      </c>
      <c r="C76" s="3628"/>
      <c r="D76" s="356">
        <f ca="1">IF(H76="转让取得",C99,C115)</f>
        <v>21586</v>
      </c>
      <c r="E76" s="17" t="s">
        <v>388</v>
      </c>
      <c r="F76" s="52" t="s">
        <v>20</v>
      </c>
      <c r="G76" s="355"/>
      <c r="H76" s="357" t="s">
        <v>389</v>
      </c>
      <c r="I76" s="41"/>
      <c r="J76" s="2028"/>
      <c r="K76" s="3067" t="str">
        <f>IF(项目基本情况!K6="上海银行",IF(K75="",4,K75+1),"")</f>
        <v/>
      </c>
      <c r="L76" s="3692" t="str">
        <f>IF(项目基本情况!K6="上海银行","其他处置费用","")</f>
        <v/>
      </c>
      <c r="M76" s="3693"/>
      <c r="N76" s="1290" t="str">
        <f>IF(项目基本情况!K6="上海银行",N89,"")</f>
        <v/>
      </c>
      <c r="O76" s="3694" t="str">
        <f>IF(项目基本情况!K6="上海银行","包含处置中涉及的律师、诉讼、拍卖、评估等费用","")</f>
        <v/>
      </c>
      <c r="P76" s="3695"/>
      <c r="Q76" s="2021"/>
      <c r="R76" s="2021"/>
      <c r="S76" s="2021"/>
      <c r="T76" s="2021"/>
      <c r="U76" s="2021"/>
      <c r="V76" s="2021"/>
    </row>
    <row r="77" spans="1:22" ht="26.25" thickBot="1">
      <c r="A77" s="3683" t="s">
        <v>391</v>
      </c>
      <c r="B77" s="3684"/>
      <c r="C77" s="3684"/>
      <c r="D77" s="360">
        <f ca="1">IF(H77="非个人房产","——",IF(H77="个人住宅",0,ROUND(D63*I77,0)))</f>
        <v>392</v>
      </c>
      <c r="E77" s="361" t="str">
        <f>IF(H77="非个人房产","——","销售额×税（费）率")</f>
        <v>销售额×税（费）率</v>
      </c>
      <c r="F77" s="362">
        <f>IF(H77="非个人房产","——",IF(H77="个人住宅","免征",I77))</f>
        <v>0.01</v>
      </c>
      <c r="G77" s="978" t="s">
        <v>382</v>
      </c>
      <c r="H77" s="357" t="s">
        <v>2849</v>
      </c>
      <c r="I77" s="363">
        <v>0.01</v>
      </c>
      <c r="J77" s="2028"/>
      <c r="K77" s="3682">
        <f>IF(AND(K75="",K76=""),4,IF(项目基本情况!K6="上海银行",K76+1,K75+1))</f>
        <v>5</v>
      </c>
      <c r="L77" s="3681" t="s">
        <v>2850</v>
      </c>
      <c r="M77" s="3073" t="s">
        <v>386</v>
      </c>
      <c r="N77" s="1296"/>
      <c r="O77" s="1297">
        <f ca="1">SUMIF(N72:N76,"&lt;9e307")</f>
        <v>24033</v>
      </c>
      <c r="P77" s="1298"/>
      <c r="Q77" s="3071">
        <f ca="1">O77/N69</f>
        <v>0.37204514141523598</v>
      </c>
      <c r="R77" s="2021"/>
      <c r="S77" s="2021"/>
      <c r="T77" s="2021"/>
      <c r="U77" s="2021"/>
      <c r="V77" s="2021"/>
    </row>
    <row r="78" spans="1:22" ht="12" customHeight="1">
      <c r="A78" s="1299"/>
      <c r="B78" s="305"/>
      <c r="C78" s="305"/>
      <c r="D78" s="305"/>
      <c r="E78" s="41"/>
      <c r="F78" s="41"/>
      <c r="G78" s="41"/>
      <c r="H78" s="997"/>
      <c r="I78" s="305"/>
      <c r="J78" s="2028"/>
      <c r="K78" s="3682"/>
      <c r="L78" s="3681"/>
      <c r="M78" s="3073" t="s">
        <v>390</v>
      </c>
      <c r="N78" s="1296"/>
      <c r="O78" s="1297" t="str">
        <f ca="1">NUMBERSTRING(INT(O77*10000),2)&amp;"元整"</f>
        <v>贰亿肆仟零叁拾叁万元整</v>
      </c>
      <c r="P78" s="1298"/>
      <c r="Q78" s="2021"/>
      <c r="R78" s="2021"/>
      <c r="S78" s="2021"/>
      <c r="T78" s="2021"/>
      <c r="U78" s="2021"/>
      <c r="V78" s="2021"/>
    </row>
    <row r="79" spans="1:22" ht="13.5" thickBot="1">
      <c r="A79" s="3676" t="s">
        <v>392</v>
      </c>
      <c r="B79" s="3676"/>
      <c r="C79" s="3676"/>
      <c r="D79" s="3676"/>
      <c r="E79" s="3676"/>
      <c r="F79" s="41"/>
      <c r="G79" s="41"/>
      <c r="H79" s="997"/>
      <c r="I79" s="305"/>
      <c r="J79" s="2028"/>
      <c r="K79" s="3702">
        <f>K77+1</f>
        <v>6</v>
      </c>
      <c r="L79" s="3681" t="s">
        <v>2851</v>
      </c>
      <c r="M79" s="3073" t="s">
        <v>386</v>
      </c>
      <c r="N79" s="1296"/>
      <c r="O79" s="1297">
        <f ca="1">N69-O77</f>
        <v>40564</v>
      </c>
      <c r="P79" s="1298"/>
      <c r="Q79" s="2021"/>
      <c r="R79" s="2021"/>
      <c r="S79" s="2021"/>
      <c r="T79" s="2021"/>
      <c r="U79" s="2021"/>
      <c r="V79" s="2021"/>
    </row>
    <row r="80" spans="1:22" ht="25.5">
      <c r="A80" s="3671" t="s">
        <v>393</v>
      </c>
      <c r="B80" s="3672"/>
      <c r="C80" s="988"/>
      <c r="D80" s="988" t="s">
        <v>394</v>
      </c>
      <c r="E80" s="364" t="s">
        <v>395</v>
      </c>
      <c r="F80" s="41"/>
      <c r="G80" s="41"/>
      <c r="H80" s="997"/>
      <c r="I80" s="305"/>
      <c r="J80" s="2021"/>
      <c r="K80" s="3703"/>
      <c r="L80" s="3681"/>
      <c r="M80" s="3073" t="s">
        <v>390</v>
      </c>
      <c r="N80" s="1296"/>
      <c r="O80" s="1297" t="str">
        <f ca="1">NUMBERSTRING(INT(O79*10000),2)&amp;"元整"</f>
        <v>肆亿零伍佰陆拾肆万元整</v>
      </c>
      <c r="P80" s="1298"/>
      <c r="Q80" s="2021"/>
      <c r="R80" s="2021"/>
      <c r="S80" s="2021"/>
      <c r="T80" s="2021"/>
      <c r="U80" s="2021"/>
      <c r="V80" s="2021"/>
    </row>
    <row r="81" spans="1:26" ht="13.5" thickBot="1">
      <c r="A81" s="375" t="s">
        <v>1786</v>
      </c>
      <c r="B81" s="365" t="s">
        <v>396</v>
      </c>
      <c r="C81" s="366">
        <f ca="1">ROUND((C82+C83)/(1+'数据-取费表'!C42),0)</f>
        <v>37366</v>
      </c>
      <c r="D81" s="367"/>
      <c r="E81" s="368"/>
      <c r="F81" s="41"/>
      <c r="G81" s="41"/>
      <c r="H81" s="997"/>
      <c r="I81" s="305"/>
      <c r="J81" s="2021"/>
      <c r="K81" s="3067">
        <f>K79+1</f>
        <v>7</v>
      </c>
      <c r="L81" s="3679" t="s">
        <v>2852</v>
      </c>
      <c r="M81" s="3680"/>
      <c r="N81" s="1300"/>
      <c r="O81" s="1301">
        <f ca="1">ROUND(O79*10000/'数据-汇总表'!E3,0)</f>
        <v>5059</v>
      </c>
      <c r="P81" s="1302"/>
      <c r="Q81" s="2021"/>
      <c r="R81" s="2021"/>
      <c r="S81" s="2021"/>
      <c r="T81" s="2021"/>
      <c r="U81" s="2021"/>
      <c r="V81" s="2021"/>
    </row>
    <row r="82" spans="1:26" ht="13.5" thickTop="1">
      <c r="A82" s="369" t="s">
        <v>1787</v>
      </c>
      <c r="B82" s="370" t="s">
        <v>397</v>
      </c>
      <c r="C82" s="371">
        <f ca="1">D63</f>
        <v>39234</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91" t="s">
        <v>2839</v>
      </c>
      <c r="L83" s="3079" t="s">
        <v>2840</v>
      </c>
      <c r="M83" s="3069">
        <f ca="1">IF(N69&gt;10000,N69*0.5%,IF(AND(N69&gt;1000,N69&lt;=10000),N69*1%,IF(AND(N69&gt;100,N69&lt;=1000),N69*3%,IF(AND(N69&gt;10,N69&lt;=100),N69*5%,N69*8%))))</f>
        <v>322.98500000000001</v>
      </c>
      <c r="N83" s="52">
        <f ca="1">ROUND(M83,1)</f>
        <v>323</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91"/>
      <c r="L84" s="3079" t="s">
        <v>2841</v>
      </c>
      <c r="M84" s="3069">
        <f ca="1">IF(N69&gt;2000,N69*0.5%,IF(AND(N69&gt;1000,N69&lt;=2000),N69*0.6%,IF(AND(N69&gt;500,N69&lt;=1000),N69*0.7%,IF(AND(N69&gt;200,N69&lt;=500),N69*0.8%,IF(AND(N69&gt;100,N69&lt;=200),N69*0.9%,IF(AND(N69&gt;50,N69&lt;=100),N69*1%,IF(AND(N69&gt;20,N69&lt;=50),N69*1.5%,IF(AND(N69&gt;10,N69&lt;=20),N69*2%,IF(AND(N69&gt;1,N69&lt;=10),N69*2.5%)))))))))</f>
        <v>322.98500000000001</v>
      </c>
      <c r="N84" s="52">
        <f t="shared" ref="N84:N85" ca="1" si="2">ROUND(M84,1)</f>
        <v>323</v>
      </c>
      <c r="O84" s="2021" t="s">
        <v>2842</v>
      </c>
      <c r="P84" s="2021"/>
      <c r="Q84" s="2021"/>
      <c r="R84" s="2021"/>
      <c r="S84" s="2021"/>
      <c r="T84" s="2021"/>
      <c r="U84" s="2021"/>
      <c r="V84" s="2021"/>
    </row>
    <row r="85" spans="1:26" ht="12.75">
      <c r="A85" s="375" t="s">
        <v>1790</v>
      </c>
      <c r="B85" s="376" t="s">
        <v>400</v>
      </c>
      <c r="C85" s="379">
        <f ca="1">C81-C84</f>
        <v>35366</v>
      </c>
      <c r="D85" s="372" t="s">
        <v>18</v>
      </c>
      <c r="E85" s="373"/>
      <c r="F85" s="41"/>
      <c r="G85" s="41"/>
      <c r="H85" s="997"/>
      <c r="I85" s="305"/>
      <c r="J85" s="2021"/>
      <c r="K85" s="3691"/>
      <c r="L85" s="3079" t="s">
        <v>2843</v>
      </c>
      <c r="M85" s="3069">
        <f ca="1">IF(N69&gt;1000,N69*0.1%,IF(AND(N69&gt;500,N69&lt;=1000),N69*0.5%,IF(AND(N69&gt;50,N69&lt;=500),N69*1%,IF(AND(N69&gt;1,N69&lt;=50),N69*1.5%))))</f>
        <v>64.597000000000008</v>
      </c>
      <c r="N85" s="52">
        <f t="shared" ca="1" si="2"/>
        <v>64.599999999999994</v>
      </c>
      <c r="O85" s="2021" t="s">
        <v>2842</v>
      </c>
      <c r="P85" s="2021"/>
      <c r="Q85" s="2021"/>
      <c r="R85" s="2021"/>
      <c r="S85" s="2021"/>
      <c r="T85" s="2021"/>
      <c r="U85" s="2021"/>
      <c r="V85" s="2021"/>
    </row>
    <row r="86" spans="1:26" ht="13.5" thickBot="1">
      <c r="A86" s="380" t="s">
        <v>1791</v>
      </c>
      <c r="B86" s="381" t="s">
        <v>401</v>
      </c>
      <c r="C86" s="382">
        <f ca="1">IF(C85&lt;=0,0,ROUND(C85*D86,0))</f>
        <v>1945</v>
      </c>
      <c r="D86" s="383">
        <f>'数据-取费表'!B41</f>
        <v>5.5000000000000007E-2</v>
      </c>
      <c r="E86" s="384"/>
      <c r="F86" s="41"/>
      <c r="G86" s="41"/>
      <c r="H86" s="997"/>
      <c r="I86" s="305"/>
      <c r="J86" s="2021"/>
      <c r="K86" s="3691"/>
      <c r="L86" s="3079" t="s">
        <v>2844</v>
      </c>
      <c r="M86" s="3069">
        <f ca="1">N69*0.5%</f>
        <v>322.98500000000001</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91"/>
      <c r="L87" s="3079" t="s">
        <v>2846</v>
      </c>
      <c r="M87" s="3069">
        <f ca="1">IF(N69&gt;=10000,(8.25+(N69-10000)*0.01%),IF(AND(N69&gt;=8000,N69&lt;10000),(7.85+(N69-8000)*0.02%),IF(AND(N69&gt;=5000,N69&lt;8000),(6.65+(N69-5000)*0.04%),IF(AND(N69&gt;=2000,N69&lt;5000),(4.25+(PN69-2000)*0.08%),IF(AND(N69&gt;=1000,N69&lt;2000),(2.75+(N69-1000)*0.15%),IF(AND(N69&gt;=100,N69&lt;1000),(0.5+(N69-100)*0.25%),IF(AND(N69&gt;0,N69&lt;100),N69*0.5%)))))))</f>
        <v>13.709700000000002</v>
      </c>
      <c r="N87" s="52">
        <f ca="1">ROUND(M87*0.9,1)</f>
        <v>12.3</v>
      </c>
      <c r="O87" s="3072"/>
      <c r="P87" s="305"/>
      <c r="Q87" s="2021"/>
      <c r="R87" s="2021"/>
      <c r="S87" s="2021"/>
      <c r="T87" s="2021"/>
      <c r="U87" s="2021"/>
      <c r="V87" s="2021"/>
      <c r="W87" s="287"/>
      <c r="X87" s="287"/>
      <c r="Y87" s="287"/>
      <c r="Z87" s="287"/>
    </row>
    <row r="88" spans="1:26" s="1308" customFormat="1" ht="15" thickBot="1">
      <c r="A88" s="3673" t="s">
        <v>402</v>
      </c>
      <c r="B88" s="3674"/>
      <c r="C88" s="3674"/>
      <c r="D88" s="3674"/>
      <c r="E88" s="3674"/>
      <c r="F88" s="3674"/>
      <c r="G88" s="3674"/>
      <c r="H88" s="3674"/>
      <c r="I88" s="1309"/>
      <c r="J88" s="2029"/>
      <c r="K88" s="3691"/>
      <c r="L88" s="3079" t="s">
        <v>2847</v>
      </c>
      <c r="M88" s="3069">
        <f ca="1">IF(N69&gt;10000,N69*0.5%,IF(AND(N69&gt;5000,N69&lt;=10000),N69*1%,IF(AND(N69&gt;1000,N69&lt;=5000),N69*2%,IF(AND(N69&gt;200,N69&lt;=1000),N69*3%,N69*5%))))</f>
        <v>322.98500000000001</v>
      </c>
      <c r="N88" s="52">
        <f ca="1">ROUND(M88,1)</f>
        <v>323</v>
      </c>
      <c r="O88" s="3072"/>
      <c r="P88" s="11"/>
      <c r="Q88" s="2026"/>
      <c r="R88" s="2026"/>
      <c r="S88" s="2026"/>
      <c r="T88" s="2026"/>
      <c r="U88" s="2026"/>
      <c r="V88" s="2026"/>
      <c r="W88" s="2030"/>
      <c r="X88" s="2030"/>
      <c r="Y88" s="2030"/>
      <c r="Z88" s="2030"/>
    </row>
    <row r="89" spans="1:26" s="1308" customFormat="1" ht="14.25">
      <c r="A89" s="3671" t="s">
        <v>393</v>
      </c>
      <c r="B89" s="3672"/>
      <c r="C89" s="988"/>
      <c r="D89" s="988" t="s">
        <v>394</v>
      </c>
      <c r="E89" s="385" t="s">
        <v>403</v>
      </c>
      <c r="F89" s="386"/>
      <c r="G89" s="386"/>
      <c r="H89" s="387"/>
      <c r="I89" s="1310"/>
      <c r="J89" s="2031"/>
      <c r="K89" s="3691"/>
      <c r="L89" s="3079" t="s">
        <v>26</v>
      </c>
      <c r="M89" s="3070"/>
      <c r="N89" s="52">
        <f ca="1">ROUND(SUM(N83:N88),0)</f>
        <v>1046</v>
      </c>
      <c r="O89" s="3080">
        <f ca="1">N89/N69</f>
        <v>1.6192702447482082E-2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37366</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2748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30" t="s">
        <v>412</v>
      </c>
      <c r="F94" s="3629"/>
      <c r="G94" s="3629"/>
      <c r="H94" s="3670"/>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187</v>
      </c>
      <c r="D96" s="400">
        <f>'数据-取费表'!B43</f>
        <v>5.000000000000001E-3</v>
      </c>
      <c r="E96" s="3662" t="s">
        <v>2391</v>
      </c>
      <c r="F96" s="3663"/>
      <c r="G96" s="3663"/>
      <c r="H96" s="3664"/>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34618</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12.597525473071325</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19809</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3" t="s">
        <v>419</v>
      </c>
      <c r="B101" s="3674"/>
      <c r="C101" s="3674"/>
      <c r="D101" s="3674"/>
      <c r="E101" s="3674"/>
      <c r="F101" s="3674"/>
      <c r="G101" s="3674"/>
      <c r="H101" s="3674"/>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71" t="s">
        <v>393</v>
      </c>
      <c r="B102" s="3672"/>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37366</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877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5" t="s">
        <v>427</v>
      </c>
      <c r="F109" s="3663"/>
      <c r="G109" s="3663"/>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5" t="s">
        <v>429</v>
      </c>
      <c r="F110" s="3663"/>
      <c r="G110" s="3663"/>
      <c r="H110" s="3664"/>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187</v>
      </c>
      <c r="D111" s="400">
        <f>'数据-取费表'!B43</f>
        <v>5.000000000000001E-3</v>
      </c>
      <c r="E111" s="3662" t="s">
        <v>2391</v>
      </c>
      <c r="F111" s="3663"/>
      <c r="G111" s="3663"/>
      <c r="H111" s="3664"/>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5" t="s">
        <v>2416</v>
      </c>
      <c r="F112" s="3663"/>
      <c r="G112" s="3663"/>
      <c r="H112" s="3664"/>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36489</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41.60661345496009</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21586</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32144</v>
      </c>
    </row>
    <row r="47" spans="1:2">
      <c r="A47" s="2895" t="s">
        <v>2689</v>
      </c>
      <c r="B47" s="2896">
        <f ca="1">'预评函-2'!Q5</f>
        <v>8155</v>
      </c>
    </row>
    <row r="48" spans="1:2">
      <c r="A48" s="2895" t="s">
        <v>2690</v>
      </c>
      <c r="B48" s="2896">
        <f ca="1">'预评函-2'!R5</f>
        <v>65390</v>
      </c>
    </row>
    <row r="49" spans="1:2">
      <c r="A49" s="2895" t="s">
        <v>2706</v>
      </c>
      <c r="B49" s="2896" t="str">
        <f>'预评函-2'!A6</f>
        <v>抵押价格</v>
      </c>
    </row>
    <row r="50" spans="1:2">
      <c r="A50" s="2895" t="s">
        <v>2691</v>
      </c>
      <c r="B50" s="2896">
        <f ca="1">'预评函-2'!R6</f>
        <v>64597</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44" zoomScale="85" zoomScaleNormal="95" zoomScaleSheetLayoutView="85" workbookViewId="0">
      <selection activeCell="L12" sqref="L12"/>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16" t="s">
        <v>488</v>
      </c>
      <c r="D6" s="3717"/>
      <c r="E6" s="3716" t="s">
        <v>489</v>
      </c>
      <c r="F6" s="3717"/>
      <c r="G6" s="3716" t="s">
        <v>490</v>
      </c>
      <c r="H6" s="3717"/>
      <c r="I6" s="3716" t="s">
        <v>491</v>
      </c>
      <c r="J6" s="3717"/>
      <c r="K6" s="508" t="s">
        <v>492</v>
      </c>
      <c r="L6" s="2126"/>
      <c r="M6" s="2125"/>
      <c r="N6" s="2125"/>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30" ht="52.5" customHeight="1">
      <c r="A7" s="509"/>
      <c r="B7" s="510"/>
      <c r="C7" s="3734" t="str">
        <f>项目基本情况!F10</f>
        <v>怀柔区怀柔镇张各长村HR00-0004-6001地块F2公建混合住宅用地</v>
      </c>
      <c r="D7" s="3733"/>
      <c r="E7" s="3732" t="s">
        <v>3404</v>
      </c>
      <c r="F7" s="3733"/>
      <c r="G7" s="3732" t="s">
        <v>3419</v>
      </c>
      <c r="H7" s="3733"/>
      <c r="I7" s="3732" t="s">
        <v>3422</v>
      </c>
      <c r="J7" s="3733"/>
      <c r="K7" s="508"/>
      <c r="L7" s="2126"/>
      <c r="M7" s="2125"/>
      <c r="N7" s="2125"/>
      <c r="O7" s="2127"/>
      <c r="P7" s="3720"/>
      <c r="Q7" s="3721"/>
      <c r="R7" s="3726"/>
      <c r="S7" s="3727"/>
      <c r="T7" s="3726"/>
      <c r="U7" s="3727"/>
      <c r="V7" s="3711"/>
      <c r="W7" s="3711"/>
      <c r="X7" s="1559"/>
      <c r="Y7" s="3726"/>
      <c r="Z7" s="3727"/>
      <c r="AA7" s="3714"/>
      <c r="AB7" s="3714"/>
      <c r="AC7" s="3714"/>
    </row>
    <row r="8" spans="1:30" ht="21" thickBot="1">
      <c r="A8" s="509"/>
      <c r="B8" s="510"/>
      <c r="C8" s="3735" t="s">
        <v>2887</v>
      </c>
      <c r="D8" s="3736"/>
      <c r="E8" s="3735" t="s">
        <v>2887</v>
      </c>
      <c r="F8" s="3736"/>
      <c r="G8" s="3730" t="s">
        <v>2887</v>
      </c>
      <c r="H8" s="3731"/>
      <c r="I8" s="3730" t="s">
        <v>2887</v>
      </c>
      <c r="J8" s="3731"/>
      <c r="K8" s="508" t="s">
        <v>494</v>
      </c>
      <c r="L8" s="2126"/>
      <c r="M8" s="2125"/>
      <c r="N8" s="2125"/>
      <c r="O8" s="2127"/>
      <c r="P8" s="3722"/>
      <c r="Q8" s="3723"/>
      <c r="R8" s="3726"/>
      <c r="S8" s="3727"/>
      <c r="T8" s="3728"/>
      <c r="U8" s="3729"/>
      <c r="V8" s="3711"/>
      <c r="W8" s="3711"/>
      <c r="X8" s="1559"/>
      <c r="Y8" s="3728"/>
      <c r="Z8" s="3729"/>
      <c r="AA8" s="3715"/>
      <c r="AB8" s="3715"/>
      <c r="AC8" s="3715"/>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42" t="s">
        <v>496</v>
      </c>
      <c r="Q9" s="3744"/>
      <c r="R9" s="1560" t="s">
        <v>8</v>
      </c>
      <c r="S9" s="1561">
        <f t="shared" ref="S9:S17" si="0">F9</f>
        <v>98</v>
      </c>
      <c r="T9" s="1560" t="s">
        <v>8</v>
      </c>
      <c r="U9" s="1561">
        <f t="shared" ref="U9:U17" si="1">H9</f>
        <v>99</v>
      </c>
      <c r="V9" s="1560" t="s">
        <v>8</v>
      </c>
      <c r="W9" s="1561">
        <f t="shared" ref="W9:W17" si="2">J9</f>
        <v>97</v>
      </c>
      <c r="X9" s="1562"/>
      <c r="Y9" s="3742" t="s">
        <v>496</v>
      </c>
      <c r="Z9" s="3743"/>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42" t="s">
        <v>499</v>
      </c>
      <c r="Q10" s="3743"/>
      <c r="R10" s="1560" t="s">
        <v>8</v>
      </c>
      <c r="S10" s="1561">
        <f t="shared" si="0"/>
        <v>100</v>
      </c>
      <c r="T10" s="1560" t="s">
        <v>8</v>
      </c>
      <c r="U10" s="1561">
        <f t="shared" si="1"/>
        <v>100</v>
      </c>
      <c r="V10" s="1560" t="s">
        <v>8</v>
      </c>
      <c r="W10" s="1561">
        <f t="shared" si="2"/>
        <v>100</v>
      </c>
      <c r="X10" s="1562"/>
      <c r="Y10" s="3742" t="s">
        <v>499</v>
      </c>
      <c r="Z10" s="3743"/>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10"/>
      <c r="Q13" s="1145" t="str">
        <f t="shared" si="6"/>
        <v>容积率</v>
      </c>
      <c r="R13" s="1560" t="s">
        <v>8</v>
      </c>
      <c r="S13" s="1561">
        <f t="shared" si="0"/>
        <v>101</v>
      </c>
      <c r="T13" s="1560" t="s">
        <v>8</v>
      </c>
      <c r="U13" s="1561">
        <f t="shared" si="1"/>
        <v>101</v>
      </c>
      <c r="V13" s="1560" t="s">
        <v>8</v>
      </c>
      <c r="W13" s="1561">
        <f t="shared" si="2"/>
        <v>102</v>
      </c>
      <c r="X13" s="1562"/>
      <c r="Y13" s="3652"/>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3405</v>
      </c>
      <c r="D14" s="532">
        <v>100</v>
      </c>
      <c r="E14" s="3489" t="s">
        <v>3406</v>
      </c>
      <c r="F14" s="250">
        <f>SUMIF(84:84,E14,85:85)-SUMIF(84:84,C14,85:85)+100</f>
        <v>106</v>
      </c>
      <c r="G14" s="3489" t="s">
        <v>3420</v>
      </c>
      <c r="H14" s="250">
        <f>SUMIF(84:84,G14,85:85)-SUMIF(84:84,C14,85:85)+100</f>
        <v>109</v>
      </c>
      <c r="I14" s="3489" t="s">
        <v>3421</v>
      </c>
      <c r="J14" s="250">
        <f>SUMIF(84:84,I14,85:85)-SUMIF(84:84,C14,85:85)+100</f>
        <v>103</v>
      </c>
      <c r="K14" s="525"/>
      <c r="L14" s="2128"/>
      <c r="M14" s="2125"/>
      <c r="N14" s="2125"/>
      <c r="O14" s="2130"/>
      <c r="P14" s="3710"/>
      <c r="Q14" s="1145" t="str">
        <f t="shared" si="6"/>
        <v>配建</v>
      </c>
      <c r="R14" s="1560" t="s">
        <v>8</v>
      </c>
      <c r="S14" s="1561">
        <f t="shared" si="0"/>
        <v>106</v>
      </c>
      <c r="T14" s="1560" t="s">
        <v>8</v>
      </c>
      <c r="U14" s="1561">
        <f t="shared" si="1"/>
        <v>109</v>
      </c>
      <c r="V14" s="1560" t="s">
        <v>8</v>
      </c>
      <c r="W14" s="1561">
        <f t="shared" si="2"/>
        <v>103</v>
      </c>
      <c r="X14" s="1562"/>
      <c r="Y14" s="3652"/>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3423</v>
      </c>
      <c r="H17" s="543">
        <f>SUMIF(90:90,G18,91:91)-SUMIF(90:90,C18,91:91)+100</f>
        <v>103</v>
      </c>
      <c r="I17" s="3496" t="s">
        <v>3423</v>
      </c>
      <c r="J17" s="543">
        <f>SUMIF(90:90,I18,91:91)-SUMIF(90:90,C18,91:91)+100</f>
        <v>103</v>
      </c>
      <c r="K17" s="529">
        <v>3</v>
      </c>
      <c r="L17" s="2135"/>
      <c r="M17" s="2125"/>
      <c r="N17" s="2125"/>
      <c r="O17" s="2134"/>
      <c r="P17" s="3745" t="s">
        <v>506</v>
      </c>
      <c r="Q17" s="1564" t="str">
        <f t="shared" si="6"/>
        <v>居住社区成熟度</v>
      </c>
      <c r="R17" s="1565" t="s">
        <v>8</v>
      </c>
      <c r="S17" s="1566">
        <f t="shared" si="0"/>
        <v>100</v>
      </c>
      <c r="T17" s="1565" t="s">
        <v>8</v>
      </c>
      <c r="U17" s="1566">
        <f t="shared" si="1"/>
        <v>103</v>
      </c>
      <c r="V17" s="1565" t="s">
        <v>8</v>
      </c>
      <c r="W17" s="1566">
        <f t="shared" si="2"/>
        <v>103</v>
      </c>
      <c r="X17" s="1559"/>
      <c r="Y17" s="3745"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46"/>
      <c r="Q18" s="1564"/>
      <c r="R18" s="1565"/>
      <c r="S18" s="1566"/>
      <c r="T18" s="1565"/>
      <c r="U18" s="1566"/>
      <c r="V18" s="1565"/>
      <c r="W18" s="1566"/>
      <c r="X18" s="1559"/>
      <c r="Y18" s="374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3409</v>
      </c>
      <c r="F19" s="553">
        <f>SUMIF(92:92,E20,93:93)-SUMIF(92:92,C20,93:93)+100</f>
        <v>100</v>
      </c>
      <c r="G19" s="3496" t="s">
        <v>3425</v>
      </c>
      <c r="H19" s="559">
        <f>SUMIF(92:92,G20,93:93)-SUMIF(92:92,C20,93:93)+100</f>
        <v>103</v>
      </c>
      <c r="I19" s="3496" t="s">
        <v>3425</v>
      </c>
      <c r="J19" s="559">
        <f>SUMIF(92:92,I20,93:93)-SUMIF(92:92,C20,93:93)+100</f>
        <v>103</v>
      </c>
      <c r="K19" s="529">
        <v>3</v>
      </c>
      <c r="L19" s="2135"/>
      <c r="M19" s="2125"/>
      <c r="N19" s="2125"/>
      <c r="O19" s="2134"/>
      <c r="P19" s="3746"/>
      <c r="Q19" s="1564" t="str">
        <f>B19</f>
        <v>商业繁华度</v>
      </c>
      <c r="R19" s="1565" t="s">
        <v>8</v>
      </c>
      <c r="S19" s="1566">
        <f>F19</f>
        <v>100</v>
      </c>
      <c r="T19" s="1565" t="s">
        <v>8</v>
      </c>
      <c r="U19" s="1566">
        <f>H19</f>
        <v>103</v>
      </c>
      <c r="V19" s="1565" t="s">
        <v>8</v>
      </c>
      <c r="W19" s="1566">
        <f>J19</f>
        <v>103</v>
      </c>
      <c r="X19" s="1559"/>
      <c r="Y19" s="3746"/>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46"/>
      <c r="Q20" s="1564"/>
      <c r="R20" s="1565"/>
      <c r="S20" s="1566"/>
      <c r="T20" s="1565"/>
      <c r="U20" s="1566"/>
      <c r="V20" s="1565"/>
      <c r="W20" s="1566"/>
      <c r="X20" s="1559"/>
      <c r="Y20" s="374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3410</v>
      </c>
      <c r="F21" s="559">
        <f>SUMIF(94:94,E22,95:95)-SUMIF(94:94,C22,95:95)+100</f>
        <v>100</v>
      </c>
      <c r="G21" s="3497" t="s">
        <v>3424</v>
      </c>
      <c r="H21" s="553">
        <f>SUMIF(94:94,G22,95:95)-SUMIF(94:94,C22,95:95)+100</f>
        <v>100</v>
      </c>
      <c r="I21" s="3497" t="s">
        <v>3426</v>
      </c>
      <c r="J21" s="553">
        <f>SUMIF(94:94,I22,95:95)-SUMIF(94:94,C22,95:95)+100</f>
        <v>103</v>
      </c>
      <c r="K21" s="529">
        <v>3</v>
      </c>
      <c r="L21" s="2135"/>
      <c r="M21" s="2125"/>
      <c r="N21" s="2125"/>
      <c r="O21" s="2134"/>
      <c r="P21" s="3746"/>
      <c r="Q21" s="1564" t="str">
        <f>B21</f>
        <v>办公集聚程度</v>
      </c>
      <c r="R21" s="1565" t="s">
        <v>8</v>
      </c>
      <c r="S21" s="1566">
        <f>F21</f>
        <v>100</v>
      </c>
      <c r="T21" s="1565" t="s">
        <v>8</v>
      </c>
      <c r="U21" s="1566">
        <f>H21</f>
        <v>100</v>
      </c>
      <c r="V21" s="1565" t="s">
        <v>8</v>
      </c>
      <c r="W21" s="1566">
        <f>J21</f>
        <v>103</v>
      </c>
      <c r="X21" s="1559"/>
      <c r="Y21" s="3746"/>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46"/>
      <c r="Q22" s="1564"/>
      <c r="R22" s="1565"/>
      <c r="S22" s="1566"/>
      <c r="T22" s="1565"/>
      <c r="U22" s="1566"/>
      <c r="V22" s="1565"/>
      <c r="W22" s="1566"/>
      <c r="X22" s="1559"/>
      <c r="Y22" s="374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3411</v>
      </c>
      <c r="F23" s="559">
        <f>SUMIF(96:96,E24,97:97)-SUMIF(96:96,C24,97:97)+100</f>
        <v>105</v>
      </c>
      <c r="G23" s="3498" t="s">
        <v>3427</v>
      </c>
      <c r="H23" s="553">
        <f>SUMIF(96:96,G24,97:97)-SUMIF(96:96,C24,97:97)+100</f>
        <v>110</v>
      </c>
      <c r="I23" s="3498" t="s">
        <v>3427</v>
      </c>
      <c r="J23" s="553">
        <f>SUMIF(96:96,I24,97:97)-SUMIF(96:96,C24,97:97)+100</f>
        <v>110</v>
      </c>
      <c r="K23" s="529">
        <v>5</v>
      </c>
      <c r="L23" s="2135"/>
      <c r="M23" s="2125"/>
      <c r="N23" s="2125"/>
      <c r="O23" s="2134"/>
      <c r="P23" s="3746"/>
      <c r="Q23" s="1564" t="str">
        <f>B23</f>
        <v>交通便捷度</v>
      </c>
      <c r="R23" s="1565" t="s">
        <v>8</v>
      </c>
      <c r="S23" s="1566">
        <f>F23</f>
        <v>105</v>
      </c>
      <c r="T23" s="1565" t="s">
        <v>8</v>
      </c>
      <c r="U23" s="1566">
        <f>H23</f>
        <v>110</v>
      </c>
      <c r="V23" s="1565" t="s">
        <v>8</v>
      </c>
      <c r="W23" s="1566">
        <f>J23</f>
        <v>110</v>
      </c>
      <c r="X23" s="1559"/>
      <c r="Y23" s="3746"/>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3413</v>
      </c>
      <c r="H24" s="549"/>
      <c r="I24" s="548" t="s">
        <v>3413</v>
      </c>
      <c r="J24" s="549"/>
      <c r="K24" s="525"/>
      <c r="L24" s="2135"/>
      <c r="M24" s="2125"/>
      <c r="N24" s="2125"/>
      <c r="O24" s="2134"/>
      <c r="P24" s="3746"/>
      <c r="Q24" s="1564"/>
      <c r="R24" s="1565"/>
      <c r="S24" s="1566"/>
      <c r="T24" s="1565"/>
      <c r="U24" s="1566"/>
      <c r="V24" s="1565"/>
      <c r="W24" s="1566"/>
      <c r="X24" s="1559"/>
      <c r="Y24" s="374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46"/>
      <c r="Q25" s="1564" t="str">
        <f t="shared" ref="Q25:Q39" si="8">B25</f>
        <v>区域土地利用方向</v>
      </c>
      <c r="R25" s="1565" t="s">
        <v>8</v>
      </c>
      <c r="S25" s="1566">
        <f>F25</f>
        <v>100</v>
      </c>
      <c r="T25" s="1565" t="s">
        <v>8</v>
      </c>
      <c r="U25" s="1566">
        <f>H25</f>
        <v>100</v>
      </c>
      <c r="V25" s="1565" t="s">
        <v>8</v>
      </c>
      <c r="W25" s="1566">
        <f>J25</f>
        <v>100</v>
      </c>
      <c r="X25" s="1559"/>
      <c r="Y25" s="374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46"/>
      <c r="Q26" s="1564"/>
      <c r="R26" s="1565"/>
      <c r="S26" s="1566"/>
      <c r="T26" s="1565"/>
      <c r="U26" s="1566"/>
      <c r="V26" s="1565"/>
      <c r="W26" s="1566"/>
      <c r="X26" s="1559"/>
      <c r="Y26" s="374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3412</v>
      </c>
      <c r="F27" s="553">
        <f>SUMIF(100:100,E28,101:101)-SUMIF(100:100,C28,101:101)+100</f>
        <v>99</v>
      </c>
      <c r="G27" s="3498" t="s">
        <v>3400</v>
      </c>
      <c r="H27" s="553">
        <f>SUMIF(100:100,G28,101:101)-SUMIF(100:100,C28,101:101)+100</f>
        <v>100</v>
      </c>
      <c r="I27" s="3498" t="s">
        <v>3400</v>
      </c>
      <c r="J27" s="553">
        <f>SUMIF(100:100,I28,101:101)-SUMIF(100:100,C28,101:101)+100</f>
        <v>100</v>
      </c>
      <c r="K27" s="529">
        <v>1</v>
      </c>
      <c r="L27" s="2135"/>
      <c r="M27" s="2125"/>
      <c r="N27" s="2125"/>
      <c r="O27" s="2134"/>
      <c r="P27" s="3746"/>
      <c r="Q27" s="1564" t="str">
        <f t="shared" si="8"/>
        <v>自然及人文环境状况</v>
      </c>
      <c r="R27" s="1565" t="s">
        <v>8</v>
      </c>
      <c r="S27" s="1566">
        <f>F27</f>
        <v>99</v>
      </c>
      <c r="T27" s="1565" t="s">
        <v>8</v>
      </c>
      <c r="U27" s="1566">
        <f>H27</f>
        <v>100</v>
      </c>
      <c r="V27" s="1565" t="s">
        <v>8</v>
      </c>
      <c r="W27" s="1566">
        <f>J27</f>
        <v>100</v>
      </c>
      <c r="X27" s="1559"/>
      <c r="Y27" s="3746"/>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46"/>
      <c r="Q28" s="1564"/>
      <c r="R28" s="1565"/>
      <c r="S28" s="1566"/>
      <c r="T28" s="1565"/>
      <c r="U28" s="1566"/>
      <c r="V28" s="1565"/>
      <c r="W28" s="1566"/>
      <c r="X28" s="1559"/>
      <c r="Y28" s="374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3428</v>
      </c>
      <c r="H29" s="553">
        <f>SUMIF(102:102,G30,103:103)-SUMIF(102:102,C30,103:103)+100</f>
        <v>101</v>
      </c>
      <c r="I29" s="3498" t="s">
        <v>3428</v>
      </c>
      <c r="J29" s="553">
        <f>SUMIF(102:102,I30,103:103)-SUMIF(102:102,C30,103:103)+100</f>
        <v>101</v>
      </c>
      <c r="K29" s="529">
        <v>1</v>
      </c>
      <c r="L29" s="2128"/>
      <c r="M29" s="2125"/>
      <c r="N29" s="2125"/>
      <c r="O29" s="2130"/>
      <c r="P29" s="3746"/>
      <c r="Q29" s="1145" t="str">
        <f t="shared" si="8"/>
        <v>公共配套设施</v>
      </c>
      <c r="R29" s="1560" t="s">
        <v>8</v>
      </c>
      <c r="S29" s="1561">
        <f>F29</f>
        <v>100</v>
      </c>
      <c r="T29" s="1560" t="s">
        <v>8</v>
      </c>
      <c r="U29" s="1561">
        <f>H29</f>
        <v>101</v>
      </c>
      <c r="V29" s="1560" t="s">
        <v>8</v>
      </c>
      <c r="W29" s="1561">
        <f>J29</f>
        <v>101</v>
      </c>
      <c r="X29" s="1562"/>
      <c r="Y29" s="3746"/>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46"/>
      <c r="Q30" s="1145"/>
      <c r="R30" s="1560"/>
      <c r="S30" s="1561"/>
      <c r="T30" s="1560"/>
      <c r="U30" s="1561"/>
      <c r="V30" s="1560"/>
      <c r="W30" s="1561"/>
      <c r="X30" s="1562"/>
      <c r="Y30" s="374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46"/>
      <c r="Q31" s="2595" t="str">
        <f t="shared" ref="Q31" si="9">B31</f>
        <v>基础设施水平</v>
      </c>
      <c r="R31" s="1560" t="s">
        <v>8</v>
      </c>
      <c r="S31" s="1561">
        <f>F31</f>
        <v>100</v>
      </c>
      <c r="T31" s="1560" t="s">
        <v>8</v>
      </c>
      <c r="U31" s="1561">
        <f>H31</f>
        <v>100</v>
      </c>
      <c r="V31" s="1560" t="s">
        <v>8</v>
      </c>
      <c r="W31" s="1561">
        <f>J31</f>
        <v>100</v>
      </c>
      <c r="X31" s="1562"/>
      <c r="Y31" s="374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46"/>
      <c r="Q32" s="2595"/>
      <c r="R32" s="1560"/>
      <c r="S32" s="1561"/>
      <c r="T32" s="1560"/>
      <c r="U32" s="1561"/>
      <c r="V32" s="1560"/>
      <c r="W32" s="1561"/>
      <c r="X32" s="1562"/>
      <c r="Y32" s="374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4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4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3407</v>
      </c>
      <c r="F34" s="553">
        <f>SUMIF(108:108,E35,109:109)-SUMIF(108:108,C35,109:109)+100</f>
        <v>102</v>
      </c>
      <c r="G34" s="3499" t="s">
        <v>3429</v>
      </c>
      <c r="H34" s="553">
        <f>SUMIF(108:108,G35,109:109)-SUMIF(108:108,C35,109:109)+100</f>
        <v>100</v>
      </c>
      <c r="I34" s="3498" t="s">
        <v>3430</v>
      </c>
      <c r="J34" s="553">
        <f>SUMIF(108:108,I35,109:109)-SUMIF(108:108,C35,109:109)+100</f>
        <v>101</v>
      </c>
      <c r="K34" s="529">
        <v>1</v>
      </c>
      <c r="L34" s="2135"/>
      <c r="M34" s="2125"/>
      <c r="N34" s="2125"/>
      <c r="O34" s="2134"/>
      <c r="P34" s="3746"/>
      <c r="Q34" s="1564" t="str">
        <f t="shared" si="8"/>
        <v>毗邻道路的类型与等级</v>
      </c>
      <c r="R34" s="1565" t="s">
        <v>8</v>
      </c>
      <c r="S34" s="1566">
        <f t="shared" si="10"/>
        <v>102</v>
      </c>
      <c r="T34" s="1565" t="s">
        <v>8</v>
      </c>
      <c r="U34" s="1566">
        <f t="shared" si="11"/>
        <v>100</v>
      </c>
      <c r="V34" s="1565" t="s">
        <v>8</v>
      </c>
      <c r="W34" s="1566">
        <f t="shared" si="12"/>
        <v>101</v>
      </c>
      <c r="X34" s="1559"/>
      <c r="Y34" s="3746"/>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3408</v>
      </c>
      <c r="F35" s="549"/>
      <c r="G35" s="570" t="s">
        <v>3244</v>
      </c>
      <c r="H35" s="549"/>
      <c r="I35" s="570" t="s">
        <v>3414</v>
      </c>
      <c r="J35" s="549"/>
      <c r="K35" s="575"/>
      <c r="L35" s="2135"/>
      <c r="M35" s="2125"/>
      <c r="N35" s="2125"/>
      <c r="O35" s="2134"/>
      <c r="P35" s="3746"/>
      <c r="Q35" s="1564"/>
      <c r="R35" s="1565"/>
      <c r="S35" s="1566"/>
      <c r="T35" s="1565"/>
      <c r="U35" s="1566"/>
      <c r="V35" s="1565"/>
      <c r="W35" s="1566"/>
      <c r="X35" s="1559"/>
      <c r="Y35" s="374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46"/>
      <c r="Q36" s="1564" t="str">
        <f t="shared" si="8"/>
        <v>土地级别</v>
      </c>
      <c r="R36" s="1565" t="s">
        <v>8</v>
      </c>
      <c r="S36" s="1566">
        <f t="shared" si="10"/>
        <v>100</v>
      </c>
      <c r="T36" s="1565" t="s">
        <v>8</v>
      </c>
      <c r="U36" s="1566">
        <f t="shared" si="11"/>
        <v>100</v>
      </c>
      <c r="V36" s="1565" t="s">
        <v>8</v>
      </c>
      <c r="W36" s="1566">
        <f t="shared" si="12"/>
        <v>100</v>
      </c>
      <c r="X36" s="1559"/>
      <c r="Y36" s="374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46"/>
      <c r="Q37" s="1564">
        <f t="shared" si="8"/>
        <v>111</v>
      </c>
      <c r="R37" s="1565" t="s">
        <v>8</v>
      </c>
      <c r="S37" s="1566">
        <f t="shared" si="10"/>
        <v>100</v>
      </c>
      <c r="T37" s="1565" t="s">
        <v>8</v>
      </c>
      <c r="U37" s="1566">
        <f t="shared" si="11"/>
        <v>100</v>
      </c>
      <c r="V37" s="1565" t="s">
        <v>8</v>
      </c>
      <c r="W37" s="1566">
        <f t="shared" si="12"/>
        <v>100</v>
      </c>
      <c r="X37" s="1559"/>
      <c r="Y37" s="374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47" t="s">
        <v>516</v>
      </c>
      <c r="Q38" s="1564">
        <f t="shared" si="8"/>
        <v>111</v>
      </c>
      <c r="R38" s="1565" t="s">
        <v>8</v>
      </c>
      <c r="S38" s="1566">
        <f t="shared" si="10"/>
        <v>100</v>
      </c>
      <c r="T38" s="1565" t="s">
        <v>8</v>
      </c>
      <c r="U38" s="1566">
        <f t="shared" si="11"/>
        <v>100</v>
      </c>
      <c r="V38" s="1565" t="s">
        <v>8</v>
      </c>
      <c r="W38" s="1566">
        <f t="shared" si="12"/>
        <v>100</v>
      </c>
      <c r="X38" s="1559"/>
      <c r="Y38" s="374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48"/>
      <c r="Q39" s="1564">
        <f t="shared" si="8"/>
        <v>111</v>
      </c>
      <c r="R39" s="1569" t="s">
        <v>8</v>
      </c>
      <c r="S39" s="1570">
        <f t="shared" si="10"/>
        <v>100</v>
      </c>
      <c r="T39" s="1569" t="s">
        <v>8</v>
      </c>
      <c r="U39" s="1570">
        <f t="shared" si="11"/>
        <v>100</v>
      </c>
      <c r="V39" s="1569" t="s">
        <v>8</v>
      </c>
      <c r="W39" s="1570">
        <f t="shared" si="12"/>
        <v>100</v>
      </c>
      <c r="X39" s="1571"/>
      <c r="Y39" s="374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48"/>
      <c r="Q40" s="1564" t="str">
        <f>B40</f>
        <v>宗地面积</v>
      </c>
      <c r="R40" s="1565" t="s">
        <v>8</v>
      </c>
      <c r="S40" s="1566">
        <f t="shared" si="10"/>
        <v>102</v>
      </c>
      <c r="T40" s="1565" t="s">
        <v>8</v>
      </c>
      <c r="U40" s="1566">
        <f t="shared" si="11"/>
        <v>101</v>
      </c>
      <c r="V40" s="1565" t="s">
        <v>8</v>
      </c>
      <c r="W40" s="1566">
        <f t="shared" si="12"/>
        <v>103</v>
      </c>
      <c r="X40" s="1559"/>
      <c r="Y40" s="3748"/>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48"/>
      <c r="Q41" s="1564" t="str">
        <f t="shared" ref="Q41:Q47" si="14">B41</f>
        <v>宗地形状</v>
      </c>
      <c r="R41" s="1565" t="s">
        <v>8</v>
      </c>
      <c r="S41" s="1566">
        <f t="shared" si="10"/>
        <v>100</v>
      </c>
      <c r="T41" s="1565" t="s">
        <v>8</v>
      </c>
      <c r="U41" s="1566">
        <f t="shared" si="11"/>
        <v>100</v>
      </c>
      <c r="V41" s="1565" t="s">
        <v>8</v>
      </c>
      <c r="W41" s="1566">
        <f t="shared" si="12"/>
        <v>100</v>
      </c>
      <c r="X41" s="1559"/>
      <c r="Y41" s="374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48"/>
      <c r="Q42" s="1564" t="str">
        <f t="shared" si="14"/>
        <v>临街宽度及深度</v>
      </c>
      <c r="R42" s="1565" t="s">
        <v>8</v>
      </c>
      <c r="S42" s="1566">
        <f t="shared" si="10"/>
        <v>100</v>
      </c>
      <c r="T42" s="1565" t="s">
        <v>8</v>
      </c>
      <c r="U42" s="1566">
        <f t="shared" si="11"/>
        <v>100</v>
      </c>
      <c r="V42" s="1565" t="s">
        <v>8</v>
      </c>
      <c r="W42" s="1566">
        <f t="shared" si="12"/>
        <v>100</v>
      </c>
      <c r="X42" s="1559"/>
      <c r="Y42" s="374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48"/>
      <c r="Q43" s="1564" t="str">
        <f t="shared" si="14"/>
        <v>宗地开发程度</v>
      </c>
      <c r="R43" s="1560" t="s">
        <v>8</v>
      </c>
      <c r="S43" s="1561">
        <f t="shared" si="10"/>
        <v>100</v>
      </c>
      <c r="T43" s="1560" t="s">
        <v>8</v>
      </c>
      <c r="U43" s="1561">
        <f t="shared" si="11"/>
        <v>100</v>
      </c>
      <c r="V43" s="1560" t="s">
        <v>8</v>
      </c>
      <c r="W43" s="1561">
        <f t="shared" si="12"/>
        <v>100</v>
      </c>
      <c r="X43" s="1562"/>
      <c r="Y43" s="3748"/>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48" t="s">
        <v>516</v>
      </c>
      <c r="Q44" s="1564" t="str">
        <f t="shared" si="14"/>
        <v>工程地质条件</v>
      </c>
      <c r="R44" s="1565" t="s">
        <v>8</v>
      </c>
      <c r="S44" s="1566">
        <f t="shared" si="10"/>
        <v>100</v>
      </c>
      <c r="T44" s="1565" t="s">
        <v>8</v>
      </c>
      <c r="U44" s="1566">
        <f t="shared" si="11"/>
        <v>100</v>
      </c>
      <c r="V44" s="1565" t="s">
        <v>8</v>
      </c>
      <c r="W44" s="1566">
        <f t="shared" si="12"/>
        <v>100</v>
      </c>
      <c r="X44" s="1559"/>
      <c r="Y44" s="374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48"/>
      <c r="Q45" s="1564">
        <f t="shared" si="14"/>
        <v>111</v>
      </c>
      <c r="R45" s="1565" t="s">
        <v>8</v>
      </c>
      <c r="S45" s="1566">
        <f t="shared" si="10"/>
        <v>100</v>
      </c>
      <c r="T45" s="1565" t="s">
        <v>8</v>
      </c>
      <c r="U45" s="1566">
        <f t="shared" si="11"/>
        <v>100</v>
      </c>
      <c r="V45" s="1565" t="s">
        <v>8</v>
      </c>
      <c r="W45" s="1566">
        <f t="shared" si="12"/>
        <v>100</v>
      </c>
      <c r="X45" s="1559"/>
      <c r="Y45" s="374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48"/>
      <c r="Q46" s="1564">
        <f t="shared" si="14"/>
        <v>111</v>
      </c>
      <c r="R46" s="1565" t="s">
        <v>8</v>
      </c>
      <c r="S46" s="1566">
        <f t="shared" si="10"/>
        <v>100</v>
      </c>
      <c r="T46" s="1565" t="s">
        <v>8</v>
      </c>
      <c r="U46" s="1566">
        <f t="shared" si="11"/>
        <v>100</v>
      </c>
      <c r="V46" s="1565" t="s">
        <v>8</v>
      </c>
      <c r="W46" s="1566">
        <f t="shared" si="12"/>
        <v>100</v>
      </c>
      <c r="X46" s="1559"/>
      <c r="Y46" s="374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48"/>
      <c r="Q47" s="1564">
        <f t="shared" si="14"/>
        <v>111</v>
      </c>
      <c r="R47" s="1569" t="s">
        <v>8</v>
      </c>
      <c r="S47" s="1570">
        <f t="shared" si="10"/>
        <v>100</v>
      </c>
      <c r="T47" s="1569" t="s">
        <v>8</v>
      </c>
      <c r="U47" s="1570">
        <f t="shared" si="11"/>
        <v>100</v>
      </c>
      <c r="V47" s="1569" t="s">
        <v>8</v>
      </c>
      <c r="W47" s="1570">
        <f t="shared" si="12"/>
        <v>100</v>
      </c>
      <c r="X47" s="1571"/>
      <c r="Y47" s="3748"/>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10" t="str">
        <f>A48</f>
        <v>成交单价</v>
      </c>
      <c r="Q48" s="3710"/>
      <c r="R48" s="3711">
        <f>E48</f>
        <v>14776</v>
      </c>
      <c r="S48" s="3711"/>
      <c r="T48" s="3711">
        <f>G48</f>
        <v>17967</v>
      </c>
      <c r="U48" s="3711"/>
      <c r="V48" s="3711">
        <f>I48</f>
        <v>18304</v>
      </c>
      <c r="W48" s="3711"/>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10" t="str">
        <f>A49</f>
        <v>比较价格（元/平方米）</v>
      </c>
      <c r="Q49" s="3710"/>
      <c r="R49" s="3712">
        <f>ROUND(PRODUCT(R48,AA9:AA47),0)</f>
        <v>13022</v>
      </c>
      <c r="S49" s="3712"/>
      <c r="T49" s="3712">
        <f>ROUND(PRODUCT(T48,AB9:AB47),0)</f>
        <v>13848</v>
      </c>
      <c r="U49" s="3712"/>
      <c r="V49" s="3712">
        <f>ROUND(PRODUCT(V48,AC9:AC47),0)</f>
        <v>14222</v>
      </c>
      <c r="W49" s="3712"/>
      <c r="X49" s="1551"/>
      <c r="Y49" s="1551"/>
      <c r="Z49" s="1551"/>
      <c r="AA49" s="1551"/>
      <c r="AB49" s="1551"/>
      <c r="AC49" s="1551"/>
    </row>
    <row r="50" spans="1:29" ht="21" thickBot="1">
      <c r="A50" s="615" t="s">
        <v>3402</v>
      </c>
      <c r="B50" s="616"/>
      <c r="C50" s="617">
        <f>R50</f>
        <v>13697</v>
      </c>
      <c r="D50" s="617"/>
      <c r="E50" s="617"/>
      <c r="F50" s="617"/>
      <c r="G50" s="617"/>
      <c r="H50" s="617"/>
      <c r="I50" s="617"/>
      <c r="J50" s="617"/>
      <c r="K50" s="1336"/>
      <c r="L50" s="2137"/>
      <c r="M50" s="2125"/>
      <c r="N50" s="2125"/>
      <c r="O50" s="2138"/>
      <c r="P50" s="3707" t="str">
        <f>A50</f>
        <v>估价对象住宅用房的比较价格（楼面单价，元/平方米）</v>
      </c>
      <c r="Q50" s="3708"/>
      <c r="R50" s="3709">
        <f>ROUND(AVERAGE(R49:V49),0)</f>
        <v>13697</v>
      </c>
      <c r="S50" s="3709"/>
      <c r="T50" s="3709"/>
      <c r="U50" s="3709"/>
      <c r="V50" s="3709"/>
      <c r="W50" s="3709"/>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37" t="s">
        <v>2243</v>
      </c>
      <c r="H57" s="373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39"/>
      <c r="H58" s="374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4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4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4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4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F31" sqref="F31"/>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50403</v>
      </c>
      <c r="C2" s="2097"/>
      <c r="D2" s="2097"/>
      <c r="E2" s="2097"/>
      <c r="F2" s="2097"/>
      <c r="G2" s="2097"/>
      <c r="H2" s="2097"/>
      <c r="I2" s="2097"/>
      <c r="J2" s="2097"/>
      <c r="K2" s="2097"/>
    </row>
    <row r="3" spans="1:31" s="2034" customFormat="1" ht="18" customHeight="1">
      <c r="A3" s="2099" t="s">
        <v>1647</v>
      </c>
      <c r="B3" s="2100">
        <f ca="1">ROUND(B2*10000/IF(B1="",'数据-汇总表'!E3,INDIRECT("'数据-取费表'!K"&amp;$K$1)),0)</f>
        <v>6286</v>
      </c>
      <c r="C3" s="2097"/>
      <c r="D3" s="2097"/>
      <c r="E3" s="2097"/>
      <c r="F3" s="2097"/>
      <c r="G3" s="2097"/>
      <c r="H3" s="2097"/>
      <c r="I3" s="2097"/>
      <c r="J3" s="2097"/>
      <c r="K3" s="2097"/>
    </row>
    <row r="4" spans="1:31" s="2034" customFormat="1" ht="18" customHeight="1">
      <c r="A4" s="420" t="s">
        <v>433</v>
      </c>
      <c r="B4" s="421">
        <f ca="1">ROUND(B2*10000/IF(B1="",'数据-汇总表'!D3,INDIRECT("'数据-取费表'!R"&amp;$K$1)),0)</f>
        <v>24777</v>
      </c>
      <c r="C4" s="422"/>
      <c r="D4" s="416"/>
      <c r="E4" s="416"/>
      <c r="F4" s="416"/>
      <c r="G4" s="416"/>
      <c r="H4" s="416"/>
      <c r="I4" s="416"/>
      <c r="J4" s="416"/>
      <c r="K4" s="416"/>
    </row>
    <row r="5" spans="1:31" s="2034" customFormat="1" ht="18" customHeight="1" thickBot="1">
      <c r="A5" s="423"/>
      <c r="B5" s="424">
        <f ca="1">ROUND(B2/(IF(B1="",'数据-汇总表'!D3,INDIRECT("'数据-取费表'!R"&amp;$K$1))/666.67),0)</f>
        <v>1652</v>
      </c>
      <c r="C5" s="425" t="s">
        <v>434</v>
      </c>
      <c r="D5" s="416"/>
      <c r="E5" s="416"/>
      <c r="F5" s="416"/>
      <c r="G5" s="416"/>
      <c r="H5" s="416"/>
      <c r="I5" s="416"/>
      <c r="J5" s="416"/>
      <c r="K5" s="416"/>
    </row>
    <row r="6" spans="1:31" s="2104" customFormat="1" ht="16.5" customHeight="1">
      <c r="A6" s="2846" t="s">
        <v>1805</v>
      </c>
      <c r="B6" s="2847"/>
      <c r="C6" s="2848">
        <f ca="1">SUM(C10:K10)</f>
        <v>98883</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16215</v>
      </c>
      <c r="E8" s="2852">
        <f ca="1">'不动产收益法-酒店'!B3</f>
        <v>9147</v>
      </c>
      <c r="F8" s="2852">
        <f ca="1">'不动产收益法-地下车库'!B3</f>
        <v>1801</v>
      </c>
      <c r="G8" s="2852">
        <f ca="1">'不动产收益法-仓储'!B3</f>
        <v>4751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29687</v>
      </c>
      <c r="E10" s="3042">
        <f ca="1">'不动产收益法-酒店'!B2</f>
        <v>16316</v>
      </c>
      <c r="F10" s="3042">
        <f ca="1">'不动产收益法-地下车库'!B2</f>
        <v>2797</v>
      </c>
      <c r="G10" s="2855">
        <f ca="1">'不动产收益法-仓储'!B2</f>
        <v>1661</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24842</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413</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989</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1375</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1375</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5180</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35509</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35509</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2316</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2316</v>
      </c>
      <c r="D35" s="1621"/>
      <c r="E35" s="2882"/>
      <c r="F35" s="1622"/>
      <c r="G35" s="2840"/>
      <c r="H35" s="2841"/>
      <c r="I35" s="2841"/>
      <c r="J35" s="2841"/>
      <c r="K35" s="2842"/>
    </row>
    <row r="36" spans="1:11" s="2078" customFormat="1" ht="13.5" customHeight="1" thickBot="1">
      <c r="A36" s="279" t="s">
        <v>1807</v>
      </c>
      <c r="B36" s="2844"/>
      <c r="C36" s="2883">
        <f ca="1">ROUND((C6-C30-C33)/(1+D30+D33),0)</f>
        <v>50403</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24842</v>
      </c>
      <c r="D18" s="455"/>
      <c r="E18" s="456"/>
      <c r="F18" s="456"/>
      <c r="G18" s="1321" t="s">
        <v>2395</v>
      </c>
      <c r="H18" s="441"/>
      <c r="I18" s="441"/>
      <c r="J18" s="441"/>
      <c r="K18" s="442"/>
    </row>
    <row r="19" spans="1:14" s="2112" customFormat="1" ht="13.5" customHeight="1">
      <c r="A19" s="1626" t="s">
        <v>1817</v>
      </c>
      <c r="B19" s="453" t="s">
        <v>458</v>
      </c>
      <c r="C19" s="454">
        <f ca="1">ROUND(C18*F19,0)</f>
        <v>373</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1198</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1198</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2017</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2017</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30364</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16" t="s">
        <v>488</v>
      </c>
      <c r="D6" s="3717"/>
      <c r="E6" s="3751" t="s">
        <v>489</v>
      </c>
      <c r="F6" s="3752"/>
      <c r="G6" s="3716" t="s">
        <v>490</v>
      </c>
      <c r="H6" s="3717"/>
      <c r="I6" s="3716" t="s">
        <v>491</v>
      </c>
      <c r="J6" s="3717"/>
      <c r="K6" s="508" t="s">
        <v>492</v>
      </c>
      <c r="L6" s="2126"/>
      <c r="M6" s="2127"/>
      <c r="N6" s="2127"/>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29" ht="15">
      <c r="A7" s="509"/>
      <c r="B7" s="510"/>
      <c r="C7" s="3732" t="s">
        <v>2883</v>
      </c>
      <c r="D7" s="3733"/>
      <c r="E7" s="3753" t="s">
        <v>2884</v>
      </c>
      <c r="F7" s="3754"/>
      <c r="G7" s="3732" t="s">
        <v>2885</v>
      </c>
      <c r="H7" s="3733"/>
      <c r="I7" s="3732" t="s">
        <v>2886</v>
      </c>
      <c r="J7" s="3733"/>
      <c r="K7" s="508"/>
      <c r="L7" s="2126"/>
      <c r="M7" s="2127"/>
      <c r="N7" s="2127"/>
      <c r="O7" s="2127"/>
      <c r="P7" s="3720"/>
      <c r="Q7" s="3721"/>
      <c r="R7" s="3726"/>
      <c r="S7" s="3727"/>
      <c r="T7" s="3726"/>
      <c r="U7" s="3727"/>
      <c r="V7" s="3711"/>
      <c r="W7" s="3711"/>
      <c r="X7" s="1559"/>
      <c r="Y7" s="3726"/>
      <c r="Z7" s="3727"/>
      <c r="AA7" s="3714"/>
      <c r="AB7" s="3714"/>
      <c r="AC7" s="3714"/>
    </row>
    <row r="8" spans="1:29" ht="15.75" thickBot="1">
      <c r="A8" s="511"/>
      <c r="B8" s="512"/>
      <c r="C8" s="3730" t="s">
        <v>2887</v>
      </c>
      <c r="D8" s="3731"/>
      <c r="E8" s="3749" t="s">
        <v>2887</v>
      </c>
      <c r="F8" s="3750"/>
      <c r="G8" s="3730" t="s">
        <v>2887</v>
      </c>
      <c r="H8" s="3731"/>
      <c r="I8" s="3730" t="s">
        <v>2887</v>
      </c>
      <c r="J8" s="3731"/>
      <c r="K8" s="508" t="s">
        <v>494</v>
      </c>
      <c r="L8" s="2126"/>
      <c r="M8" s="2127"/>
      <c r="N8" s="2127"/>
      <c r="O8" s="2127"/>
      <c r="P8" s="3722"/>
      <c r="Q8" s="3723"/>
      <c r="R8" s="3726"/>
      <c r="S8" s="3727"/>
      <c r="T8" s="3728"/>
      <c r="U8" s="3729"/>
      <c r="V8" s="3711"/>
      <c r="W8" s="3711"/>
      <c r="X8" s="1559"/>
      <c r="Y8" s="3728"/>
      <c r="Z8" s="3729"/>
      <c r="AA8" s="3715"/>
      <c r="AB8" s="3715"/>
      <c r="AC8" s="3715"/>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42" t="s">
        <v>496</v>
      </c>
      <c r="Q9" s="3744"/>
      <c r="R9" s="1560" t="s">
        <v>8</v>
      </c>
      <c r="S9" s="1561">
        <f t="shared" ref="S9:S17" si="0">F9</f>
        <v>0</v>
      </c>
      <c r="T9" s="1560" t="s">
        <v>8</v>
      </c>
      <c r="U9" s="1561">
        <f t="shared" ref="U9:U17" si="1">H9</f>
        <v>0</v>
      </c>
      <c r="V9" s="1560" t="s">
        <v>8</v>
      </c>
      <c r="W9" s="1561">
        <f t="shared" ref="W9:W17" si="2">J9</f>
        <v>0</v>
      </c>
      <c r="X9" s="1562"/>
      <c r="Y9" s="3742" t="s">
        <v>496</v>
      </c>
      <c r="Z9" s="3743"/>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42" t="s">
        <v>499</v>
      </c>
      <c r="Q10" s="3743"/>
      <c r="R10" s="1560" t="s">
        <v>8</v>
      </c>
      <c r="S10" s="1561">
        <f t="shared" si="0"/>
        <v>0</v>
      </c>
      <c r="T10" s="1560" t="s">
        <v>8</v>
      </c>
      <c r="U10" s="1561">
        <f t="shared" si="1"/>
        <v>0</v>
      </c>
      <c r="V10" s="1560" t="s">
        <v>8</v>
      </c>
      <c r="W10" s="1561">
        <f t="shared" si="2"/>
        <v>0</v>
      </c>
      <c r="X10" s="1562"/>
      <c r="Y10" s="3742" t="s">
        <v>499</v>
      </c>
      <c r="Z10" s="3743"/>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10"/>
      <c r="Q13" s="1145" t="str">
        <f t="shared" si="6"/>
        <v>容积率</v>
      </c>
      <c r="R13" s="1560" t="s">
        <v>8</v>
      </c>
      <c r="S13" s="1561" t="e">
        <f t="shared" si="0"/>
        <v>#N/A</v>
      </c>
      <c r="T13" s="1560" t="s">
        <v>8</v>
      </c>
      <c r="U13" s="1561" t="e">
        <f t="shared" si="1"/>
        <v>#N/A</v>
      </c>
      <c r="V13" s="1560" t="s">
        <v>8</v>
      </c>
      <c r="W13" s="1561" t="e">
        <f t="shared" si="2"/>
        <v>#N/A</v>
      </c>
      <c r="X13" s="1562"/>
      <c r="Y13" s="3652"/>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45" t="s">
        <v>506</v>
      </c>
      <c r="Q17" s="1564" t="str">
        <f t="shared" si="6"/>
        <v>产业集聚程度</v>
      </c>
      <c r="R17" s="1565" t="s">
        <v>8</v>
      </c>
      <c r="S17" s="1566">
        <f t="shared" si="0"/>
        <v>100</v>
      </c>
      <c r="T17" s="1565" t="s">
        <v>8</v>
      </c>
      <c r="U17" s="1566">
        <f t="shared" si="1"/>
        <v>100</v>
      </c>
      <c r="V17" s="1565" t="s">
        <v>8</v>
      </c>
      <c r="W17" s="1566">
        <f t="shared" si="2"/>
        <v>100</v>
      </c>
      <c r="X17" s="1559"/>
      <c r="Y17" s="374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46"/>
      <c r="Q19" s="1564" t="str">
        <f>B19</f>
        <v>交通便捷度</v>
      </c>
      <c r="R19" s="1565" t="s">
        <v>8</v>
      </c>
      <c r="S19" s="1566">
        <f>F19</f>
        <v>100</v>
      </c>
      <c r="T19" s="1565" t="s">
        <v>8</v>
      </c>
      <c r="U19" s="1566">
        <f>H19</f>
        <v>100</v>
      </c>
      <c r="V19" s="1565" t="s">
        <v>8</v>
      </c>
      <c r="W19" s="1566">
        <f>J19</f>
        <v>100</v>
      </c>
      <c r="X19" s="1559"/>
      <c r="Y19" s="374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46"/>
      <c r="Q20" s="1564"/>
      <c r="R20" s="1565"/>
      <c r="S20" s="1566"/>
      <c r="T20" s="1565"/>
      <c r="U20" s="1566"/>
      <c r="V20" s="1565"/>
      <c r="W20" s="1566"/>
      <c r="X20" s="1559"/>
      <c r="Y20" s="374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46"/>
      <c r="Q21" s="1564" t="str">
        <f t="shared" ref="Q21:Q35" si="8">B21</f>
        <v>区域土地利用方向</v>
      </c>
      <c r="R21" s="1565" t="s">
        <v>8</v>
      </c>
      <c r="S21" s="1566">
        <f>F21</f>
        <v>100</v>
      </c>
      <c r="T21" s="1565" t="s">
        <v>8</v>
      </c>
      <c r="U21" s="1566">
        <f>H21</f>
        <v>100</v>
      </c>
      <c r="V21" s="1565" t="s">
        <v>8</v>
      </c>
      <c r="W21" s="1566">
        <f>J21</f>
        <v>100</v>
      </c>
      <c r="X21" s="1559"/>
      <c r="Y21" s="374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46"/>
      <c r="Q22" s="1564"/>
      <c r="R22" s="1565"/>
      <c r="S22" s="1566"/>
      <c r="T22" s="1565"/>
      <c r="U22" s="1566"/>
      <c r="V22" s="1565"/>
      <c r="W22" s="1566"/>
      <c r="X22" s="1559"/>
      <c r="Y22" s="374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46"/>
      <c r="Q23" s="1564" t="str">
        <f t="shared" si="8"/>
        <v>环境状况</v>
      </c>
      <c r="R23" s="1565" t="s">
        <v>8</v>
      </c>
      <c r="S23" s="1566">
        <f>F23</f>
        <v>100</v>
      </c>
      <c r="T23" s="1565" t="s">
        <v>8</v>
      </c>
      <c r="U23" s="1566">
        <f>H23</f>
        <v>100</v>
      </c>
      <c r="V23" s="1565" t="s">
        <v>8</v>
      </c>
      <c r="W23" s="1566">
        <f>J23</f>
        <v>100</v>
      </c>
      <c r="X23" s="1559"/>
      <c r="Y23" s="374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46"/>
      <c r="Q24" s="1564"/>
      <c r="R24" s="1565"/>
      <c r="S24" s="1566"/>
      <c r="T24" s="1565"/>
      <c r="U24" s="1566"/>
      <c r="V24" s="1565"/>
      <c r="W24" s="1566"/>
      <c r="X24" s="1559"/>
      <c r="Y24" s="374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46"/>
      <c r="Q25" s="1145" t="str">
        <f t="shared" si="8"/>
        <v>公共配套设施</v>
      </c>
      <c r="R25" s="1560" t="s">
        <v>8</v>
      </c>
      <c r="S25" s="1561">
        <f>F25</f>
        <v>100</v>
      </c>
      <c r="T25" s="1560" t="s">
        <v>8</v>
      </c>
      <c r="U25" s="1561">
        <f>H25</f>
        <v>100</v>
      </c>
      <c r="V25" s="1560" t="s">
        <v>8</v>
      </c>
      <c r="W25" s="1561">
        <f>J25</f>
        <v>100</v>
      </c>
      <c r="X25" s="1562"/>
      <c r="Y25" s="374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46"/>
      <c r="Q26" s="1145"/>
      <c r="R26" s="1560"/>
      <c r="S26" s="1561"/>
      <c r="T26" s="1560"/>
      <c r="U26" s="1561"/>
      <c r="V26" s="1560"/>
      <c r="W26" s="1561"/>
      <c r="X26" s="1562"/>
      <c r="Y26" s="374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46"/>
      <c r="Q27" s="2595" t="str">
        <f t="shared" ref="Q27" si="9">B27</f>
        <v>基础设施水平</v>
      </c>
      <c r="R27" s="1560" t="s">
        <v>8</v>
      </c>
      <c r="S27" s="1561">
        <f>F27</f>
        <v>100</v>
      </c>
      <c r="T27" s="1560" t="s">
        <v>8</v>
      </c>
      <c r="U27" s="1561">
        <f>H27</f>
        <v>100</v>
      </c>
      <c r="V27" s="1560" t="s">
        <v>8</v>
      </c>
      <c r="W27" s="1561">
        <f>J27</f>
        <v>100</v>
      </c>
      <c r="X27" s="1562"/>
      <c r="Y27" s="374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46"/>
      <c r="Q28" s="2595"/>
      <c r="R28" s="1560"/>
      <c r="S28" s="1561"/>
      <c r="T28" s="1560"/>
      <c r="U28" s="1561"/>
      <c r="V28" s="1560"/>
      <c r="W28" s="1561"/>
      <c r="X28" s="1562"/>
      <c r="Y28" s="374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4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46"/>
      <c r="Q30" s="1564" t="str">
        <f t="shared" si="8"/>
        <v>毗邻道路的类型与等级</v>
      </c>
      <c r="R30" s="1565" t="s">
        <v>8</v>
      </c>
      <c r="S30" s="1566">
        <f t="shared" si="10"/>
        <v>100</v>
      </c>
      <c r="T30" s="1565" t="s">
        <v>8</v>
      </c>
      <c r="U30" s="1566">
        <f t="shared" si="11"/>
        <v>100</v>
      </c>
      <c r="V30" s="1565" t="s">
        <v>8</v>
      </c>
      <c r="W30" s="1566">
        <f t="shared" si="12"/>
        <v>100</v>
      </c>
      <c r="X30" s="1559"/>
      <c r="Y30" s="374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46"/>
      <c r="Q31" s="1564"/>
      <c r="R31" s="1565"/>
      <c r="S31" s="1566"/>
      <c r="T31" s="1565"/>
      <c r="U31" s="1566"/>
      <c r="V31" s="1565"/>
      <c r="W31" s="1566"/>
      <c r="X31" s="1559"/>
      <c r="Y31" s="374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46"/>
      <c r="Q32" s="1564" t="str">
        <f t="shared" si="8"/>
        <v>土地级别</v>
      </c>
      <c r="R32" s="1565" t="s">
        <v>8</v>
      </c>
      <c r="S32" s="1566">
        <f t="shared" si="10"/>
        <v>100</v>
      </c>
      <c r="T32" s="1565" t="s">
        <v>8</v>
      </c>
      <c r="U32" s="1566">
        <f t="shared" si="11"/>
        <v>100</v>
      </c>
      <c r="V32" s="1565" t="s">
        <v>8</v>
      </c>
      <c r="W32" s="1566">
        <f t="shared" si="12"/>
        <v>100</v>
      </c>
      <c r="X32" s="1559"/>
      <c r="Y32" s="374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46"/>
      <c r="Q33" s="1564">
        <f t="shared" si="8"/>
        <v>111</v>
      </c>
      <c r="R33" s="1565" t="s">
        <v>8</v>
      </c>
      <c r="S33" s="1566">
        <f t="shared" si="10"/>
        <v>100</v>
      </c>
      <c r="T33" s="1565" t="s">
        <v>8</v>
      </c>
      <c r="U33" s="1566">
        <f t="shared" si="11"/>
        <v>100</v>
      </c>
      <c r="V33" s="1565" t="s">
        <v>8</v>
      </c>
      <c r="W33" s="1566">
        <f t="shared" si="12"/>
        <v>100</v>
      </c>
      <c r="X33" s="1559"/>
      <c r="Y33" s="374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47" t="s">
        <v>516</v>
      </c>
      <c r="Q34" s="1564">
        <f t="shared" si="8"/>
        <v>111</v>
      </c>
      <c r="R34" s="1565" t="s">
        <v>8</v>
      </c>
      <c r="S34" s="1566">
        <f t="shared" si="10"/>
        <v>100</v>
      </c>
      <c r="T34" s="1565" t="s">
        <v>8</v>
      </c>
      <c r="U34" s="1566">
        <f t="shared" si="11"/>
        <v>100</v>
      </c>
      <c r="V34" s="1565" t="s">
        <v>8</v>
      </c>
      <c r="W34" s="1566">
        <f t="shared" si="12"/>
        <v>100</v>
      </c>
      <c r="X34" s="1559"/>
      <c r="Y34" s="374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48"/>
      <c r="Q35" s="1564">
        <f t="shared" si="8"/>
        <v>111</v>
      </c>
      <c r="R35" s="1569" t="s">
        <v>8</v>
      </c>
      <c r="S35" s="1570">
        <f t="shared" si="10"/>
        <v>100</v>
      </c>
      <c r="T35" s="1569" t="s">
        <v>8</v>
      </c>
      <c r="U35" s="1570">
        <f t="shared" si="11"/>
        <v>100</v>
      </c>
      <c r="V35" s="1569" t="s">
        <v>8</v>
      </c>
      <c r="W35" s="1570">
        <f t="shared" si="12"/>
        <v>100</v>
      </c>
      <c r="X35" s="1571"/>
      <c r="Y35" s="374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48"/>
      <c r="Q36" s="1564" t="str">
        <f>B36</f>
        <v>宗地面积</v>
      </c>
      <c r="R36" s="1565" t="s">
        <v>8</v>
      </c>
      <c r="S36" s="1566" t="e">
        <f t="shared" si="10"/>
        <v>#N/A</v>
      </c>
      <c r="T36" s="1565" t="s">
        <v>8</v>
      </c>
      <c r="U36" s="1566" t="e">
        <f t="shared" si="11"/>
        <v>#N/A</v>
      </c>
      <c r="V36" s="1565" t="s">
        <v>8</v>
      </c>
      <c r="W36" s="1566" t="e">
        <f t="shared" si="12"/>
        <v>#N/A</v>
      </c>
      <c r="X36" s="1559"/>
      <c r="Y36" s="374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48"/>
      <c r="Q37" s="1564" t="str">
        <f t="shared" ref="Q37:Q42" si="14">B37</f>
        <v>宗地形状</v>
      </c>
      <c r="R37" s="1565" t="s">
        <v>8</v>
      </c>
      <c r="S37" s="1566">
        <f t="shared" si="10"/>
        <v>100</v>
      </c>
      <c r="T37" s="1565" t="s">
        <v>8</v>
      </c>
      <c r="U37" s="1566">
        <f t="shared" si="11"/>
        <v>100</v>
      </c>
      <c r="V37" s="1565" t="s">
        <v>8</v>
      </c>
      <c r="W37" s="1566">
        <f t="shared" si="12"/>
        <v>100</v>
      </c>
      <c r="X37" s="1559"/>
      <c r="Y37" s="374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48"/>
      <c r="Q38" s="1564" t="str">
        <f t="shared" si="14"/>
        <v>宗地开发程度</v>
      </c>
      <c r="R38" s="1560" t="s">
        <v>8</v>
      </c>
      <c r="S38" s="1561">
        <f t="shared" si="10"/>
        <v>100</v>
      </c>
      <c r="T38" s="1560" t="s">
        <v>8</v>
      </c>
      <c r="U38" s="1561">
        <f t="shared" si="11"/>
        <v>100</v>
      </c>
      <c r="V38" s="1560" t="s">
        <v>8</v>
      </c>
      <c r="W38" s="1561">
        <f t="shared" si="12"/>
        <v>100</v>
      </c>
      <c r="X38" s="1562"/>
      <c r="Y38" s="374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t="s">
        <v>567</v>
      </c>
      <c r="Q39" s="1564" t="str">
        <f t="shared" si="14"/>
        <v>工程地质条件</v>
      </c>
      <c r="R39" s="1565" t="s">
        <v>8</v>
      </c>
      <c r="S39" s="1566">
        <f t="shared" si="10"/>
        <v>100</v>
      </c>
      <c r="T39" s="1565" t="s">
        <v>8</v>
      </c>
      <c r="U39" s="1566">
        <f t="shared" si="11"/>
        <v>100</v>
      </c>
      <c r="V39" s="1565" t="s">
        <v>8</v>
      </c>
      <c r="W39" s="1566">
        <f t="shared" si="12"/>
        <v>100</v>
      </c>
      <c r="X39" s="1559"/>
      <c r="Y39" s="374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48"/>
      <c r="Q40" s="1564">
        <f t="shared" si="14"/>
        <v>111</v>
      </c>
      <c r="R40" s="1565" t="s">
        <v>8</v>
      </c>
      <c r="S40" s="1566">
        <f t="shared" si="10"/>
        <v>100</v>
      </c>
      <c r="T40" s="1565" t="s">
        <v>8</v>
      </c>
      <c r="U40" s="1566">
        <f t="shared" si="11"/>
        <v>100</v>
      </c>
      <c r="V40" s="1565" t="s">
        <v>8</v>
      </c>
      <c r="W40" s="1566">
        <f t="shared" si="12"/>
        <v>100</v>
      </c>
      <c r="X40" s="1559"/>
      <c r="Y40" s="374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48"/>
      <c r="Q41" s="1564">
        <f t="shared" si="14"/>
        <v>111</v>
      </c>
      <c r="R41" s="1565" t="s">
        <v>8</v>
      </c>
      <c r="S41" s="1566">
        <f t="shared" si="10"/>
        <v>100</v>
      </c>
      <c r="T41" s="1565" t="s">
        <v>8</v>
      </c>
      <c r="U41" s="1566">
        <f t="shared" si="11"/>
        <v>100</v>
      </c>
      <c r="V41" s="1565" t="s">
        <v>8</v>
      </c>
      <c r="W41" s="1566">
        <f t="shared" si="12"/>
        <v>100</v>
      </c>
      <c r="X41" s="1559"/>
      <c r="Y41" s="374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48"/>
      <c r="Q42" s="1564">
        <f t="shared" si="14"/>
        <v>111</v>
      </c>
      <c r="R42" s="1569" t="s">
        <v>8</v>
      </c>
      <c r="S42" s="1570">
        <f t="shared" si="10"/>
        <v>100</v>
      </c>
      <c r="T42" s="1569" t="s">
        <v>8</v>
      </c>
      <c r="U42" s="1570">
        <f t="shared" si="11"/>
        <v>100</v>
      </c>
      <c r="V42" s="1569" t="s">
        <v>8</v>
      </c>
      <c r="W42" s="1570">
        <f t="shared" si="12"/>
        <v>100</v>
      </c>
      <c r="X42" s="1571"/>
      <c r="Y42" s="374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10" t="str">
        <f>A43</f>
        <v>成交单价</v>
      </c>
      <c r="Q43" s="3710"/>
      <c r="R43" s="3711">
        <f>E43</f>
        <v>0</v>
      </c>
      <c r="S43" s="3711"/>
      <c r="T43" s="3711">
        <f>G43</f>
        <v>0</v>
      </c>
      <c r="U43" s="3711"/>
      <c r="V43" s="3711">
        <f>I43</f>
        <v>0</v>
      </c>
      <c r="W43" s="3711"/>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10" t="str">
        <f>A44</f>
        <v>比较价格（元/平方米）</v>
      </c>
      <c r="Q44" s="3710"/>
      <c r="R44" s="3712" t="e">
        <f>ROUND(PRODUCT(R43,AA9:AA42),0)</f>
        <v>#DIV/0!</v>
      </c>
      <c r="S44" s="3712"/>
      <c r="T44" s="3712" t="e">
        <f>ROUND(PRODUCT(T43,AB9:AB42),0)</f>
        <v>#DIV/0!</v>
      </c>
      <c r="U44" s="3712"/>
      <c r="V44" s="3712" t="e">
        <f>ROUND(PRODUCT(V43,AC9:AC42),0)</f>
        <v>#DIV/0!</v>
      </c>
      <c r="W44" s="3712"/>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07" t="str">
        <f>A45</f>
        <v>估价对象XX用房的比较价格（楼面单价，元/平方米）</v>
      </c>
      <c r="Q45" s="3708"/>
      <c r="R45" s="3709" t="e">
        <f>ROUND(AVERAGE(R44:V44),0)</f>
        <v>#DIV/0!</v>
      </c>
      <c r="S45" s="3709"/>
      <c r="T45" s="3709"/>
      <c r="U45" s="3709"/>
      <c r="V45" s="3709"/>
      <c r="W45" s="3709"/>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5" t="s">
        <v>2246</v>
      </c>
      <c r="H52" s="3756"/>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7"/>
      <c r="H53" s="3758"/>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9"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9"/>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9"/>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9"/>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9"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70"/>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61" t="s">
        <v>2748</v>
      </c>
      <c r="X8" s="3762"/>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70"/>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0"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70"/>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70"/>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0"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9"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0"/>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71"/>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0"/>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71"/>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72"/>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9"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70"/>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75"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76"/>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76"/>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7"/>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73" t="s">
        <v>1600</v>
      </c>
      <c r="B90" s="3773"/>
      <c r="C90" s="3773"/>
      <c r="D90" s="3773"/>
      <c r="E90" s="3773"/>
      <c r="F90" s="3773"/>
      <c r="G90" s="3773"/>
      <c r="H90" s="3773"/>
      <c r="I90" s="3773"/>
      <c r="J90" s="3773"/>
      <c r="K90" s="2467"/>
      <c r="L90" s="2467"/>
      <c r="M90" s="2467"/>
      <c r="N90" s="2467"/>
    </row>
    <row r="91" spans="1:40">
      <c r="A91" s="3774" t="s">
        <v>1410</v>
      </c>
      <c r="B91" s="3774" t="s">
        <v>1601</v>
      </c>
      <c r="C91" s="1134" t="s">
        <v>1602</v>
      </c>
      <c r="D91" s="1135"/>
      <c r="E91" s="1135"/>
      <c r="F91" s="1135"/>
      <c r="G91" s="1135"/>
      <c r="H91" s="1135"/>
      <c r="I91" s="1135"/>
      <c r="J91" s="1136"/>
      <c r="K91" s="1128"/>
      <c r="L91" s="1128"/>
      <c r="M91" s="1128"/>
      <c r="N91" s="1128"/>
    </row>
    <row r="92" spans="1:40">
      <c r="A92" s="3774"/>
      <c r="B92" s="3774"/>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63"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6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6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6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6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6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64"/>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6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63"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64"/>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64"/>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64"/>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64"/>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64"/>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64"/>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64"/>
      <c r="B108" s="3766"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65"/>
      <c r="B109" s="3767"/>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8" t="s">
        <v>1606</v>
      </c>
      <c r="B110" s="3768"/>
      <c r="C110" s="3768"/>
      <c r="D110" s="3768"/>
      <c r="E110" s="3768"/>
      <c r="F110" s="3768"/>
      <c r="G110" s="3768"/>
      <c r="H110" s="3768"/>
      <c r="I110" s="3768"/>
      <c r="J110" s="3768"/>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74" t="s">
        <v>974</v>
      </c>
      <c r="B18" s="1148" t="s">
        <v>1413</v>
      </c>
      <c r="C18" s="1125" t="s">
        <v>1414</v>
      </c>
      <c r="D18" s="1126"/>
      <c r="E18" s="1148">
        <v>1</v>
      </c>
      <c r="F18" s="1127" t="s">
        <v>1415</v>
      </c>
      <c r="G18" s="1128"/>
      <c r="H18" s="1099"/>
      <c r="I18" s="1099"/>
    </row>
    <row r="19" spans="1:9" s="1591" customFormat="1" ht="19.5" customHeight="1">
      <c r="A19" s="3774"/>
      <c r="B19" s="3774" t="s">
        <v>1416</v>
      </c>
      <c r="C19" s="1125" t="s">
        <v>1417</v>
      </c>
      <c r="D19" s="1126"/>
      <c r="E19" s="1148">
        <v>0.9</v>
      </c>
      <c r="F19" s="1127" t="s">
        <v>1418</v>
      </c>
      <c r="G19" s="1128"/>
      <c r="H19" s="1099"/>
      <c r="I19" s="1099"/>
    </row>
    <row r="20" spans="1:9" s="1591" customFormat="1" ht="19.5" customHeight="1">
      <c r="A20" s="3774"/>
      <c r="B20" s="3774"/>
      <c r="C20" s="1125" t="s">
        <v>1419</v>
      </c>
      <c r="D20" s="1126"/>
      <c r="E20" s="1148">
        <v>1.1000000000000001</v>
      </c>
      <c r="F20" s="1127" t="s">
        <v>1420</v>
      </c>
      <c r="G20" s="1128"/>
      <c r="H20" s="1099"/>
      <c r="I20" s="1099"/>
    </row>
    <row r="21" spans="1:9" s="1591" customFormat="1" ht="19.5" customHeight="1">
      <c r="A21" s="3774"/>
      <c r="B21" s="3774"/>
      <c r="C21" s="1125" t="s">
        <v>1421</v>
      </c>
      <c r="D21" s="1126"/>
      <c r="E21" s="1148">
        <v>0.8</v>
      </c>
      <c r="F21" s="1127" t="s">
        <v>1422</v>
      </c>
      <c r="G21" s="1128"/>
      <c r="H21" s="1099"/>
      <c r="I21" s="1099"/>
    </row>
    <row r="22" spans="1:9" s="1591" customFormat="1" ht="19.5" customHeight="1">
      <c r="A22" s="3774"/>
      <c r="B22" s="3774"/>
      <c r="C22" s="1125" t="s">
        <v>1423</v>
      </c>
      <c r="D22" s="1126"/>
      <c r="E22" s="1148">
        <v>0.5</v>
      </c>
      <c r="F22" s="1127"/>
      <c r="G22" s="1128"/>
      <c r="H22" s="1099"/>
      <c r="I22" s="1099"/>
    </row>
    <row r="23" spans="1:9" s="1591" customFormat="1" ht="19.5" customHeight="1">
      <c r="A23" s="3774" t="s">
        <v>996</v>
      </c>
      <c r="B23" s="1148" t="s">
        <v>1413</v>
      </c>
      <c r="C23" s="1125" t="s">
        <v>1424</v>
      </c>
      <c r="D23" s="1126"/>
      <c r="E23" s="1148">
        <v>1</v>
      </c>
      <c r="F23" s="1127" t="s">
        <v>1425</v>
      </c>
      <c r="G23" s="1128"/>
      <c r="H23" s="1099"/>
      <c r="I23" s="1099"/>
    </row>
    <row r="24" spans="1:9" s="1591" customFormat="1" ht="19.5" customHeight="1">
      <c r="A24" s="3774"/>
      <c r="B24" s="3774" t="s">
        <v>1416</v>
      </c>
      <c r="C24" s="1125" t="s">
        <v>1426</v>
      </c>
      <c r="D24" s="1126"/>
      <c r="E24" s="1148">
        <v>0.5</v>
      </c>
      <c r="F24" s="1127"/>
      <c r="G24" s="1128"/>
      <c r="H24" s="1099"/>
      <c r="I24" s="1099"/>
    </row>
    <row r="25" spans="1:9" s="1591" customFormat="1" ht="19.5" customHeight="1">
      <c r="A25" s="3774"/>
      <c r="B25" s="3774"/>
      <c r="C25" s="1125" t="s">
        <v>1427</v>
      </c>
      <c r="D25" s="1126"/>
      <c r="E25" s="1148">
        <v>1.1000000000000001</v>
      </c>
      <c r="F25" s="1127"/>
      <c r="G25" s="1128"/>
      <c r="H25" s="1099"/>
      <c r="I25" s="1099"/>
    </row>
    <row r="26" spans="1:9" s="1591" customFormat="1" ht="19.5" customHeight="1">
      <c r="A26" s="3774"/>
      <c r="B26" s="3774"/>
      <c r="C26" s="1125" t="s">
        <v>1428</v>
      </c>
      <c r="D26" s="1126"/>
      <c r="E26" s="1148">
        <v>1.1000000000000001</v>
      </c>
      <c r="F26" s="1127"/>
      <c r="G26" s="1128"/>
      <c r="H26" s="1099"/>
      <c r="I26" s="1099"/>
    </row>
    <row r="27" spans="1:9" s="1591" customFormat="1" ht="19.5" customHeight="1">
      <c r="A27" s="3774"/>
      <c r="B27" s="3774"/>
      <c r="C27" s="1125" t="s">
        <v>1429</v>
      </c>
      <c r="D27" s="1126"/>
      <c r="E27" s="1148">
        <v>0.9</v>
      </c>
      <c r="F27" s="1127" t="s">
        <v>1430</v>
      </c>
      <c r="G27" s="1128"/>
      <c r="H27" s="1099"/>
      <c r="I27" s="1099"/>
    </row>
    <row r="28" spans="1:9" s="1591" customFormat="1" ht="19.5" customHeight="1">
      <c r="A28" s="3774"/>
      <c r="B28" s="3774"/>
      <c r="C28" s="1125" t="s">
        <v>1431</v>
      </c>
      <c r="D28" s="1126"/>
      <c r="E28" s="1148">
        <v>0.9</v>
      </c>
      <c r="F28" s="1127" t="s">
        <v>1432</v>
      </c>
      <c r="G28" s="1128"/>
      <c r="H28" s="1099"/>
      <c r="I28" s="1099"/>
    </row>
    <row r="29" spans="1:9" s="1591" customFormat="1" ht="19.5" customHeight="1">
      <c r="A29" s="3774"/>
      <c r="B29" s="3774"/>
      <c r="C29" s="1125" t="s">
        <v>1433</v>
      </c>
      <c r="D29" s="1126"/>
      <c r="E29" s="1148">
        <v>0.9</v>
      </c>
      <c r="F29" s="1127" t="s">
        <v>1434</v>
      </c>
      <c r="G29" s="1128"/>
      <c r="H29" s="1099"/>
      <c r="I29" s="1099"/>
    </row>
    <row r="30" spans="1:9" s="1591" customFormat="1" ht="19.5" customHeight="1">
      <c r="A30" s="3774"/>
      <c r="B30" s="3774"/>
      <c r="C30" s="1125" t="s">
        <v>1435</v>
      </c>
      <c r="D30" s="1126"/>
      <c r="E30" s="1148">
        <v>0.9</v>
      </c>
      <c r="F30" s="1127" t="s">
        <v>1436</v>
      </c>
      <c r="G30" s="1128"/>
      <c r="H30" s="1099"/>
      <c r="I30" s="1099"/>
    </row>
    <row r="31" spans="1:9" s="1591" customFormat="1" ht="19.5" customHeight="1">
      <c r="A31" s="3774"/>
      <c r="B31" s="3774"/>
      <c r="C31" s="1125" t="s">
        <v>1437</v>
      </c>
      <c r="D31" s="1126"/>
      <c r="E31" s="1148">
        <v>0.8</v>
      </c>
      <c r="F31" s="1127" t="s">
        <v>1438</v>
      </c>
      <c r="G31" s="1128"/>
      <c r="H31" s="1099"/>
      <c r="I31" s="1099"/>
    </row>
    <row r="32" spans="1:9" s="1591" customFormat="1" ht="19.5" customHeight="1">
      <c r="A32" s="3774"/>
      <c r="B32" s="3774"/>
      <c r="C32" s="1125" t="s">
        <v>1439</v>
      </c>
      <c r="D32" s="1126"/>
      <c r="E32" s="1148">
        <v>0.8</v>
      </c>
      <c r="F32" s="1127" t="s">
        <v>1440</v>
      </c>
      <c r="G32" s="1128"/>
      <c r="H32" s="1099"/>
      <c r="I32" s="1099"/>
    </row>
    <row r="33" spans="1:9" s="1591" customFormat="1" ht="19.5" customHeight="1">
      <c r="A33" s="3774" t="s">
        <v>1441</v>
      </c>
      <c r="B33" s="1148" t="s">
        <v>1413</v>
      </c>
      <c r="C33" s="1125" t="s">
        <v>1442</v>
      </c>
      <c r="D33" s="1126"/>
      <c r="E33" s="1148">
        <v>1</v>
      </c>
      <c r="F33" s="1127" t="s">
        <v>1443</v>
      </c>
      <c r="G33" s="1128"/>
      <c r="H33" s="1099"/>
      <c r="I33" s="1099"/>
    </row>
    <row r="34" spans="1:9" s="1591" customFormat="1" ht="19.5" customHeight="1">
      <c r="A34" s="3774"/>
      <c r="B34" s="1148" t="s">
        <v>1416</v>
      </c>
      <c r="C34" s="1125" t="s">
        <v>1444</v>
      </c>
      <c r="D34" s="1126"/>
      <c r="E34" s="1148">
        <v>1.5</v>
      </c>
      <c r="F34" s="1127" t="s">
        <v>1445</v>
      </c>
      <c r="G34" s="1128"/>
      <c r="H34" s="1099"/>
      <c r="I34" s="1099"/>
    </row>
    <row r="35" spans="1:9" s="1591" customFormat="1" ht="19.5" customHeight="1">
      <c r="A35" s="3774" t="s">
        <v>1399</v>
      </c>
      <c r="B35" s="1148" t="s">
        <v>1413</v>
      </c>
      <c r="C35" s="1125" t="s">
        <v>1446</v>
      </c>
      <c r="D35" s="1126"/>
      <c r="E35" s="1148">
        <v>1</v>
      </c>
      <c r="F35" s="1127" t="s">
        <v>1447</v>
      </c>
      <c r="G35" s="1128"/>
      <c r="H35" s="1099"/>
      <c r="I35" s="1099"/>
    </row>
    <row r="36" spans="1:9" s="1591" customFormat="1" ht="19.5" customHeight="1">
      <c r="A36" s="3774"/>
      <c r="B36" s="3774" t="s">
        <v>1416</v>
      </c>
      <c r="C36" s="1125" t="s">
        <v>1448</v>
      </c>
      <c r="D36" s="1126"/>
      <c r="E36" s="1148">
        <v>1</v>
      </c>
      <c r="F36" s="1127" t="s">
        <v>1449</v>
      </c>
      <c r="G36" s="1128"/>
      <c r="H36" s="1099"/>
      <c r="I36" s="1099"/>
    </row>
    <row r="37" spans="1:9" s="1591" customFormat="1" ht="19.5" customHeight="1">
      <c r="A37" s="3774"/>
      <c r="B37" s="3774"/>
      <c r="C37" s="1125" t="s">
        <v>1450</v>
      </c>
      <c r="D37" s="1126"/>
      <c r="E37" s="1148">
        <v>1.5</v>
      </c>
      <c r="F37" s="1127" t="s">
        <v>1451</v>
      </c>
      <c r="G37" s="1128"/>
      <c r="H37" s="1099"/>
      <c r="I37" s="1099"/>
    </row>
    <row r="38" spans="1:9" s="1591" customFormat="1" ht="19.5" customHeight="1">
      <c r="A38" s="3774"/>
      <c r="B38" s="3774"/>
      <c r="C38" s="1125" t="s">
        <v>1452</v>
      </c>
      <c r="D38" s="1126"/>
      <c r="E38" s="1148">
        <v>1</v>
      </c>
      <c r="F38" s="1127" t="s">
        <v>1453</v>
      </c>
      <c r="G38" s="1128"/>
      <c r="H38" s="1099"/>
      <c r="I38" s="1099"/>
    </row>
    <row r="39" spans="1:9" s="1591" customFormat="1" ht="19.5" customHeight="1">
      <c r="A39" s="3774"/>
      <c r="B39" s="3774"/>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74" t="s">
        <v>1468</v>
      </c>
      <c r="C61" s="1062" t="s">
        <v>1469</v>
      </c>
      <c r="D61" s="1062" t="s">
        <v>1470</v>
      </c>
      <c r="E61" s="1133">
        <v>0.5</v>
      </c>
      <c r="F61" s="1148">
        <v>80</v>
      </c>
      <c r="H61" s="1099">
        <f>SUMIF(C59:C119,基准地价!C8,E59:E119)</f>
        <v>0</v>
      </c>
    </row>
    <row r="62" spans="1:8" s="1099" customFormat="1" ht="24">
      <c r="A62" s="1148">
        <v>2</v>
      </c>
      <c r="B62" s="3774"/>
      <c r="C62" s="1062" t="s">
        <v>1471</v>
      </c>
      <c r="D62" s="1062" t="s">
        <v>1472</v>
      </c>
      <c r="E62" s="1133">
        <v>0.5</v>
      </c>
      <c r="F62" s="1148">
        <v>80</v>
      </c>
    </row>
    <row r="63" spans="1:8" s="1099" customFormat="1" ht="36">
      <c r="A63" s="1148">
        <v>3</v>
      </c>
      <c r="B63" s="3774"/>
      <c r="C63" s="1062" t="s">
        <v>1473</v>
      </c>
      <c r="D63" s="1062" t="s">
        <v>1474</v>
      </c>
      <c r="E63" s="1133">
        <v>0.5</v>
      </c>
      <c r="F63" s="1148">
        <v>80</v>
      </c>
    </row>
    <row r="64" spans="1:8" s="1099" customFormat="1" ht="36">
      <c r="A64" s="1148">
        <v>4</v>
      </c>
      <c r="B64" s="3774"/>
      <c r="C64" s="1062" t="s">
        <v>1475</v>
      </c>
      <c r="D64" s="1062" t="s">
        <v>1476</v>
      </c>
      <c r="E64" s="1133">
        <v>0.4</v>
      </c>
      <c r="F64" s="1148">
        <v>60</v>
      </c>
    </row>
    <row r="65" spans="1:6" s="1099" customFormat="1" ht="36">
      <c r="A65" s="1148">
        <v>5</v>
      </c>
      <c r="B65" s="3774"/>
      <c r="C65" s="1062" t="s">
        <v>1477</v>
      </c>
      <c r="D65" s="1062" t="s">
        <v>1478</v>
      </c>
      <c r="E65" s="1133">
        <v>0.2</v>
      </c>
      <c r="F65" s="1148">
        <v>30</v>
      </c>
    </row>
    <row r="66" spans="1:6" s="1099" customFormat="1" ht="36">
      <c r="A66" s="1148">
        <v>6</v>
      </c>
      <c r="B66" s="3774"/>
      <c r="C66" s="1062" t="s">
        <v>1479</v>
      </c>
      <c r="D66" s="1062" t="s">
        <v>1480</v>
      </c>
      <c r="E66" s="1133">
        <v>0.3</v>
      </c>
      <c r="F66" s="1148">
        <v>50</v>
      </c>
    </row>
    <row r="67" spans="1:6" s="1099" customFormat="1" ht="36">
      <c r="A67" s="1148">
        <v>7</v>
      </c>
      <c r="B67" s="3774"/>
      <c r="C67" s="1062" t="s">
        <v>1481</v>
      </c>
      <c r="D67" s="1062" t="s">
        <v>1482</v>
      </c>
      <c r="E67" s="1133">
        <v>0.2</v>
      </c>
      <c r="F67" s="1148">
        <v>30</v>
      </c>
    </row>
    <row r="68" spans="1:6" s="1099" customFormat="1" ht="36">
      <c r="A68" s="1148">
        <v>8</v>
      </c>
      <c r="B68" s="3774"/>
      <c r="C68" s="1062" t="s">
        <v>1483</v>
      </c>
      <c r="D68" s="1062" t="s">
        <v>1484</v>
      </c>
      <c r="E68" s="1133">
        <v>0.2</v>
      </c>
      <c r="F68" s="1148">
        <v>30</v>
      </c>
    </row>
    <row r="69" spans="1:6" s="1099" customFormat="1" ht="36">
      <c r="A69" s="1148">
        <v>9</v>
      </c>
      <c r="B69" s="3774"/>
      <c r="C69" s="1062" t="s">
        <v>1485</v>
      </c>
      <c r="D69" s="1062" t="s">
        <v>1486</v>
      </c>
      <c r="E69" s="1133">
        <v>0.2</v>
      </c>
      <c r="F69" s="1148">
        <v>30</v>
      </c>
    </row>
    <row r="70" spans="1:6" s="1099" customFormat="1" ht="48">
      <c r="A70" s="1148">
        <v>10</v>
      </c>
      <c r="B70" s="3774"/>
      <c r="C70" s="1062" t="s">
        <v>1487</v>
      </c>
      <c r="D70" s="1062" t="s">
        <v>1488</v>
      </c>
      <c r="E70" s="1133">
        <v>0.2</v>
      </c>
      <c r="F70" s="1148">
        <v>30</v>
      </c>
    </row>
    <row r="71" spans="1:6" s="1099" customFormat="1" ht="48">
      <c r="A71" s="1148">
        <v>11</v>
      </c>
      <c r="B71" s="3774"/>
      <c r="C71" s="1062" t="s">
        <v>1489</v>
      </c>
      <c r="D71" s="1062" t="s">
        <v>1490</v>
      </c>
      <c r="E71" s="1133">
        <v>0.2</v>
      </c>
      <c r="F71" s="1148">
        <v>30</v>
      </c>
    </row>
    <row r="72" spans="1:6" s="1099" customFormat="1" ht="36">
      <c r="A72" s="1148">
        <v>12</v>
      </c>
      <c r="B72" s="3774"/>
      <c r="C72" s="1062" t="s">
        <v>1491</v>
      </c>
      <c r="D72" s="1062" t="s">
        <v>1492</v>
      </c>
      <c r="E72" s="1133">
        <v>0.5</v>
      </c>
      <c r="F72" s="1148">
        <v>80</v>
      </c>
    </row>
    <row r="73" spans="1:6" s="1099" customFormat="1" ht="24">
      <c r="A73" s="1148">
        <v>13</v>
      </c>
      <c r="B73" s="3774"/>
      <c r="C73" s="1062" t="s">
        <v>1493</v>
      </c>
      <c r="D73" s="1062" t="s">
        <v>1494</v>
      </c>
      <c r="E73" s="1133">
        <v>0.4</v>
      </c>
      <c r="F73" s="1148">
        <v>60</v>
      </c>
    </row>
    <row r="74" spans="1:6" s="1099" customFormat="1" ht="24">
      <c r="A74" s="1148">
        <v>14</v>
      </c>
      <c r="B74" s="3774"/>
      <c r="C74" s="1062" t="s">
        <v>1495</v>
      </c>
      <c r="D74" s="1062" t="s">
        <v>1496</v>
      </c>
      <c r="E74" s="1133">
        <v>0.2</v>
      </c>
      <c r="F74" s="1148">
        <v>30</v>
      </c>
    </row>
    <row r="75" spans="1:6" s="1099" customFormat="1" ht="24">
      <c r="A75" s="1148">
        <v>15</v>
      </c>
      <c r="B75" s="3774"/>
      <c r="C75" s="1062" t="s">
        <v>1497</v>
      </c>
      <c r="D75" s="1062" t="s">
        <v>1498</v>
      </c>
      <c r="E75" s="1133">
        <v>0.2</v>
      </c>
      <c r="F75" s="1148">
        <v>30</v>
      </c>
    </row>
    <row r="76" spans="1:6" s="1099" customFormat="1" ht="24">
      <c r="A76" s="1148">
        <v>16</v>
      </c>
      <c r="B76" s="3774" t="s">
        <v>1499</v>
      </c>
      <c r="C76" s="1062" t="s">
        <v>1500</v>
      </c>
      <c r="D76" s="1062" t="s">
        <v>1501</v>
      </c>
      <c r="E76" s="1133">
        <v>0.5</v>
      </c>
      <c r="F76" s="1148">
        <v>80</v>
      </c>
    </row>
    <row r="77" spans="1:6" s="1099" customFormat="1" ht="24">
      <c r="A77" s="1148">
        <v>17</v>
      </c>
      <c r="B77" s="3774"/>
      <c r="C77" s="1062" t="s">
        <v>1502</v>
      </c>
      <c r="D77" s="1062" t="s">
        <v>1503</v>
      </c>
      <c r="E77" s="1133">
        <v>0.5</v>
      </c>
      <c r="F77" s="1148">
        <v>80</v>
      </c>
    </row>
    <row r="78" spans="1:6" s="1099" customFormat="1" ht="24">
      <c r="A78" s="1148">
        <v>18</v>
      </c>
      <c r="B78" s="3774"/>
      <c r="C78" s="1062" t="s">
        <v>1504</v>
      </c>
      <c r="D78" s="1062" t="s">
        <v>1505</v>
      </c>
      <c r="E78" s="1133">
        <v>0.2</v>
      </c>
      <c r="F78" s="1148">
        <v>30</v>
      </c>
    </row>
    <row r="79" spans="1:6" s="1099" customFormat="1" ht="24">
      <c r="A79" s="1148">
        <v>19</v>
      </c>
      <c r="B79" s="3774"/>
      <c r="C79" s="1062" t="s">
        <v>1506</v>
      </c>
      <c r="D79" s="1062" t="s">
        <v>1507</v>
      </c>
      <c r="E79" s="1133">
        <v>0.5</v>
      </c>
      <c r="F79" s="1148">
        <v>80</v>
      </c>
    </row>
    <row r="80" spans="1:6" s="1099" customFormat="1" ht="36">
      <c r="A80" s="1148">
        <v>20</v>
      </c>
      <c r="B80" s="3774"/>
      <c r="C80" s="1062" t="s">
        <v>1508</v>
      </c>
      <c r="D80" s="1062" t="s">
        <v>1509</v>
      </c>
      <c r="E80" s="1133">
        <v>0.2</v>
      </c>
      <c r="F80" s="1148">
        <v>30</v>
      </c>
    </row>
    <row r="81" spans="1:6" s="1099" customFormat="1" ht="36">
      <c r="A81" s="1148">
        <v>21</v>
      </c>
      <c r="B81" s="3774"/>
      <c r="C81" s="1062" t="s">
        <v>1510</v>
      </c>
      <c r="D81" s="1062" t="s">
        <v>1511</v>
      </c>
      <c r="E81" s="1133">
        <v>0.2</v>
      </c>
      <c r="F81" s="1148">
        <v>30</v>
      </c>
    </row>
    <row r="82" spans="1:6" s="1099" customFormat="1" ht="48">
      <c r="A82" s="1148">
        <v>22</v>
      </c>
      <c r="B82" s="3774"/>
      <c r="C82" s="1062" t="s">
        <v>1512</v>
      </c>
      <c r="D82" s="1062" t="s">
        <v>1513</v>
      </c>
      <c r="E82" s="1133">
        <v>0.2</v>
      </c>
      <c r="F82" s="1148">
        <v>30</v>
      </c>
    </row>
    <row r="83" spans="1:6" s="1099" customFormat="1" ht="48">
      <c r="A83" s="1148">
        <v>23</v>
      </c>
      <c r="B83" s="3774"/>
      <c r="C83" s="1062" t="s">
        <v>1514</v>
      </c>
      <c r="D83" s="1062" t="s">
        <v>1515</v>
      </c>
      <c r="E83" s="1133">
        <v>0.2</v>
      </c>
      <c r="F83" s="1148">
        <v>30</v>
      </c>
    </row>
    <row r="84" spans="1:6" s="1099" customFormat="1" ht="36">
      <c r="A84" s="1148">
        <v>24</v>
      </c>
      <c r="B84" s="3774"/>
      <c r="C84" s="1062" t="s">
        <v>1516</v>
      </c>
      <c r="D84" s="1062" t="s">
        <v>1517</v>
      </c>
      <c r="E84" s="1133">
        <v>0.2</v>
      </c>
      <c r="F84" s="1148">
        <v>30</v>
      </c>
    </row>
    <row r="85" spans="1:6" s="1099" customFormat="1" ht="36">
      <c r="A85" s="1148">
        <v>25</v>
      </c>
      <c r="B85" s="3774"/>
      <c r="C85" s="1062" t="s">
        <v>1518</v>
      </c>
      <c r="D85" s="1062" t="s">
        <v>1519</v>
      </c>
      <c r="E85" s="1133">
        <v>0.5</v>
      </c>
      <c r="F85" s="1148">
        <v>80</v>
      </c>
    </row>
    <row r="86" spans="1:6" s="1099" customFormat="1" ht="36">
      <c r="A86" s="1148">
        <v>26</v>
      </c>
      <c r="B86" s="3774"/>
      <c r="C86" s="1062" t="s">
        <v>1520</v>
      </c>
      <c r="D86" s="1062" t="s">
        <v>1521</v>
      </c>
      <c r="E86" s="1133">
        <v>0.2</v>
      </c>
      <c r="F86" s="1148">
        <v>30</v>
      </c>
    </row>
    <row r="87" spans="1:6" s="1099" customFormat="1" ht="36">
      <c r="A87" s="1148">
        <v>27</v>
      </c>
      <c r="B87" s="3774"/>
      <c r="C87" s="1062" t="s">
        <v>1522</v>
      </c>
      <c r="D87" s="1062" t="s">
        <v>1523</v>
      </c>
      <c r="E87" s="1133">
        <v>0.2</v>
      </c>
      <c r="F87" s="1148">
        <v>30</v>
      </c>
    </row>
    <row r="88" spans="1:6" s="1099" customFormat="1" ht="36">
      <c r="A88" s="1148">
        <v>28</v>
      </c>
      <c r="B88" s="3774"/>
      <c r="C88" s="1062" t="s">
        <v>1524</v>
      </c>
      <c r="D88" s="1062" t="s">
        <v>1525</v>
      </c>
      <c r="E88" s="1133">
        <v>0.2</v>
      </c>
      <c r="F88" s="1148">
        <v>30</v>
      </c>
    </row>
    <row r="89" spans="1:6" s="1099" customFormat="1" ht="24">
      <c r="A89" s="1148">
        <v>29</v>
      </c>
      <c r="B89" s="3774"/>
      <c r="C89" s="1062" t="s">
        <v>1526</v>
      </c>
      <c r="D89" s="1062" t="s">
        <v>1527</v>
      </c>
      <c r="E89" s="1133">
        <v>0.2</v>
      </c>
      <c r="F89" s="1148">
        <v>30</v>
      </c>
    </row>
    <row r="90" spans="1:6" s="1099" customFormat="1" ht="24">
      <c r="A90" s="1148">
        <v>30</v>
      </c>
      <c r="B90" s="3774"/>
      <c r="C90" s="1062" t="s">
        <v>1528</v>
      </c>
      <c r="D90" s="1062" t="s">
        <v>1529</v>
      </c>
      <c r="E90" s="1133">
        <v>0.2</v>
      </c>
      <c r="F90" s="1148">
        <v>30</v>
      </c>
    </row>
    <row r="91" spans="1:6" s="1099" customFormat="1" ht="36">
      <c r="A91" s="1148">
        <v>31</v>
      </c>
      <c r="B91" s="3774"/>
      <c r="C91" s="1062" t="s">
        <v>1530</v>
      </c>
      <c r="D91" s="1062" t="s">
        <v>1531</v>
      </c>
      <c r="E91" s="1133">
        <v>0.2</v>
      </c>
      <c r="F91" s="1148">
        <v>30</v>
      </c>
    </row>
    <row r="92" spans="1:6" s="1099" customFormat="1" ht="24">
      <c r="A92" s="1148">
        <v>32</v>
      </c>
      <c r="B92" s="3774" t="s">
        <v>1532</v>
      </c>
      <c r="C92" s="1148" t="s">
        <v>1533</v>
      </c>
      <c r="D92" s="1062" t="s">
        <v>1534</v>
      </c>
      <c r="E92" s="1133">
        <v>0.2</v>
      </c>
      <c r="F92" s="1148">
        <v>30</v>
      </c>
    </row>
    <row r="93" spans="1:6" s="1099" customFormat="1" ht="36">
      <c r="A93" s="1148">
        <v>33</v>
      </c>
      <c r="B93" s="3774"/>
      <c r="C93" s="1148" t="s">
        <v>1535</v>
      </c>
      <c r="D93" s="1062" t="s">
        <v>1536</v>
      </c>
      <c r="E93" s="1133">
        <v>0.2</v>
      </c>
      <c r="F93" s="1148">
        <v>30</v>
      </c>
    </row>
    <row r="94" spans="1:6" s="1099" customFormat="1" ht="48">
      <c r="A94" s="1148">
        <v>34</v>
      </c>
      <c r="B94" s="3774"/>
      <c r="C94" s="1148" t="s">
        <v>1537</v>
      </c>
      <c r="D94" s="1062" t="s">
        <v>1538</v>
      </c>
      <c r="E94" s="1133">
        <v>0.2</v>
      </c>
      <c r="F94" s="1148">
        <v>30</v>
      </c>
    </row>
    <row r="95" spans="1:6" s="1099" customFormat="1" ht="36">
      <c r="A95" s="1148">
        <v>35</v>
      </c>
      <c r="B95" s="3774"/>
      <c r="C95" s="1148" t="s">
        <v>1539</v>
      </c>
      <c r="D95" s="1062" t="s">
        <v>1540</v>
      </c>
      <c r="E95" s="1133">
        <v>0.2</v>
      </c>
      <c r="F95" s="1148">
        <v>30</v>
      </c>
    </row>
    <row r="96" spans="1:6" s="1099" customFormat="1" ht="48">
      <c r="A96" s="1148">
        <v>36</v>
      </c>
      <c r="B96" s="3774"/>
      <c r="C96" s="1062" t="s">
        <v>1541</v>
      </c>
      <c r="D96" s="1062" t="s">
        <v>1542</v>
      </c>
      <c r="E96" s="1133">
        <v>0.2</v>
      </c>
      <c r="F96" s="1148">
        <v>30</v>
      </c>
    </row>
    <row r="97" spans="1:6" s="1099" customFormat="1" ht="36">
      <c r="A97" s="1148">
        <v>37</v>
      </c>
      <c r="B97" s="3774"/>
      <c r="C97" s="1148" t="s">
        <v>1543</v>
      </c>
      <c r="D97" s="1062" t="s">
        <v>1544</v>
      </c>
      <c r="E97" s="1133">
        <v>0.2</v>
      </c>
      <c r="F97" s="1148">
        <v>30</v>
      </c>
    </row>
    <row r="98" spans="1:6" s="1099" customFormat="1" ht="36">
      <c r="A98" s="1148">
        <v>38</v>
      </c>
      <c r="B98" s="3774"/>
      <c r="C98" s="1148" t="s">
        <v>1545</v>
      </c>
      <c r="D98" s="1062" t="s">
        <v>1546</v>
      </c>
      <c r="E98" s="1133">
        <v>0.2</v>
      </c>
      <c r="F98" s="1148">
        <v>30</v>
      </c>
    </row>
    <row r="99" spans="1:6" s="1099" customFormat="1" ht="36">
      <c r="A99" s="1148">
        <v>39</v>
      </c>
      <c r="B99" s="3774" t="s">
        <v>1547</v>
      </c>
      <c r="C99" s="1148" t="s">
        <v>1548</v>
      </c>
      <c r="D99" s="1062" t="s">
        <v>1549</v>
      </c>
      <c r="E99" s="1133">
        <v>0.3</v>
      </c>
      <c r="F99" s="1148">
        <v>50</v>
      </c>
    </row>
    <row r="100" spans="1:6" s="1099" customFormat="1" ht="24">
      <c r="A100" s="1148">
        <v>40</v>
      </c>
      <c r="B100" s="3774"/>
      <c r="C100" s="1148" t="s">
        <v>1550</v>
      </c>
      <c r="D100" s="1062" t="s">
        <v>1551</v>
      </c>
      <c r="E100" s="1133">
        <v>0.2</v>
      </c>
      <c r="F100" s="1148">
        <v>30</v>
      </c>
    </row>
    <row r="101" spans="1:6" s="1099" customFormat="1" ht="36">
      <c r="A101" s="1148">
        <v>41</v>
      </c>
      <c r="B101" s="3774"/>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74" t="s">
        <v>1562</v>
      </c>
      <c r="C105" s="1148" t="s">
        <v>1563</v>
      </c>
      <c r="D105" s="1062" t="s">
        <v>1564</v>
      </c>
      <c r="E105" s="1133">
        <v>0.2</v>
      </c>
      <c r="F105" s="1148">
        <v>30</v>
      </c>
    </row>
    <row r="106" spans="1:6" s="1099" customFormat="1" ht="36">
      <c r="A106" s="1148">
        <v>46</v>
      </c>
      <c r="B106" s="3774"/>
      <c r="C106" s="1148" t="s">
        <v>1565</v>
      </c>
      <c r="D106" s="1062" t="s">
        <v>1566</v>
      </c>
      <c r="E106" s="1133">
        <v>0.2</v>
      </c>
      <c r="F106" s="1148">
        <v>30</v>
      </c>
    </row>
    <row r="107" spans="1:6" s="1099" customFormat="1" ht="36">
      <c r="A107" s="1148">
        <v>47</v>
      </c>
      <c r="B107" s="3774" t="s">
        <v>1567</v>
      </c>
      <c r="C107" s="1148" t="s">
        <v>1568</v>
      </c>
      <c r="D107" s="1062" t="s">
        <v>1569</v>
      </c>
      <c r="E107" s="1133">
        <v>0.3</v>
      </c>
      <c r="F107" s="1148">
        <v>50</v>
      </c>
    </row>
    <row r="108" spans="1:6" s="1099" customFormat="1" ht="36">
      <c r="A108" s="1148">
        <v>48</v>
      </c>
      <c r="B108" s="3774"/>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74" t="s">
        <v>1578</v>
      </c>
      <c r="C111" s="1148" t="s">
        <v>1579</v>
      </c>
      <c r="D111" s="1062" t="s">
        <v>1580</v>
      </c>
      <c r="E111" s="1133">
        <v>0.2</v>
      </c>
      <c r="F111" s="1148">
        <v>30</v>
      </c>
    </row>
    <row r="112" spans="1:6" s="1099" customFormat="1" ht="24">
      <c r="A112" s="1148">
        <v>52</v>
      </c>
      <c r="B112" s="3774"/>
      <c r="C112" s="1148" t="s">
        <v>1581</v>
      </c>
      <c r="D112" s="1062" t="s">
        <v>1582</v>
      </c>
      <c r="E112" s="1133">
        <v>0.2</v>
      </c>
      <c r="F112" s="1148">
        <v>30</v>
      </c>
    </row>
    <row r="113" spans="1:14" s="1099" customFormat="1" ht="24">
      <c r="A113" s="1148">
        <v>53</v>
      </c>
      <c r="B113" s="3774"/>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74" t="s">
        <v>1591</v>
      </c>
      <c r="C116" s="1148" t="s">
        <v>1592</v>
      </c>
      <c r="D116" s="1062" t="s">
        <v>1593</v>
      </c>
      <c r="E116" s="1133">
        <v>0.2</v>
      </c>
      <c r="F116" s="1148">
        <v>30</v>
      </c>
    </row>
    <row r="117" spans="1:14" ht="36">
      <c r="A117" s="1148">
        <v>57</v>
      </c>
      <c r="B117" s="3774"/>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73" t="s">
        <v>1600</v>
      </c>
      <c r="B121" s="3773"/>
      <c r="C121" s="3773"/>
      <c r="D121" s="3773"/>
      <c r="E121" s="3773"/>
      <c r="F121" s="3773"/>
      <c r="G121" s="3773"/>
      <c r="H121" s="3773"/>
      <c r="I121" s="3773"/>
      <c r="J121" s="3773"/>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8" t="s">
        <v>1006</v>
      </c>
      <c r="B1" s="3778"/>
      <c r="C1" s="3778"/>
      <c r="D1" s="3778"/>
      <c r="E1" s="3778"/>
      <c r="F1" s="3778"/>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79" t="s">
        <v>1019</v>
      </c>
      <c r="B2" s="3779"/>
      <c r="C2" s="3779"/>
      <c r="D2" s="3779"/>
      <c r="E2" s="3779"/>
      <c r="F2" s="3779"/>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0"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1"/>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2" t="s">
        <v>2041</v>
      </c>
      <c r="B1" s="3782"/>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4" t="s">
        <v>2427</v>
      </c>
      <c r="C8" s="1818">
        <f ca="1">ROUND(F8*F10*F9*(1-F11)/10000,0)</f>
        <v>0</v>
      </c>
      <c r="D8" s="1815" t="s">
        <v>2499</v>
      </c>
      <c r="E8" s="60" t="s">
        <v>603</v>
      </c>
      <c r="F8" s="779">
        <f ca="1">INDIRECT("'数据-取费表'!u"&amp;$G$1)</f>
        <v>0</v>
      </c>
      <c r="G8" s="1584"/>
      <c r="H8" s="2521" t="s">
        <v>1787</v>
      </c>
      <c r="I8" s="3784" t="s">
        <v>2427</v>
      </c>
      <c r="J8" s="777">
        <f ca="1">ROUND(M8*M10*M9*(1-M11)/10000,0)</f>
        <v>0</v>
      </c>
      <c r="K8" s="335" t="s">
        <v>2499</v>
      </c>
      <c r="L8" s="778" t="s">
        <v>1701</v>
      </c>
      <c r="M8" s="779">
        <f ca="1">INDIRECT("'数据-取费表'!z"&amp;$G$1)</f>
        <v>0</v>
      </c>
    </row>
    <row r="9" spans="1:25" ht="18" customHeight="1">
      <c r="A9" s="2517"/>
      <c r="B9" s="3785"/>
      <c r="C9" s="1819"/>
      <c r="D9" s="1816"/>
      <c r="E9" s="60" t="s">
        <v>604</v>
      </c>
      <c r="F9" s="779">
        <f ca="1">IF(INDIRECT("'数据-取费表'!ah"&amp;$G$1)="",INDIRECT("'数据-取费表'!k"&amp;$G$1),INDIRECT("'数据-取费表'!ah"&amp;$G$1))</f>
        <v>0</v>
      </c>
      <c r="G9" s="1584"/>
      <c r="H9" s="2506"/>
      <c r="I9" s="3785"/>
      <c r="J9" s="782"/>
      <c r="K9" s="783"/>
      <c r="L9" s="778" t="s">
        <v>1702</v>
      </c>
      <c r="M9" s="779">
        <f ca="1">F9</f>
        <v>0</v>
      </c>
    </row>
    <row r="10" spans="1:25" ht="18" customHeight="1">
      <c r="A10" s="2510"/>
      <c r="B10" s="3786"/>
      <c r="C10" s="1819"/>
      <c r="D10" s="1816"/>
      <c r="E10" s="60" t="s">
        <v>605</v>
      </c>
      <c r="F10" s="779">
        <f ca="1">INDIRECT("'数据-取费表'!ai"&amp;$G$1)</f>
        <v>0</v>
      </c>
      <c r="G10" s="1584"/>
      <c r="H10" s="2506"/>
      <c r="I10" s="3786"/>
      <c r="J10" s="782"/>
      <c r="K10" s="783"/>
      <c r="L10" s="778" t="s">
        <v>1703</v>
      </c>
      <c r="M10" s="779">
        <f ca="1">INDIRECT("'数据-取费表'!ai"&amp;$G$1)</f>
        <v>0</v>
      </c>
    </row>
    <row r="11" spans="1:25" ht="18" customHeight="1">
      <c r="A11" s="780"/>
      <c r="B11" s="3787"/>
      <c r="C11" s="1819"/>
      <c r="D11" s="1816"/>
      <c r="E11" s="60" t="s">
        <v>606</v>
      </c>
      <c r="F11" s="788">
        <f ca="1">INDIRECT("'数据-取费表'!w"&amp;$G$1)</f>
        <v>0</v>
      </c>
      <c r="G11" s="1584"/>
      <c r="H11" s="2522"/>
      <c r="I11" s="3786"/>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3"/>
      <c r="J36" s="2072"/>
      <c r="K36" s="2073"/>
      <c r="L36" s="2072"/>
      <c r="M36" s="2072"/>
    </row>
    <row r="37" spans="1:18" ht="18" customHeight="1">
      <c r="A37" s="809"/>
      <c r="B37" s="787"/>
      <c r="C37" s="68"/>
      <c r="D37" s="810"/>
      <c r="E37" s="778" t="s">
        <v>640</v>
      </c>
      <c r="F37" s="779">
        <f ca="1">INDIRECT("'数据-取费表'!r"&amp;$G$1)</f>
        <v>0</v>
      </c>
      <c r="G37" s="2055"/>
      <c r="H37" s="2058"/>
      <c r="I37" s="3783"/>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8"/>
      <c r="L54" s="3789"/>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4" sqref="C14"/>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29687</v>
      </c>
      <c r="C2" s="2050"/>
      <c r="D2" s="2048"/>
      <c r="E2" s="2049"/>
      <c r="F2" s="2049"/>
      <c r="G2" s="1582"/>
      <c r="H2" s="2050"/>
      <c r="I2" s="2050"/>
      <c r="J2" s="2050"/>
      <c r="K2" s="2051"/>
      <c r="L2" s="2050"/>
      <c r="M2" s="2050"/>
    </row>
    <row r="3" spans="1:33" ht="18" customHeight="1" thickBot="1">
      <c r="A3" s="827" t="s">
        <v>761</v>
      </c>
      <c r="B3" s="828">
        <f ca="1">IF(ISERROR(B2*10000/F43),0,ROUND(B2*10000/F43,0))</f>
        <v>16215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1684</v>
      </c>
      <c r="D6" s="2514" t="s">
        <v>2426</v>
      </c>
      <c r="E6" s="778" t="s">
        <v>603</v>
      </c>
      <c r="F6" s="779">
        <f ca="1">INDIRECT("'数据-取费表'!u"&amp;$G$1)</f>
        <v>2.8</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18308.27</v>
      </c>
      <c r="G7" s="1584"/>
      <c r="H7" s="2506"/>
      <c r="I7" s="3785"/>
      <c r="J7" s="782"/>
      <c r="K7" s="783"/>
      <c r="L7" s="778" t="s">
        <v>604</v>
      </c>
      <c r="M7" s="779">
        <f ca="1">F7</f>
        <v>18308.27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29687</v>
      </c>
      <c r="D40" s="808" t="s">
        <v>670</v>
      </c>
      <c r="E40" s="778" t="s">
        <v>2382</v>
      </c>
      <c r="F40" s="788">
        <f ca="1">INDIRECT("'数据-取费表'!I"&amp;$G$1)</f>
        <v>5.5E-2</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1.4999999999999999E-2</v>
      </c>
      <c r="G42" s="2055"/>
      <c r="H42" s="1981"/>
      <c r="I42" s="841" t="s">
        <v>1784</v>
      </c>
      <c r="J42" s="839">
        <f ca="1">ROUND(C13/C40,3)</f>
        <v>0.22500000000000001</v>
      </c>
      <c r="K42" s="2075"/>
      <c r="L42" s="1981"/>
      <c r="M42" s="1981"/>
    </row>
    <row r="43" spans="1:18" ht="18" customHeight="1" thickBot="1">
      <c r="A43" s="817" t="s">
        <v>1750</v>
      </c>
      <c r="B43" s="818" t="s">
        <v>1773</v>
      </c>
      <c r="C43" s="819">
        <f ca="1">ROUND(C40*10000/F43,0)</f>
        <v>16215</v>
      </c>
      <c r="D43" s="820" t="s">
        <v>1774</v>
      </c>
      <c r="E43" s="821" t="s">
        <v>1775</v>
      </c>
      <c r="F43" s="822">
        <f ca="1">INDIRECT("'数据-取费表'!k"&amp;$G$1)</f>
        <v>18308.27</v>
      </c>
      <c r="G43" s="2055"/>
      <c r="H43" s="1981"/>
      <c r="I43" s="841" t="s">
        <v>1785</v>
      </c>
      <c r="J43" s="842">
        <f ca="1">1-J42</f>
        <v>0.77500000000000002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-32483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29687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29687</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29687</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29687</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29687</v>
      </c>
      <c r="R66" s="2416" t="s">
        <v>2343</v>
      </c>
    </row>
    <row r="67" spans="1:18" s="2052" customFormat="1" ht="20.25" thickBot="1">
      <c r="A67" s="775" t="s">
        <v>1743</v>
      </c>
      <c r="B67" s="2225" t="s">
        <v>2263</v>
      </c>
      <c r="C67" s="777">
        <f ca="1">ROUND(C66*(1-((1+F69)/(1+F67))^F68)/(F67-F69),0)</f>
        <v>-2796</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-1527</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29687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16316</v>
      </c>
      <c r="C2" s="2050"/>
      <c r="D2" s="2048"/>
      <c r="E2" s="2049"/>
      <c r="F2" s="2049"/>
      <c r="G2" s="1582"/>
      <c r="H2" s="2050"/>
      <c r="I2" s="2050"/>
      <c r="J2" s="2050"/>
      <c r="K2" s="2051"/>
      <c r="L2" s="2050"/>
      <c r="M2" s="2050"/>
    </row>
    <row r="3" spans="1:33" ht="18" customHeight="1" thickBot="1">
      <c r="A3" s="827" t="s">
        <v>1690</v>
      </c>
      <c r="B3" s="828">
        <f ca="1">IF(ISERROR(B2*10000/F43),0,ROUND(B2*10000/F43,0))</f>
        <v>9147</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1172</v>
      </c>
      <c r="D6" s="2514" t="s">
        <v>2426</v>
      </c>
      <c r="E6" s="778" t="s">
        <v>1701</v>
      </c>
      <c r="F6" s="779">
        <f ca="1">INDIRECT("'数据-取费表'!u"&amp;$G$1)</f>
        <v>2</v>
      </c>
      <c r="G6" s="1584"/>
      <c r="H6" s="2521" t="s">
        <v>2433</v>
      </c>
      <c r="I6" s="3784" t="s">
        <v>2427</v>
      </c>
      <c r="J6" s="777">
        <f ca="1">ROUND(M6*M8*M7*(1-M9)/10000,0)</f>
        <v>0</v>
      </c>
      <c r="K6" s="335" t="s">
        <v>1700</v>
      </c>
      <c r="L6" s="778" t="s">
        <v>1701</v>
      </c>
      <c r="M6" s="779">
        <f ca="1">INDIRECT("'数据-取费表'!z"&amp;$G$1)</f>
        <v>0</v>
      </c>
    </row>
    <row r="7" spans="1:33" ht="18" customHeight="1">
      <c r="A7" s="2517"/>
      <c r="B7" s="3785"/>
      <c r="C7" s="782"/>
      <c r="D7" s="783"/>
      <c r="E7" s="778" t="s">
        <v>1702</v>
      </c>
      <c r="F7" s="779">
        <f ca="1">IF(INDIRECT("'数据-取费表'!ah"&amp;$G$1)="",INDIRECT("'数据-取费表'!k"&amp;$G$1),INDIRECT("'数据-取费表'!ah"&amp;$G$1))</f>
        <v>17836.939999999999</v>
      </c>
      <c r="G7" s="1584"/>
      <c r="H7" s="2506"/>
      <c r="I7" s="3785"/>
      <c r="J7" s="782"/>
      <c r="K7" s="783"/>
      <c r="L7" s="778" t="s">
        <v>1702</v>
      </c>
      <c r="M7" s="779">
        <f ca="1">F7</f>
        <v>17836.939999999999</v>
      </c>
    </row>
    <row r="8" spans="1:33" ht="18" customHeight="1">
      <c r="A8" s="2510"/>
      <c r="B8" s="3786"/>
      <c r="C8" s="782"/>
      <c r="D8" s="783"/>
      <c r="E8" s="778" t="s">
        <v>1703</v>
      </c>
      <c r="F8" s="779">
        <f ca="1">INDIRECT("'数据-取费表'!ai"&amp;$G$1)</f>
        <v>365</v>
      </c>
      <c r="G8" s="1584"/>
      <c r="H8" s="2506"/>
      <c r="I8" s="3786"/>
      <c r="J8" s="782"/>
      <c r="K8" s="783"/>
      <c r="L8" s="778" t="s">
        <v>1703</v>
      </c>
      <c r="M8" s="779">
        <f ca="1">INDIRECT("'数据-取费表'!ai"&amp;$G$1)</f>
        <v>365</v>
      </c>
    </row>
    <row r="9" spans="1:33" ht="18" customHeight="1">
      <c r="A9" s="780"/>
      <c r="B9" s="3787"/>
      <c r="C9" s="782"/>
      <c r="D9" s="783"/>
      <c r="E9" s="778" t="s">
        <v>1704</v>
      </c>
      <c r="F9" s="788">
        <f ca="1">INDIRECT("'数据-取费表'!w"&amp;$G$1)</f>
        <v>0.1</v>
      </c>
      <c r="G9" s="1584"/>
      <c r="H9" s="2522"/>
      <c r="I9" s="3786"/>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16316</v>
      </c>
      <c r="D40" s="808" t="s">
        <v>1770</v>
      </c>
      <c r="E40" s="778" t="s">
        <v>2382</v>
      </c>
      <c r="F40" s="788">
        <f ca="1">INDIRECT("'数据-取费表'!I"&amp;$G$1)</f>
        <v>0.06</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1.4999999999999999E-2</v>
      </c>
      <c r="G42" s="2055"/>
      <c r="H42" s="1981"/>
      <c r="I42" s="841" t="s">
        <v>1784</v>
      </c>
      <c r="J42" s="839">
        <f ca="1">ROUND(C13/C40,3)</f>
        <v>0.45600000000000002</v>
      </c>
      <c r="K42" s="2075"/>
      <c r="L42" s="1981"/>
      <c r="M42" s="1981"/>
    </row>
    <row r="43" spans="1:18" ht="18" customHeight="1" thickBot="1">
      <c r="A43" s="817" t="s">
        <v>1750</v>
      </c>
      <c r="B43" s="818" t="s">
        <v>1773</v>
      </c>
      <c r="C43" s="819">
        <f ca="1">ROUND(C40*10000/F43,0)</f>
        <v>9147</v>
      </c>
      <c r="D43" s="820" t="s">
        <v>1774</v>
      </c>
      <c r="E43" s="821" t="s">
        <v>1775</v>
      </c>
      <c r="F43" s="822">
        <f ca="1">INDIRECT("'数据-取费表'!k"&amp;$G$1)</f>
        <v>17836.939999999999</v>
      </c>
      <c r="G43" s="2055"/>
      <c r="H43" s="1981"/>
      <c r="I43" s="841" t="s">
        <v>1785</v>
      </c>
      <c r="J43" s="842">
        <f ca="1">1-J42</f>
        <v>0.54400000000000004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-19065</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16316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0" t="s">
        <v>2921</v>
      </c>
      <c r="L53" s="3791"/>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16316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16316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16316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16316</v>
      </c>
      <c r="R66" s="2416" t="s">
        <v>2343</v>
      </c>
    </row>
    <row r="67" spans="1:18" s="2052" customFormat="1" ht="20.25" thickBot="1">
      <c r="A67" s="775" t="s">
        <v>1743</v>
      </c>
      <c r="B67" s="2225" t="s">
        <v>2263</v>
      </c>
      <c r="C67" s="777">
        <f ca="1">ROUND(C66*(1-((1+F69)/(1+F67))^F68)/(F67-F69),0)</f>
        <v>-2749</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-1541</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16316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16" t="s">
        <v>488</v>
      </c>
      <c r="D4" s="3717"/>
      <c r="E4" s="3751" t="s">
        <v>489</v>
      </c>
      <c r="F4" s="3752"/>
      <c r="G4" s="3716" t="s">
        <v>490</v>
      </c>
      <c r="H4" s="3717"/>
      <c r="I4" s="3716" t="s">
        <v>491</v>
      </c>
      <c r="J4" s="3717"/>
      <c r="K4" s="847"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32" t="s">
        <v>2883</v>
      </c>
      <c r="D5" s="3733"/>
      <c r="E5" s="3753" t="s">
        <v>2884</v>
      </c>
      <c r="F5" s="3754"/>
      <c r="G5" s="3732" t="s">
        <v>2885</v>
      </c>
      <c r="H5" s="3733"/>
      <c r="I5" s="3732" t="s">
        <v>2886</v>
      </c>
      <c r="J5" s="3733"/>
      <c r="K5" s="84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84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42" t="s">
        <v>496</v>
      </c>
      <c r="Q7" s="3744"/>
      <c r="R7" s="1560" t="s">
        <v>12</v>
      </c>
      <c r="S7" s="1561">
        <f t="shared" ref="S7:S15" si="0">F7</f>
        <v>0</v>
      </c>
      <c r="T7" s="1560" t="s">
        <v>12</v>
      </c>
      <c r="U7" s="1561">
        <f t="shared" ref="U7:U15" si="1">H7</f>
        <v>0</v>
      </c>
      <c r="V7" s="1560" t="s">
        <v>12</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42" t="s">
        <v>499</v>
      </c>
      <c r="Q8" s="3743"/>
      <c r="R8" s="1560" t="s">
        <v>12</v>
      </c>
      <c r="S8" s="1561">
        <f t="shared" si="0"/>
        <v>0</v>
      </c>
      <c r="T8" s="1560" t="s">
        <v>12</v>
      </c>
      <c r="U8" s="1561">
        <f t="shared" si="1"/>
        <v>0</v>
      </c>
      <c r="V8" s="1560" t="s">
        <v>12</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10"/>
      <c r="Q11" s="1145" t="str">
        <f t="shared" si="6"/>
        <v>容积率</v>
      </c>
      <c r="R11" s="1560" t="s">
        <v>11</v>
      </c>
      <c r="S11" s="1561" t="e">
        <f t="shared" si="0"/>
        <v>#N/A</v>
      </c>
      <c r="T11" s="1560" t="s">
        <v>11</v>
      </c>
      <c r="U11" s="1561" t="e">
        <f t="shared" si="1"/>
        <v>#N/A</v>
      </c>
      <c r="V11" s="1560" t="s">
        <v>11</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10"/>
      <c r="Q12" s="1145">
        <f t="shared" si="6"/>
        <v>111</v>
      </c>
      <c r="R12" s="1560" t="s">
        <v>11</v>
      </c>
      <c r="S12" s="1561">
        <f t="shared" si="0"/>
        <v>100</v>
      </c>
      <c r="T12" s="1560" t="s">
        <v>11</v>
      </c>
      <c r="U12" s="1561">
        <f t="shared" si="1"/>
        <v>100</v>
      </c>
      <c r="V12" s="1560" t="s">
        <v>11</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10"/>
      <c r="Q13" s="1145">
        <f t="shared" si="6"/>
        <v>111</v>
      </c>
      <c r="R13" s="1560" t="s">
        <v>11</v>
      </c>
      <c r="S13" s="1561">
        <f t="shared" si="0"/>
        <v>100</v>
      </c>
      <c r="T13" s="1560" t="s">
        <v>11</v>
      </c>
      <c r="U13" s="1561">
        <f t="shared" si="1"/>
        <v>100</v>
      </c>
      <c r="V13" s="1560" t="s">
        <v>11</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10"/>
      <c r="Q14" s="1145">
        <f t="shared" si="6"/>
        <v>111</v>
      </c>
      <c r="R14" s="1560" t="s">
        <v>11</v>
      </c>
      <c r="S14" s="1561">
        <f t="shared" si="0"/>
        <v>100</v>
      </c>
      <c r="T14" s="1560" t="s">
        <v>11</v>
      </c>
      <c r="U14" s="1561">
        <f t="shared" si="1"/>
        <v>100</v>
      </c>
      <c r="V14" s="1560" t="s">
        <v>11</v>
      </c>
      <c r="W14" s="1561">
        <f t="shared" si="2"/>
        <v>100</v>
      </c>
      <c r="X14" s="1562"/>
      <c r="Y14" s="3652"/>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45" t="s">
        <v>506</v>
      </c>
      <c r="Q15" s="1564" t="str">
        <f t="shared" si="6"/>
        <v>居住社区成熟度</v>
      </c>
      <c r="R15" s="1565" t="s">
        <v>11</v>
      </c>
      <c r="S15" s="1566">
        <f t="shared" si="0"/>
        <v>0</v>
      </c>
      <c r="T15" s="1565" t="s">
        <v>11</v>
      </c>
      <c r="U15" s="1566">
        <f t="shared" si="1"/>
        <v>0</v>
      </c>
      <c r="V15" s="1565" t="s">
        <v>11</v>
      </c>
      <c r="W15" s="1566">
        <f t="shared" si="2"/>
        <v>0</v>
      </c>
      <c r="X15" s="1559"/>
      <c r="Y15" s="374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46"/>
      <c r="Q17" s="1564" t="str">
        <f>B17</f>
        <v>交通便捷度</v>
      </c>
      <c r="R17" s="1565" t="s">
        <v>11</v>
      </c>
      <c r="S17" s="1566">
        <f>F17</f>
        <v>0</v>
      </c>
      <c r="T17" s="1565" t="s">
        <v>11</v>
      </c>
      <c r="U17" s="1566">
        <f>H17</f>
        <v>0</v>
      </c>
      <c r="V17" s="1565" t="s">
        <v>11</v>
      </c>
      <c r="W17" s="1566">
        <f>J17</f>
        <v>0</v>
      </c>
      <c r="X17" s="1559"/>
      <c r="Y17" s="374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46"/>
      <c r="Q19" s="1564" t="str">
        <f>B19</f>
        <v>公共配套设施</v>
      </c>
      <c r="R19" s="1565" t="s">
        <v>11</v>
      </c>
      <c r="S19" s="1566">
        <f>F19</f>
        <v>0</v>
      </c>
      <c r="T19" s="1565" t="s">
        <v>11</v>
      </c>
      <c r="U19" s="1566">
        <f>H19</f>
        <v>0</v>
      </c>
      <c r="V19" s="1565" t="s">
        <v>11</v>
      </c>
      <c r="W19" s="1566">
        <f>J19</f>
        <v>0</v>
      </c>
      <c r="X19" s="1559"/>
      <c r="Y19" s="374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46"/>
      <c r="Q21" s="2596" t="str">
        <f>B21</f>
        <v>基础设施水平</v>
      </c>
      <c r="R21" s="1565" t="s">
        <v>11</v>
      </c>
      <c r="S21" s="1566">
        <f>F21</f>
        <v>0</v>
      </c>
      <c r="T21" s="1565" t="s">
        <v>11</v>
      </c>
      <c r="U21" s="1566">
        <f>H21</f>
        <v>0</v>
      </c>
      <c r="V21" s="1565" t="s">
        <v>11</v>
      </c>
      <c r="W21" s="1566">
        <f>J21</f>
        <v>0</v>
      </c>
      <c r="X21" s="2598"/>
      <c r="Y21" s="374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46"/>
      <c r="Q23" s="1564" t="str">
        <f>B23</f>
        <v>自然及人文环境</v>
      </c>
      <c r="R23" s="1565" t="s">
        <v>11</v>
      </c>
      <c r="S23" s="1566">
        <f>F23</f>
        <v>0</v>
      </c>
      <c r="T23" s="1565" t="s">
        <v>11</v>
      </c>
      <c r="U23" s="1566">
        <f>H23</f>
        <v>0</v>
      </c>
      <c r="V23" s="1565" t="s">
        <v>11</v>
      </c>
      <c r="W23" s="1566">
        <f>J23</f>
        <v>0</v>
      </c>
      <c r="X23" s="1559"/>
      <c r="Y23" s="374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46"/>
      <c r="Q25" s="1564" t="str">
        <f t="shared" ref="Q25:Q46" si="11">B25</f>
        <v>楼层-1</v>
      </c>
      <c r="R25" s="1565" t="s">
        <v>11</v>
      </c>
      <c r="S25" s="1566">
        <f>F25</f>
        <v>100</v>
      </c>
      <c r="T25" s="1565" t="s">
        <v>11</v>
      </c>
      <c r="U25" s="1566">
        <f>H25</f>
        <v>100</v>
      </c>
      <c r="V25" s="1565" t="s">
        <v>11</v>
      </c>
      <c r="W25" s="1566">
        <f>J25</f>
        <v>100</v>
      </c>
      <c r="X25" s="1559"/>
      <c r="Y25" s="374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46"/>
      <c r="Q26" s="1564" t="str">
        <f t="shared" si="11"/>
        <v>朝向</v>
      </c>
      <c r="R26" s="1565" t="s">
        <v>11</v>
      </c>
      <c r="S26" s="1566">
        <f>F26</f>
        <v>100</v>
      </c>
      <c r="T26" s="1565" t="s">
        <v>11</v>
      </c>
      <c r="U26" s="1566">
        <f>H26</f>
        <v>100</v>
      </c>
      <c r="V26" s="1565" t="s">
        <v>11</v>
      </c>
      <c r="W26" s="1566">
        <f>J26</f>
        <v>100</v>
      </c>
      <c r="X26" s="1559"/>
      <c r="Y26" s="374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46"/>
      <c r="Q27" s="1145" t="str">
        <f t="shared" si="11"/>
        <v>道路级别</v>
      </c>
      <c r="R27" s="1560" t="s">
        <v>11</v>
      </c>
      <c r="S27" s="1561">
        <f>F27</f>
        <v>100</v>
      </c>
      <c r="T27" s="1560" t="s">
        <v>11</v>
      </c>
      <c r="U27" s="1561">
        <f>H27</f>
        <v>100</v>
      </c>
      <c r="V27" s="1560" t="s">
        <v>11</v>
      </c>
      <c r="W27" s="1561">
        <f>J27</f>
        <v>100</v>
      </c>
      <c r="X27" s="1562"/>
      <c r="Y27" s="374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46"/>
      <c r="Q28" s="1564">
        <f t="shared" si="11"/>
        <v>0</v>
      </c>
      <c r="R28" s="1565" t="s">
        <v>11</v>
      </c>
      <c r="S28" s="1566">
        <f t="shared" ref="S28:S46" si="12">F28</f>
        <v>100</v>
      </c>
      <c r="T28" s="1565" t="s">
        <v>11</v>
      </c>
      <c r="U28" s="1566">
        <f t="shared" ref="U28:U46" si="13">H28</f>
        <v>100</v>
      </c>
      <c r="V28" s="1565" t="s">
        <v>11</v>
      </c>
      <c r="W28" s="1566">
        <f t="shared" ref="W28:W46" si="14">J28</f>
        <v>100</v>
      </c>
      <c r="X28" s="1559"/>
      <c r="Y28" s="374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46"/>
      <c r="Q29" s="1564">
        <f t="shared" si="11"/>
        <v>0</v>
      </c>
      <c r="R29" s="1565" t="s">
        <v>11</v>
      </c>
      <c r="S29" s="1566">
        <f t="shared" si="12"/>
        <v>100</v>
      </c>
      <c r="T29" s="1565" t="s">
        <v>11</v>
      </c>
      <c r="U29" s="1566">
        <f t="shared" si="13"/>
        <v>100</v>
      </c>
      <c r="V29" s="1565" t="s">
        <v>11</v>
      </c>
      <c r="W29" s="1566">
        <f t="shared" si="14"/>
        <v>100</v>
      </c>
      <c r="X29" s="1559"/>
      <c r="Y29" s="374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46"/>
      <c r="Q30" s="1564">
        <f t="shared" si="11"/>
        <v>0</v>
      </c>
      <c r="R30" s="1565" t="s">
        <v>11</v>
      </c>
      <c r="S30" s="1566">
        <f t="shared" si="12"/>
        <v>100</v>
      </c>
      <c r="T30" s="1565" t="s">
        <v>11</v>
      </c>
      <c r="U30" s="1566">
        <f t="shared" si="13"/>
        <v>100</v>
      </c>
      <c r="V30" s="1565" t="s">
        <v>11</v>
      </c>
      <c r="W30" s="1566">
        <f t="shared" si="14"/>
        <v>100</v>
      </c>
      <c r="X30" s="1559"/>
      <c r="Y30" s="374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46"/>
      <c r="Q31" s="1564">
        <f t="shared" si="11"/>
        <v>0</v>
      </c>
      <c r="R31" s="1565" t="s">
        <v>11</v>
      </c>
      <c r="S31" s="1566">
        <f t="shared" si="12"/>
        <v>100</v>
      </c>
      <c r="T31" s="1565" t="s">
        <v>11</v>
      </c>
      <c r="U31" s="1566">
        <f t="shared" si="13"/>
        <v>100</v>
      </c>
      <c r="V31" s="1565" t="s">
        <v>11</v>
      </c>
      <c r="W31" s="1566">
        <f t="shared" si="14"/>
        <v>100</v>
      </c>
      <c r="X31" s="1559"/>
      <c r="Y31" s="374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47" t="s">
        <v>516</v>
      </c>
      <c r="Q32" s="1564" t="str">
        <f t="shared" si="11"/>
        <v>建筑类型</v>
      </c>
      <c r="R32" s="1565" t="s">
        <v>11</v>
      </c>
      <c r="S32" s="1566">
        <f t="shared" si="12"/>
        <v>100</v>
      </c>
      <c r="T32" s="1565" t="s">
        <v>11</v>
      </c>
      <c r="U32" s="1566">
        <f t="shared" si="13"/>
        <v>100</v>
      </c>
      <c r="V32" s="1565" t="s">
        <v>11</v>
      </c>
      <c r="W32" s="1566">
        <f t="shared" si="14"/>
        <v>100</v>
      </c>
      <c r="X32" s="1559"/>
      <c r="Y32" s="374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48"/>
      <c r="Q33" s="1597" t="str">
        <f t="shared" si="11"/>
        <v>项目建筑规模</v>
      </c>
      <c r="R33" s="1569" t="s">
        <v>11</v>
      </c>
      <c r="S33" s="1570" t="e">
        <f t="shared" si="12"/>
        <v>#N/A</v>
      </c>
      <c r="T33" s="1569" t="s">
        <v>11</v>
      </c>
      <c r="U33" s="1570" t="e">
        <f t="shared" si="13"/>
        <v>#N/A</v>
      </c>
      <c r="V33" s="1569" t="s">
        <v>11</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48"/>
      <c r="Q34" s="1564" t="str">
        <f t="shared" si="11"/>
        <v>建筑结构</v>
      </c>
      <c r="R34" s="1565" t="s">
        <v>11</v>
      </c>
      <c r="S34" s="1566">
        <f t="shared" si="12"/>
        <v>100</v>
      </c>
      <c r="T34" s="1565" t="s">
        <v>11</v>
      </c>
      <c r="U34" s="1566">
        <f t="shared" si="13"/>
        <v>100</v>
      </c>
      <c r="V34" s="1565" t="s">
        <v>11</v>
      </c>
      <c r="W34" s="1566">
        <f t="shared" si="14"/>
        <v>100</v>
      </c>
      <c r="X34" s="1559"/>
      <c r="Y34" s="374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48"/>
      <c r="Q35" s="1564" t="str">
        <f t="shared" si="11"/>
        <v>建筑品质</v>
      </c>
      <c r="R35" s="1565" t="s">
        <v>11</v>
      </c>
      <c r="S35" s="1566">
        <f t="shared" si="12"/>
        <v>100</v>
      </c>
      <c r="T35" s="1565" t="s">
        <v>11</v>
      </c>
      <c r="U35" s="1566">
        <f t="shared" si="13"/>
        <v>100</v>
      </c>
      <c r="V35" s="1565" t="s">
        <v>11</v>
      </c>
      <c r="W35" s="1566">
        <f t="shared" si="14"/>
        <v>100</v>
      </c>
      <c r="X35" s="1559"/>
      <c r="Y35" s="374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48"/>
      <c r="Q36" s="1564" t="str">
        <f t="shared" si="11"/>
        <v>公共部分装修</v>
      </c>
      <c r="R36" s="1565" t="s">
        <v>11</v>
      </c>
      <c r="S36" s="1566">
        <f t="shared" si="12"/>
        <v>100</v>
      </c>
      <c r="T36" s="1565" t="s">
        <v>11</v>
      </c>
      <c r="U36" s="1566">
        <f t="shared" si="13"/>
        <v>100</v>
      </c>
      <c r="V36" s="1565" t="s">
        <v>11</v>
      </c>
      <c r="W36" s="1566">
        <f t="shared" si="14"/>
        <v>100</v>
      </c>
      <c r="X36" s="1559"/>
      <c r="Y36" s="374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48"/>
      <c r="Q37" s="1145" t="str">
        <f t="shared" si="11"/>
        <v>成新度</v>
      </c>
      <c r="R37" s="1560" t="s">
        <v>11</v>
      </c>
      <c r="S37" s="1561" t="e">
        <f t="shared" si="12"/>
        <v>#N/A</v>
      </c>
      <c r="T37" s="1560" t="s">
        <v>11</v>
      </c>
      <c r="U37" s="1561" t="e">
        <f t="shared" si="13"/>
        <v>#N/A</v>
      </c>
      <c r="V37" s="1560" t="s">
        <v>11</v>
      </c>
      <c r="W37" s="1561" t="e">
        <f t="shared" si="14"/>
        <v>#N/A</v>
      </c>
      <c r="X37" s="1562"/>
      <c r="Y37" s="374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48" t="s">
        <v>516</v>
      </c>
      <c r="Q38" s="1564" t="str">
        <f t="shared" si="11"/>
        <v>物业管理</v>
      </c>
      <c r="R38" s="1565" t="s">
        <v>11</v>
      </c>
      <c r="S38" s="1566">
        <f t="shared" si="12"/>
        <v>100</v>
      </c>
      <c r="T38" s="1565" t="s">
        <v>11</v>
      </c>
      <c r="U38" s="1566">
        <f t="shared" si="13"/>
        <v>100</v>
      </c>
      <c r="V38" s="1565" t="s">
        <v>11</v>
      </c>
      <c r="W38" s="1566">
        <f t="shared" si="14"/>
        <v>100</v>
      </c>
      <c r="X38" s="1559"/>
      <c r="Y38" s="374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48"/>
      <c r="Q39" s="1564" t="str">
        <f t="shared" si="11"/>
        <v>市政基础设施</v>
      </c>
      <c r="R39" s="1565" t="s">
        <v>11</v>
      </c>
      <c r="S39" s="1566">
        <f t="shared" si="12"/>
        <v>100</v>
      </c>
      <c r="T39" s="1565" t="s">
        <v>11</v>
      </c>
      <c r="U39" s="1566">
        <f t="shared" si="13"/>
        <v>100</v>
      </c>
      <c r="V39" s="1565" t="s">
        <v>11</v>
      </c>
      <c r="W39" s="1566">
        <f t="shared" si="14"/>
        <v>100</v>
      </c>
      <c r="X39" s="1559"/>
      <c r="Y39" s="374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48"/>
      <c r="Q40" s="1564" t="str">
        <f t="shared" si="11"/>
        <v>房型</v>
      </c>
      <c r="R40" s="1565" t="s">
        <v>11</v>
      </c>
      <c r="S40" s="1566">
        <f t="shared" si="12"/>
        <v>100</v>
      </c>
      <c r="T40" s="1565" t="s">
        <v>11</v>
      </c>
      <c r="U40" s="1566">
        <f t="shared" si="13"/>
        <v>100</v>
      </c>
      <c r="V40" s="1565" t="s">
        <v>11</v>
      </c>
      <c r="W40" s="1566">
        <f t="shared" si="14"/>
        <v>100</v>
      </c>
      <c r="X40" s="1559"/>
      <c r="Y40" s="374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48"/>
      <c r="Q41" s="1597" t="str">
        <f t="shared" si="11"/>
        <v>单套/主力户型建筑面积</v>
      </c>
      <c r="R41" s="1569" t="s">
        <v>11</v>
      </c>
      <c r="S41" s="1570">
        <f t="shared" si="12"/>
        <v>100</v>
      </c>
      <c r="T41" s="1569" t="s">
        <v>11</v>
      </c>
      <c r="U41" s="1570">
        <f t="shared" si="13"/>
        <v>100</v>
      </c>
      <c r="V41" s="1569" t="s">
        <v>11</v>
      </c>
      <c r="W41" s="1570">
        <f t="shared" si="14"/>
        <v>100</v>
      </c>
      <c r="X41" s="1571"/>
      <c r="Y41" s="374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48"/>
      <c r="Q42" s="1564" t="str">
        <f t="shared" si="11"/>
        <v>内部装修</v>
      </c>
      <c r="R42" s="1565" t="s">
        <v>11</v>
      </c>
      <c r="S42" s="1566">
        <f t="shared" si="12"/>
        <v>100</v>
      </c>
      <c r="T42" s="1565" t="s">
        <v>11</v>
      </c>
      <c r="U42" s="1566">
        <f t="shared" si="13"/>
        <v>100</v>
      </c>
      <c r="V42" s="1565" t="s">
        <v>11</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48"/>
      <c r="Q43" s="1564" t="str">
        <f t="shared" si="11"/>
        <v>内部装修维护情况</v>
      </c>
      <c r="R43" s="1565" t="s">
        <v>11</v>
      </c>
      <c r="S43" s="1566">
        <f t="shared" si="12"/>
        <v>100</v>
      </c>
      <c r="T43" s="1565" t="s">
        <v>11</v>
      </c>
      <c r="U43" s="1566">
        <f t="shared" si="13"/>
        <v>100</v>
      </c>
      <c r="V43" s="1565" t="s">
        <v>11</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48"/>
      <c r="Q44" s="1145">
        <f t="shared" si="11"/>
        <v>111</v>
      </c>
      <c r="R44" s="1560" t="s">
        <v>11</v>
      </c>
      <c r="S44" s="1561">
        <f t="shared" si="12"/>
        <v>100</v>
      </c>
      <c r="T44" s="1560" t="s">
        <v>11</v>
      </c>
      <c r="U44" s="1561">
        <f t="shared" si="13"/>
        <v>100</v>
      </c>
      <c r="V44" s="1560" t="s">
        <v>11</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48"/>
      <c r="Q45" s="1564">
        <f t="shared" si="11"/>
        <v>111</v>
      </c>
      <c r="R45" s="1565" t="s">
        <v>11</v>
      </c>
      <c r="S45" s="1566">
        <f t="shared" si="12"/>
        <v>100</v>
      </c>
      <c r="T45" s="1565" t="s">
        <v>11</v>
      </c>
      <c r="U45" s="1566">
        <f t="shared" si="13"/>
        <v>100</v>
      </c>
      <c r="V45" s="1565" t="s">
        <v>11</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4"/>
      <c r="Q46" s="1564">
        <f t="shared" si="11"/>
        <v>111</v>
      </c>
      <c r="R46" s="1565" t="s">
        <v>10</v>
      </c>
      <c r="S46" s="1566">
        <f t="shared" si="12"/>
        <v>100</v>
      </c>
      <c r="T46" s="1565" t="s">
        <v>10</v>
      </c>
      <c r="U46" s="1566">
        <f t="shared" si="13"/>
        <v>100</v>
      </c>
      <c r="V46" s="1565" t="s">
        <v>10</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10" t="str">
        <f>A47</f>
        <v>成交单价（元/平方米）</v>
      </c>
      <c r="Q47" s="3710"/>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10" t="str">
        <f>A48</f>
        <v>比较价格（元/平方米）</v>
      </c>
      <c r="Q48" s="3710"/>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07" t="str">
        <f>A49</f>
        <v>估价对象XX用房的比较价格（楼面单价，元/平方米）</v>
      </c>
      <c r="Q49" s="3708"/>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16" t="s">
        <v>488</v>
      </c>
      <c r="D4" s="3717"/>
      <c r="E4" s="3751" t="s">
        <v>489</v>
      </c>
      <c r="F4" s="3752"/>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1"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1"/>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1"/>
      <c r="AC6" s="3715"/>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45" t="s">
        <v>506</v>
      </c>
      <c r="Q15" s="1564" t="str">
        <f t="shared" si="6"/>
        <v>商业繁华度</v>
      </c>
      <c r="R15" s="1565" t="s">
        <v>8</v>
      </c>
      <c r="S15" s="1566">
        <f t="shared" si="0"/>
        <v>100</v>
      </c>
      <c r="T15" s="1565" t="s">
        <v>8</v>
      </c>
      <c r="U15" s="1566">
        <f t="shared" si="1"/>
        <v>100</v>
      </c>
      <c r="V15" s="1565" t="s">
        <v>8</v>
      </c>
      <c r="W15" s="1566">
        <f t="shared" si="2"/>
        <v>100</v>
      </c>
      <c r="X15" s="1559"/>
      <c r="Y15" s="374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46"/>
      <c r="Q23" s="1564" t="str">
        <f>B23</f>
        <v>自然及人文环境</v>
      </c>
      <c r="R23" s="1565" t="s">
        <v>8</v>
      </c>
      <c r="S23" s="1566">
        <f>F23</f>
        <v>100</v>
      </c>
      <c r="T23" s="1565" t="s">
        <v>8</v>
      </c>
      <c r="U23" s="1566">
        <f>H23</f>
        <v>100</v>
      </c>
      <c r="V23" s="1565" t="s">
        <v>8</v>
      </c>
      <c r="W23" s="1566">
        <f>J23</f>
        <v>100</v>
      </c>
      <c r="X23" s="1559"/>
      <c r="Y23" s="374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46"/>
      <c r="Q25" s="1564" t="str">
        <f t="shared" ref="Q25:Q46" si="11">B25</f>
        <v>临街状况</v>
      </c>
      <c r="R25" s="1565" t="s">
        <v>8</v>
      </c>
      <c r="S25" s="1566">
        <f>F25</f>
        <v>100</v>
      </c>
      <c r="T25" s="1565" t="s">
        <v>8</v>
      </c>
      <c r="U25" s="1566">
        <f>H25</f>
        <v>100</v>
      </c>
      <c r="V25" s="1565" t="s">
        <v>8</v>
      </c>
      <c r="W25" s="1566">
        <f>J25</f>
        <v>100</v>
      </c>
      <c r="X25" s="1559"/>
      <c r="Y25" s="374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46"/>
      <c r="Q26" s="1564" t="str">
        <f t="shared" si="11"/>
        <v>平面位置/可视性</v>
      </c>
      <c r="R26" s="1565" t="s">
        <v>8</v>
      </c>
      <c r="S26" s="1566">
        <f>F26</f>
        <v>100</v>
      </c>
      <c r="T26" s="1565" t="s">
        <v>8</v>
      </c>
      <c r="U26" s="1566">
        <f>H26</f>
        <v>100</v>
      </c>
      <c r="V26" s="1565" t="s">
        <v>8</v>
      </c>
      <c r="W26" s="1566">
        <f>J26</f>
        <v>100</v>
      </c>
      <c r="X26" s="1559"/>
      <c r="Y26" s="374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46"/>
      <c r="Q27" s="1145" t="str">
        <f t="shared" si="11"/>
        <v>人流量</v>
      </c>
      <c r="R27" s="1560" t="s">
        <v>8</v>
      </c>
      <c r="S27" s="1561">
        <f>F27</f>
        <v>100</v>
      </c>
      <c r="T27" s="1560" t="s">
        <v>8</v>
      </c>
      <c r="U27" s="1561">
        <f>H27</f>
        <v>100</v>
      </c>
      <c r="V27" s="1560" t="s">
        <v>8</v>
      </c>
      <c r="W27" s="1561">
        <f>J27</f>
        <v>100</v>
      </c>
      <c r="X27" s="1562"/>
      <c r="Y27" s="374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4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46"/>
      <c r="Q29" s="1564">
        <f t="shared" si="11"/>
        <v>111</v>
      </c>
      <c r="R29" s="1565" t="s">
        <v>8</v>
      </c>
      <c r="S29" s="1566">
        <f t="shared" si="12"/>
        <v>100</v>
      </c>
      <c r="T29" s="1565" t="s">
        <v>8</v>
      </c>
      <c r="U29" s="1566">
        <f t="shared" si="13"/>
        <v>100</v>
      </c>
      <c r="V29" s="1565" t="s">
        <v>8</v>
      </c>
      <c r="W29" s="1566">
        <f t="shared" si="14"/>
        <v>100</v>
      </c>
      <c r="X29" s="1559"/>
      <c r="Y29" s="374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47" t="s">
        <v>516</v>
      </c>
      <c r="Q32" s="1564" t="str">
        <f t="shared" si="11"/>
        <v>商业类型</v>
      </c>
      <c r="R32" s="1565" t="s">
        <v>8</v>
      </c>
      <c r="S32" s="1566">
        <f t="shared" si="12"/>
        <v>100</v>
      </c>
      <c r="T32" s="1565" t="s">
        <v>8</v>
      </c>
      <c r="U32" s="1566">
        <f t="shared" si="13"/>
        <v>100</v>
      </c>
      <c r="V32" s="1565" t="s">
        <v>8</v>
      </c>
      <c r="W32" s="1566">
        <f t="shared" si="14"/>
        <v>100</v>
      </c>
      <c r="X32" s="1559"/>
      <c r="Y32" s="374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48"/>
      <c r="Q33" s="1597" t="str">
        <f t="shared" si="11"/>
        <v>项目建筑规模</v>
      </c>
      <c r="R33" s="1569" t="s">
        <v>8</v>
      </c>
      <c r="S33" s="1570" t="e">
        <f t="shared" si="12"/>
        <v>#N/A</v>
      </c>
      <c r="T33" s="1569" t="s">
        <v>8</v>
      </c>
      <c r="U33" s="1570" t="e">
        <f t="shared" si="13"/>
        <v>#N/A</v>
      </c>
      <c r="V33" s="1569" t="s">
        <v>8</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48"/>
      <c r="Q34" s="1564" t="str">
        <f t="shared" si="11"/>
        <v>建筑结构</v>
      </c>
      <c r="R34" s="1565" t="s">
        <v>8</v>
      </c>
      <c r="S34" s="1566">
        <f t="shared" si="12"/>
        <v>100</v>
      </c>
      <c r="T34" s="1565" t="s">
        <v>8</v>
      </c>
      <c r="U34" s="1566">
        <f t="shared" si="13"/>
        <v>100</v>
      </c>
      <c r="V34" s="1565" t="s">
        <v>8</v>
      </c>
      <c r="W34" s="1566">
        <f t="shared" si="14"/>
        <v>100</v>
      </c>
      <c r="X34" s="1559"/>
      <c r="Y34" s="374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48"/>
      <c r="Q35" s="1564" t="str">
        <f t="shared" si="11"/>
        <v>公共部分装修</v>
      </c>
      <c r="R35" s="1565" t="s">
        <v>8</v>
      </c>
      <c r="S35" s="1566">
        <f t="shared" si="12"/>
        <v>100</v>
      </c>
      <c r="T35" s="1565" t="s">
        <v>8</v>
      </c>
      <c r="U35" s="1566">
        <f t="shared" si="13"/>
        <v>100</v>
      </c>
      <c r="V35" s="1565" t="s">
        <v>8</v>
      </c>
      <c r="W35" s="1566">
        <f t="shared" si="14"/>
        <v>100</v>
      </c>
      <c r="X35" s="1559"/>
      <c r="Y35" s="374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48"/>
      <c r="Q36" s="1564" t="str">
        <f t="shared" si="11"/>
        <v>成新度</v>
      </c>
      <c r="R36" s="1565" t="s">
        <v>8</v>
      </c>
      <c r="S36" s="1566" t="e">
        <f t="shared" si="12"/>
        <v>#N/A</v>
      </c>
      <c r="T36" s="1565" t="s">
        <v>8</v>
      </c>
      <c r="U36" s="1566" t="e">
        <f t="shared" si="13"/>
        <v>#N/A</v>
      </c>
      <c r="V36" s="1565" t="s">
        <v>8</v>
      </c>
      <c r="W36" s="1566" t="e">
        <f t="shared" si="14"/>
        <v>#N/A</v>
      </c>
      <c r="X36" s="1559"/>
      <c r="Y36" s="374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48"/>
      <c r="Q37" s="1145" t="str">
        <f t="shared" si="11"/>
        <v>市政基础设施</v>
      </c>
      <c r="R37" s="1560" t="s">
        <v>8</v>
      </c>
      <c r="S37" s="1561">
        <f t="shared" si="12"/>
        <v>100</v>
      </c>
      <c r="T37" s="1560" t="s">
        <v>8</v>
      </c>
      <c r="U37" s="1561">
        <f t="shared" si="13"/>
        <v>100</v>
      </c>
      <c r="V37" s="1560" t="s">
        <v>8</v>
      </c>
      <c r="W37" s="1561">
        <f t="shared" si="14"/>
        <v>100</v>
      </c>
      <c r="X37" s="1562"/>
      <c r="Y37" s="374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48" t="s">
        <v>732</v>
      </c>
      <c r="Q38" s="1564" t="str">
        <f t="shared" si="11"/>
        <v>业态</v>
      </c>
      <c r="R38" s="1565" t="s">
        <v>8</v>
      </c>
      <c r="S38" s="1566">
        <f t="shared" si="12"/>
        <v>100</v>
      </c>
      <c r="T38" s="1565" t="s">
        <v>8</v>
      </c>
      <c r="U38" s="1566">
        <f t="shared" si="13"/>
        <v>100</v>
      </c>
      <c r="V38" s="1565" t="s">
        <v>8</v>
      </c>
      <c r="W38" s="1566">
        <f t="shared" si="14"/>
        <v>100</v>
      </c>
      <c r="X38" s="1559"/>
      <c r="Y38" s="374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c r="Q39" s="1564" t="str">
        <f t="shared" si="11"/>
        <v>层高</v>
      </c>
      <c r="R39" s="1565" t="s">
        <v>8</v>
      </c>
      <c r="S39" s="1566">
        <f t="shared" si="12"/>
        <v>100</v>
      </c>
      <c r="T39" s="1565" t="s">
        <v>8</v>
      </c>
      <c r="U39" s="1566">
        <f t="shared" si="13"/>
        <v>100</v>
      </c>
      <c r="V39" s="1565" t="s">
        <v>8</v>
      </c>
      <c r="W39" s="1566">
        <f t="shared" si="14"/>
        <v>100</v>
      </c>
      <c r="X39" s="1559"/>
      <c r="Y39" s="374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48"/>
      <c r="Q40" s="1564" t="str">
        <f t="shared" si="11"/>
        <v>单套建筑面积</v>
      </c>
      <c r="R40" s="1565" t="s">
        <v>8</v>
      </c>
      <c r="S40" s="1566">
        <f t="shared" si="12"/>
        <v>100</v>
      </c>
      <c r="T40" s="1565" t="s">
        <v>8</v>
      </c>
      <c r="U40" s="1566">
        <f t="shared" si="13"/>
        <v>100</v>
      </c>
      <c r="V40" s="1565" t="s">
        <v>8</v>
      </c>
      <c r="W40" s="1566">
        <f t="shared" si="14"/>
        <v>100</v>
      </c>
      <c r="X40" s="1559"/>
      <c r="Y40" s="374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48"/>
      <c r="Q41" s="1597" t="str">
        <f t="shared" si="11"/>
        <v>进深比</v>
      </c>
      <c r="R41" s="1569" t="s">
        <v>8</v>
      </c>
      <c r="S41" s="1570">
        <f t="shared" si="12"/>
        <v>100</v>
      </c>
      <c r="T41" s="1569" t="s">
        <v>8</v>
      </c>
      <c r="U41" s="1570">
        <f t="shared" si="13"/>
        <v>100</v>
      </c>
      <c r="V41" s="1569" t="s">
        <v>8</v>
      </c>
      <c r="W41" s="1570">
        <f t="shared" si="14"/>
        <v>100</v>
      </c>
      <c r="X41" s="1571"/>
      <c r="Y41" s="374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48"/>
      <c r="Q42" s="1564" t="str">
        <f t="shared" si="11"/>
        <v>内部装修</v>
      </c>
      <c r="R42" s="1565" t="s">
        <v>8</v>
      </c>
      <c r="S42" s="1566">
        <f t="shared" si="12"/>
        <v>100</v>
      </c>
      <c r="T42" s="1565" t="s">
        <v>8</v>
      </c>
      <c r="U42" s="1566">
        <f t="shared" si="13"/>
        <v>100</v>
      </c>
      <c r="V42" s="1565" t="s">
        <v>8</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48"/>
      <c r="Q43" s="1564" t="str">
        <f t="shared" si="11"/>
        <v>内部装修维护情况</v>
      </c>
      <c r="R43" s="1565" t="s">
        <v>8</v>
      </c>
      <c r="S43" s="1566">
        <f t="shared" si="12"/>
        <v>100</v>
      </c>
      <c r="T43" s="1565" t="s">
        <v>8</v>
      </c>
      <c r="U43" s="1566">
        <f t="shared" si="13"/>
        <v>100</v>
      </c>
      <c r="V43" s="1565" t="s">
        <v>8</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48"/>
      <c r="Q44" s="1145">
        <f t="shared" si="11"/>
        <v>111</v>
      </c>
      <c r="R44" s="1560" t="s">
        <v>8</v>
      </c>
      <c r="S44" s="1561">
        <f t="shared" si="12"/>
        <v>100</v>
      </c>
      <c r="T44" s="1560" t="s">
        <v>8</v>
      </c>
      <c r="U44" s="1561">
        <f t="shared" si="13"/>
        <v>100</v>
      </c>
      <c r="V44" s="1560" t="s">
        <v>8</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48"/>
      <c r="Q45" s="1564">
        <f t="shared" si="11"/>
        <v>111</v>
      </c>
      <c r="R45" s="1565" t="s">
        <v>8</v>
      </c>
      <c r="S45" s="1566">
        <f t="shared" si="12"/>
        <v>100</v>
      </c>
      <c r="T45" s="1565" t="s">
        <v>8</v>
      </c>
      <c r="U45" s="1566">
        <f t="shared" si="13"/>
        <v>100</v>
      </c>
      <c r="V45" s="1565" t="s">
        <v>8</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4"/>
      <c r="Q46" s="1564">
        <f t="shared" si="11"/>
        <v>111</v>
      </c>
      <c r="R46" s="1565" t="s">
        <v>8</v>
      </c>
      <c r="S46" s="1566">
        <f t="shared" si="12"/>
        <v>100</v>
      </c>
      <c r="T46" s="1565" t="s">
        <v>8</v>
      </c>
      <c r="U46" s="1566">
        <f t="shared" si="13"/>
        <v>100</v>
      </c>
      <c r="V46" s="1565" t="s">
        <v>8</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10" t="str">
        <f>A47</f>
        <v>成交单价（元/平方米）</v>
      </c>
      <c r="Q47" s="3710"/>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10" t="str">
        <f>A48</f>
        <v>比较价格（元/平方米）</v>
      </c>
      <c r="Q48" s="3710"/>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07" t="str">
        <f>A49</f>
        <v>估价对象XX用房的比较价格（楼面单价，元/平方米）</v>
      </c>
      <c r="Q49" s="3708"/>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16" t="s">
        <v>488</v>
      </c>
      <c r="D4" s="3717"/>
      <c r="E4" s="3751" t="s">
        <v>489</v>
      </c>
      <c r="F4" s="3752"/>
      <c r="G4" s="3716" t="s">
        <v>490</v>
      </c>
      <c r="H4" s="3717"/>
      <c r="I4" s="3716" t="s">
        <v>491</v>
      </c>
      <c r="J4" s="3717"/>
      <c r="K4" s="508" t="s">
        <v>492</v>
      </c>
      <c r="L4" s="2126"/>
      <c r="M4" s="2127"/>
      <c r="N4" s="2127"/>
      <c r="O4" s="2127"/>
      <c r="P4" s="3796"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97"/>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98"/>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44"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44" t="s">
        <v>499</v>
      </c>
      <c r="Q8" s="3743"/>
      <c r="R8" s="1560" t="s">
        <v>8</v>
      </c>
      <c r="S8" s="1561">
        <f t="shared" si="0"/>
        <v>0</v>
      </c>
      <c r="T8" s="1560" t="s">
        <v>8</v>
      </c>
      <c r="U8" s="1561">
        <f t="shared" si="1"/>
        <v>0</v>
      </c>
      <c r="V8" s="1560" t="s">
        <v>8</v>
      </c>
      <c r="W8" s="1561">
        <f t="shared" si="2"/>
        <v>0</v>
      </c>
      <c r="X8" s="1562"/>
      <c r="Y8" s="3742" t="s">
        <v>499</v>
      </c>
      <c r="Z8" s="3743"/>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45" t="s">
        <v>506</v>
      </c>
      <c r="Q15" s="1564" t="str">
        <f t="shared" si="6"/>
        <v>办公集聚程度</v>
      </c>
      <c r="R15" s="1565" t="s">
        <v>8</v>
      </c>
      <c r="S15" s="1566">
        <f t="shared" si="0"/>
        <v>100</v>
      </c>
      <c r="T15" s="1565" t="s">
        <v>8</v>
      </c>
      <c r="U15" s="1566">
        <f t="shared" si="1"/>
        <v>100</v>
      </c>
      <c r="V15" s="1565" t="s">
        <v>8</v>
      </c>
      <c r="W15" s="1566">
        <f t="shared" si="2"/>
        <v>100</v>
      </c>
      <c r="X15" s="1559"/>
      <c r="Y15" s="374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46"/>
      <c r="Q16" s="1564"/>
      <c r="R16" s="1565"/>
      <c r="S16" s="1566"/>
      <c r="T16" s="1565"/>
      <c r="U16" s="1566"/>
      <c r="V16" s="1565"/>
      <c r="W16" s="1566"/>
      <c r="X16" s="1559"/>
      <c r="Y16" s="374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46"/>
      <c r="Q18" s="1564"/>
      <c r="R18" s="1565"/>
      <c r="S18" s="1566"/>
      <c r="T18" s="1565"/>
      <c r="U18" s="1566"/>
      <c r="V18" s="1565"/>
      <c r="W18" s="1566"/>
      <c r="X18" s="1559"/>
      <c r="Y18" s="374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46"/>
      <c r="Q20" s="1564"/>
      <c r="R20" s="1565"/>
      <c r="S20" s="1566"/>
      <c r="T20" s="1565"/>
      <c r="U20" s="1566"/>
      <c r="V20" s="1565"/>
      <c r="W20" s="1566"/>
      <c r="X20" s="1559"/>
      <c r="Y20" s="374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46"/>
      <c r="Q22" s="2596"/>
      <c r="R22" s="1565"/>
      <c r="S22" s="1566"/>
      <c r="T22" s="1565"/>
      <c r="U22" s="1566"/>
      <c r="V22" s="1565"/>
      <c r="W22" s="1566"/>
      <c r="X22" s="2598"/>
      <c r="Y22" s="374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46"/>
      <c r="Q24" s="1564"/>
      <c r="R24" s="1565"/>
      <c r="S24" s="1566"/>
      <c r="T24" s="1565"/>
      <c r="U24" s="1566"/>
      <c r="V24" s="1565"/>
      <c r="W24" s="1566"/>
      <c r="X24" s="1559"/>
      <c r="Y24" s="374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46"/>
      <c r="Q25" s="1564" t="str">
        <f>B25</f>
        <v>毗邻道路的类型与等级</v>
      </c>
      <c r="R25" s="1565" t="s">
        <v>8</v>
      </c>
      <c r="S25" s="1566">
        <f>F25</f>
        <v>100</v>
      </c>
      <c r="T25" s="1565" t="s">
        <v>8</v>
      </c>
      <c r="U25" s="1566">
        <f>H25</f>
        <v>100</v>
      </c>
      <c r="V25" s="1565" t="s">
        <v>8</v>
      </c>
      <c r="W25" s="1566">
        <f>J25</f>
        <v>100</v>
      </c>
      <c r="X25" s="1559"/>
      <c r="Y25" s="374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46"/>
      <c r="Q26" s="1564"/>
      <c r="R26" s="1565"/>
      <c r="S26" s="1566"/>
      <c r="T26" s="1565"/>
      <c r="U26" s="1566"/>
      <c r="V26" s="1565"/>
      <c r="W26" s="1566"/>
      <c r="X26" s="1559"/>
      <c r="Y26" s="374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46"/>
      <c r="Q27" s="1564" t="str">
        <f t="shared" ref="Q27:Q47" si="11">B27</f>
        <v>楼层</v>
      </c>
      <c r="R27" s="1565" t="s">
        <v>8</v>
      </c>
      <c r="S27" s="1566">
        <f>F27</f>
        <v>100</v>
      </c>
      <c r="T27" s="1565" t="s">
        <v>8</v>
      </c>
      <c r="U27" s="1566">
        <f>H27</f>
        <v>100</v>
      </c>
      <c r="V27" s="1565" t="s">
        <v>8</v>
      </c>
      <c r="W27" s="1566">
        <f>J27</f>
        <v>100</v>
      </c>
      <c r="X27" s="1559"/>
      <c r="Y27" s="374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46"/>
      <c r="Q28" s="1145" t="str">
        <f t="shared" si="11"/>
        <v>朝向</v>
      </c>
      <c r="R28" s="1560" t="s">
        <v>8</v>
      </c>
      <c r="S28" s="1561">
        <f>F28</f>
        <v>100</v>
      </c>
      <c r="T28" s="1560" t="s">
        <v>8</v>
      </c>
      <c r="U28" s="1561">
        <f>H28</f>
        <v>100</v>
      </c>
      <c r="V28" s="1560" t="s">
        <v>8</v>
      </c>
      <c r="W28" s="1561">
        <f>J28</f>
        <v>100</v>
      </c>
      <c r="X28" s="1562"/>
      <c r="Y28" s="374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46"/>
      <c r="Q29" s="1564">
        <f t="shared" si="11"/>
        <v>111</v>
      </c>
      <c r="R29" s="1565" t="s">
        <v>8</v>
      </c>
      <c r="S29" s="1566">
        <f t="shared" ref="S29:S47" si="12">F29</f>
        <v>100</v>
      </c>
      <c r="T29" s="1565" t="s">
        <v>8</v>
      </c>
      <c r="U29" s="1566">
        <f t="shared" ref="U29:U47" si="13">H29</f>
        <v>100</v>
      </c>
      <c r="V29" s="1565" t="s">
        <v>8</v>
      </c>
      <c r="W29" s="1566">
        <f t="shared" ref="W29:W47" si="14">J29</f>
        <v>100</v>
      </c>
      <c r="X29" s="1559"/>
      <c r="Y29" s="374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46"/>
      <c r="Q32" s="1564">
        <f t="shared" si="11"/>
        <v>111</v>
      </c>
      <c r="R32" s="1565" t="s">
        <v>8</v>
      </c>
      <c r="S32" s="1566">
        <f t="shared" si="12"/>
        <v>100</v>
      </c>
      <c r="T32" s="1565" t="s">
        <v>8</v>
      </c>
      <c r="U32" s="1566">
        <f t="shared" si="13"/>
        <v>100</v>
      </c>
      <c r="V32" s="1565" t="s">
        <v>8</v>
      </c>
      <c r="W32" s="1566">
        <f t="shared" si="14"/>
        <v>100</v>
      </c>
      <c r="X32" s="1559"/>
      <c r="Y32" s="374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47" t="s">
        <v>516</v>
      </c>
      <c r="Q33" s="1564" t="str">
        <f t="shared" si="11"/>
        <v>建筑类型</v>
      </c>
      <c r="R33" s="1565" t="s">
        <v>8</v>
      </c>
      <c r="S33" s="1566">
        <f t="shared" si="12"/>
        <v>100</v>
      </c>
      <c r="T33" s="1565" t="s">
        <v>8</v>
      </c>
      <c r="U33" s="1566">
        <f t="shared" si="13"/>
        <v>100</v>
      </c>
      <c r="V33" s="1565" t="s">
        <v>8</v>
      </c>
      <c r="W33" s="1566">
        <f t="shared" si="14"/>
        <v>100</v>
      </c>
      <c r="X33" s="1559"/>
      <c r="Y33" s="374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48"/>
      <c r="Q34" s="1597" t="str">
        <f t="shared" si="11"/>
        <v>项目建筑规模</v>
      </c>
      <c r="R34" s="1569" t="s">
        <v>8</v>
      </c>
      <c r="S34" s="1570" t="e">
        <f t="shared" si="12"/>
        <v>#N/A</v>
      </c>
      <c r="T34" s="1569" t="s">
        <v>8</v>
      </c>
      <c r="U34" s="1570" t="e">
        <f t="shared" si="13"/>
        <v>#N/A</v>
      </c>
      <c r="V34" s="1569" t="s">
        <v>8</v>
      </c>
      <c r="W34" s="1570" t="e">
        <f t="shared" si="14"/>
        <v>#N/A</v>
      </c>
      <c r="X34" s="1571"/>
      <c r="Y34" s="374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48"/>
      <c r="Q35" s="1564" t="str">
        <f t="shared" si="11"/>
        <v>建筑结构</v>
      </c>
      <c r="R35" s="1565" t="s">
        <v>8</v>
      </c>
      <c r="S35" s="1566">
        <f t="shared" si="12"/>
        <v>100</v>
      </c>
      <c r="T35" s="1565" t="s">
        <v>8</v>
      </c>
      <c r="U35" s="1566">
        <f t="shared" si="13"/>
        <v>100</v>
      </c>
      <c r="V35" s="1565" t="s">
        <v>8</v>
      </c>
      <c r="W35" s="1566">
        <f t="shared" si="14"/>
        <v>100</v>
      </c>
      <c r="X35" s="1559"/>
      <c r="Y35" s="374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48"/>
      <c r="Q36" s="1564" t="str">
        <f t="shared" si="11"/>
        <v>公共部分装修</v>
      </c>
      <c r="R36" s="1565" t="s">
        <v>8</v>
      </c>
      <c r="S36" s="1566">
        <f t="shared" si="12"/>
        <v>100</v>
      </c>
      <c r="T36" s="1565" t="s">
        <v>8</v>
      </c>
      <c r="U36" s="1566">
        <f t="shared" si="13"/>
        <v>100</v>
      </c>
      <c r="V36" s="1565" t="s">
        <v>8</v>
      </c>
      <c r="W36" s="1566">
        <f t="shared" si="14"/>
        <v>100</v>
      </c>
      <c r="X36" s="1559"/>
      <c r="Y36" s="374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48"/>
      <c r="Q37" s="1564" t="str">
        <f t="shared" si="11"/>
        <v>成新度</v>
      </c>
      <c r="R37" s="1565" t="s">
        <v>8</v>
      </c>
      <c r="S37" s="1566" t="e">
        <f t="shared" si="12"/>
        <v>#N/A</v>
      </c>
      <c r="T37" s="1565" t="s">
        <v>8</v>
      </c>
      <c r="U37" s="1566" t="e">
        <f t="shared" si="13"/>
        <v>#N/A</v>
      </c>
      <c r="V37" s="1565" t="s">
        <v>8</v>
      </c>
      <c r="W37" s="1566" t="e">
        <f t="shared" si="14"/>
        <v>#N/A</v>
      </c>
      <c r="X37" s="1559"/>
      <c r="Y37" s="374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48"/>
      <c r="Q38" s="1145" t="str">
        <f t="shared" si="11"/>
        <v>写字楼等级</v>
      </c>
      <c r="R38" s="1560" t="s">
        <v>8</v>
      </c>
      <c r="S38" s="1561">
        <f t="shared" si="12"/>
        <v>100</v>
      </c>
      <c r="T38" s="1560" t="s">
        <v>8</v>
      </c>
      <c r="U38" s="1561">
        <f t="shared" si="13"/>
        <v>100</v>
      </c>
      <c r="V38" s="1560" t="s">
        <v>8</v>
      </c>
      <c r="W38" s="1561">
        <f t="shared" si="14"/>
        <v>100</v>
      </c>
      <c r="X38" s="1562"/>
      <c r="Y38" s="374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48" t="s">
        <v>516</v>
      </c>
      <c r="Q39" s="1564" t="str">
        <f t="shared" si="11"/>
        <v>物业管理</v>
      </c>
      <c r="R39" s="1565" t="s">
        <v>8</v>
      </c>
      <c r="S39" s="1566">
        <f t="shared" si="12"/>
        <v>100</v>
      </c>
      <c r="T39" s="1565" t="s">
        <v>8</v>
      </c>
      <c r="U39" s="1566">
        <f t="shared" si="13"/>
        <v>100</v>
      </c>
      <c r="V39" s="1565" t="s">
        <v>8</v>
      </c>
      <c r="W39" s="1566">
        <f t="shared" si="14"/>
        <v>100</v>
      </c>
      <c r="X39" s="1559"/>
      <c r="Y39" s="374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48"/>
      <c r="Q40" s="1564" t="str">
        <f t="shared" si="11"/>
        <v>市政基础设施</v>
      </c>
      <c r="R40" s="1565" t="s">
        <v>8</v>
      </c>
      <c r="S40" s="1566">
        <f t="shared" si="12"/>
        <v>100</v>
      </c>
      <c r="T40" s="1565" t="s">
        <v>8</v>
      </c>
      <c r="U40" s="1566">
        <f t="shared" si="13"/>
        <v>100</v>
      </c>
      <c r="V40" s="1565" t="s">
        <v>8</v>
      </c>
      <c r="W40" s="1566">
        <f t="shared" si="14"/>
        <v>100</v>
      </c>
      <c r="X40" s="1559"/>
      <c r="Y40" s="374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48"/>
      <c r="Q41" s="1564" t="str">
        <f t="shared" si="11"/>
        <v>层高</v>
      </c>
      <c r="R41" s="1565" t="s">
        <v>8</v>
      </c>
      <c r="S41" s="1566">
        <f t="shared" si="12"/>
        <v>100</v>
      </c>
      <c r="T41" s="1565" t="s">
        <v>8</v>
      </c>
      <c r="U41" s="1566">
        <f t="shared" si="13"/>
        <v>100</v>
      </c>
      <c r="V41" s="1565" t="s">
        <v>8</v>
      </c>
      <c r="W41" s="1566">
        <f t="shared" si="14"/>
        <v>100</v>
      </c>
      <c r="X41" s="1559"/>
      <c r="Y41" s="374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48"/>
      <c r="Q42" s="1597" t="str">
        <f t="shared" si="11"/>
        <v>单套建筑面积</v>
      </c>
      <c r="R42" s="1569" t="s">
        <v>8</v>
      </c>
      <c r="S42" s="1570">
        <f t="shared" si="12"/>
        <v>100</v>
      </c>
      <c r="T42" s="1569" t="s">
        <v>8</v>
      </c>
      <c r="U42" s="1570">
        <f t="shared" si="13"/>
        <v>100</v>
      </c>
      <c r="V42" s="1569" t="s">
        <v>8</v>
      </c>
      <c r="W42" s="1570">
        <f t="shared" si="14"/>
        <v>100</v>
      </c>
      <c r="X42" s="1571"/>
      <c r="Y42" s="374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48"/>
      <c r="Q43" s="1564" t="str">
        <f t="shared" si="11"/>
        <v>内部装修</v>
      </c>
      <c r="R43" s="1565" t="s">
        <v>8</v>
      </c>
      <c r="S43" s="1566">
        <f t="shared" si="12"/>
        <v>100</v>
      </c>
      <c r="T43" s="1565" t="s">
        <v>8</v>
      </c>
      <c r="U43" s="1566">
        <f t="shared" si="13"/>
        <v>100</v>
      </c>
      <c r="V43" s="1565" t="s">
        <v>8</v>
      </c>
      <c r="W43" s="1566">
        <f t="shared" si="14"/>
        <v>100</v>
      </c>
      <c r="X43" s="1559"/>
      <c r="Y43" s="374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48"/>
      <c r="Q44" s="1564" t="str">
        <f t="shared" si="11"/>
        <v>内部装修维护情况</v>
      </c>
      <c r="R44" s="1565" t="s">
        <v>8</v>
      </c>
      <c r="S44" s="1566">
        <f t="shared" si="12"/>
        <v>100</v>
      </c>
      <c r="T44" s="1565" t="s">
        <v>8</v>
      </c>
      <c r="U44" s="1566">
        <f t="shared" si="13"/>
        <v>100</v>
      </c>
      <c r="V44" s="1565" t="s">
        <v>8</v>
      </c>
      <c r="W44" s="1566">
        <f t="shared" si="14"/>
        <v>100</v>
      </c>
      <c r="X44" s="1559"/>
      <c r="Y44" s="374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48"/>
      <c r="Q45" s="1145">
        <f t="shared" si="11"/>
        <v>111</v>
      </c>
      <c r="R45" s="1560" t="s">
        <v>8</v>
      </c>
      <c r="S45" s="1561">
        <f t="shared" si="12"/>
        <v>100</v>
      </c>
      <c r="T45" s="1560" t="s">
        <v>8</v>
      </c>
      <c r="U45" s="1561">
        <f t="shared" si="13"/>
        <v>100</v>
      </c>
      <c r="V45" s="1560" t="s">
        <v>8</v>
      </c>
      <c r="W45" s="1561">
        <f t="shared" si="14"/>
        <v>100</v>
      </c>
      <c r="X45" s="1562"/>
      <c r="Y45" s="374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48"/>
      <c r="Q46" s="1564">
        <f t="shared" si="11"/>
        <v>111</v>
      </c>
      <c r="R46" s="1565" t="s">
        <v>8</v>
      </c>
      <c r="S46" s="1566">
        <f t="shared" si="12"/>
        <v>100</v>
      </c>
      <c r="T46" s="1565" t="s">
        <v>8</v>
      </c>
      <c r="U46" s="1566">
        <f t="shared" si="13"/>
        <v>100</v>
      </c>
      <c r="V46" s="1565" t="s">
        <v>8</v>
      </c>
      <c r="W46" s="1566">
        <f t="shared" si="14"/>
        <v>100</v>
      </c>
      <c r="X46" s="1559"/>
      <c r="Y46" s="374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4"/>
      <c r="Q47" s="1564">
        <f t="shared" si="11"/>
        <v>111</v>
      </c>
      <c r="R47" s="1565" t="s">
        <v>8</v>
      </c>
      <c r="S47" s="1566">
        <f t="shared" si="12"/>
        <v>100</v>
      </c>
      <c r="T47" s="1565" t="s">
        <v>8</v>
      </c>
      <c r="U47" s="1566">
        <f t="shared" si="13"/>
        <v>100</v>
      </c>
      <c r="V47" s="1565" t="s">
        <v>8</v>
      </c>
      <c r="W47" s="1566">
        <f t="shared" si="14"/>
        <v>100</v>
      </c>
      <c r="X47" s="1559"/>
      <c r="Y47" s="3794"/>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08" t="str">
        <f>A48</f>
        <v>成交单价（元/平方米）</v>
      </c>
      <c r="Q48" s="3710"/>
      <c r="R48" s="3793">
        <f>E48</f>
        <v>0</v>
      </c>
      <c r="S48" s="3793"/>
      <c r="T48" s="3793">
        <f>G48</f>
        <v>0</v>
      </c>
      <c r="U48" s="3793"/>
      <c r="V48" s="3793">
        <f>I48</f>
        <v>0</v>
      </c>
      <c r="W48" s="3793"/>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08" t="str">
        <f>A49</f>
        <v>比较价格（元/平方米）</v>
      </c>
      <c r="Q49" s="3710"/>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5" t="str">
        <f>A50</f>
        <v>估价对象XX用房的比较价格（楼面单价，元/平方米）</v>
      </c>
      <c r="Q50" s="3708"/>
      <c r="R50" s="3792" t="e">
        <f>IF(F1="售价",ROUND(AVERAGE(R49:V49),0),ROUND(AVERAGE(R49:V49),1))</f>
        <v>#DIV/0!</v>
      </c>
      <c r="S50" s="3792"/>
      <c r="T50" s="3792"/>
      <c r="U50" s="3792"/>
      <c r="V50" s="3792"/>
      <c r="W50" s="3792"/>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16" t="s">
        <v>488</v>
      </c>
      <c r="D4" s="3717"/>
      <c r="E4" s="3751" t="s">
        <v>489</v>
      </c>
      <c r="F4" s="3752"/>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4"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45" t="s">
        <v>506</v>
      </c>
      <c r="Q15" s="1564" t="str">
        <f t="shared" si="6"/>
        <v>产业集聚程度</v>
      </c>
      <c r="R15" s="1565" t="s">
        <v>8</v>
      </c>
      <c r="S15" s="1566">
        <f t="shared" si="0"/>
        <v>100</v>
      </c>
      <c r="T15" s="1565" t="s">
        <v>8</v>
      </c>
      <c r="U15" s="1566">
        <f t="shared" si="1"/>
        <v>100</v>
      </c>
      <c r="V15" s="1565" t="s">
        <v>8</v>
      </c>
      <c r="W15" s="1566">
        <f t="shared" si="2"/>
        <v>100</v>
      </c>
      <c r="X15" s="1559"/>
      <c r="Y15" s="374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46"/>
      <c r="Q25" s="1564">
        <f>B25</f>
        <v>111</v>
      </c>
      <c r="R25" s="1565" t="s">
        <v>8</v>
      </c>
      <c r="S25" s="1566">
        <f>F25</f>
        <v>100</v>
      </c>
      <c r="T25" s="1565" t="s">
        <v>8</v>
      </c>
      <c r="U25" s="1566">
        <f>H25</f>
        <v>100</v>
      </c>
      <c r="V25" s="1565" t="s">
        <v>8</v>
      </c>
      <c r="W25" s="1566">
        <f>J25</f>
        <v>100</v>
      </c>
      <c r="X25" s="1559"/>
      <c r="Y25" s="374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46"/>
      <c r="Q26" s="1564">
        <f t="shared" ref="Q26:Q40" si="11">B26</f>
        <v>111</v>
      </c>
      <c r="R26" s="1565" t="s">
        <v>8</v>
      </c>
      <c r="S26" s="1566">
        <f>F26</f>
        <v>100</v>
      </c>
      <c r="T26" s="1565" t="s">
        <v>8</v>
      </c>
      <c r="U26" s="1566">
        <f>H26</f>
        <v>100</v>
      </c>
      <c r="V26" s="1565" t="s">
        <v>8</v>
      </c>
      <c r="W26" s="1566">
        <f>J26</f>
        <v>100</v>
      </c>
      <c r="X26" s="1559"/>
      <c r="Y26" s="374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46"/>
      <c r="Q27" s="1145">
        <f t="shared" si="11"/>
        <v>111</v>
      </c>
      <c r="R27" s="1560" t="s">
        <v>8</v>
      </c>
      <c r="S27" s="1561">
        <f>F27</f>
        <v>100</v>
      </c>
      <c r="T27" s="1560" t="s">
        <v>8</v>
      </c>
      <c r="U27" s="1561">
        <f>H27</f>
        <v>100</v>
      </c>
      <c r="V27" s="1560" t="s">
        <v>8</v>
      </c>
      <c r="W27" s="1561">
        <f>J27</f>
        <v>100</v>
      </c>
      <c r="X27" s="1562"/>
      <c r="Y27" s="374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46"/>
      <c r="Q28" s="1564">
        <f t="shared" si="11"/>
        <v>111</v>
      </c>
      <c r="R28" s="1565" t="s">
        <v>8</v>
      </c>
      <c r="S28" s="1566">
        <f t="shared" ref="S28:S40" si="12">F28</f>
        <v>100</v>
      </c>
      <c r="T28" s="1565" t="s">
        <v>8</v>
      </c>
      <c r="U28" s="1566">
        <f t="shared" ref="U28:U40" si="13">H28</f>
        <v>100</v>
      </c>
      <c r="V28" s="1565" t="s">
        <v>8</v>
      </c>
      <c r="W28" s="1566">
        <f t="shared" ref="W28:W40" si="14">J28</f>
        <v>100</v>
      </c>
      <c r="X28" s="1559"/>
      <c r="Y28" s="374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47" t="s">
        <v>516</v>
      </c>
      <c r="Q29" s="1564" t="str">
        <f t="shared" si="11"/>
        <v>建筑类型</v>
      </c>
      <c r="R29" s="1565" t="s">
        <v>8</v>
      </c>
      <c r="S29" s="1566">
        <f t="shared" si="12"/>
        <v>100</v>
      </c>
      <c r="T29" s="1565" t="s">
        <v>8</v>
      </c>
      <c r="U29" s="1566">
        <f t="shared" si="13"/>
        <v>100</v>
      </c>
      <c r="V29" s="1565" t="s">
        <v>8</v>
      </c>
      <c r="W29" s="1566">
        <f t="shared" si="14"/>
        <v>100</v>
      </c>
      <c r="X29" s="1559"/>
      <c r="Y29" s="374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48"/>
      <c r="Q30" s="1597" t="str">
        <f t="shared" si="11"/>
        <v>项目建筑规模</v>
      </c>
      <c r="R30" s="1569" t="s">
        <v>8</v>
      </c>
      <c r="S30" s="1570" t="e">
        <f t="shared" si="12"/>
        <v>#N/A</v>
      </c>
      <c r="T30" s="1569" t="s">
        <v>8</v>
      </c>
      <c r="U30" s="1570" t="e">
        <f t="shared" si="13"/>
        <v>#N/A</v>
      </c>
      <c r="V30" s="1569" t="s">
        <v>8</v>
      </c>
      <c r="W30" s="1570" t="e">
        <f t="shared" si="14"/>
        <v>#N/A</v>
      </c>
      <c r="X30" s="1571"/>
      <c r="Y30" s="374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48"/>
      <c r="Q31" s="1564" t="str">
        <f t="shared" si="11"/>
        <v>建筑结构</v>
      </c>
      <c r="R31" s="1565" t="s">
        <v>8</v>
      </c>
      <c r="S31" s="1566">
        <f t="shared" si="12"/>
        <v>100</v>
      </c>
      <c r="T31" s="1565" t="s">
        <v>8</v>
      </c>
      <c r="U31" s="1566">
        <f t="shared" si="13"/>
        <v>100</v>
      </c>
      <c r="V31" s="1565" t="s">
        <v>8</v>
      </c>
      <c r="W31" s="1566">
        <f t="shared" si="14"/>
        <v>100</v>
      </c>
      <c r="X31" s="1559"/>
      <c r="Y31" s="374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48"/>
      <c r="Q32" s="1564" t="str">
        <f t="shared" si="11"/>
        <v>公共部分装修</v>
      </c>
      <c r="R32" s="1565" t="s">
        <v>8</v>
      </c>
      <c r="S32" s="1566">
        <f t="shared" si="12"/>
        <v>100</v>
      </c>
      <c r="T32" s="1565" t="s">
        <v>8</v>
      </c>
      <c r="U32" s="1566">
        <f t="shared" si="13"/>
        <v>100</v>
      </c>
      <c r="V32" s="1565" t="s">
        <v>8</v>
      </c>
      <c r="W32" s="1566">
        <f t="shared" si="14"/>
        <v>100</v>
      </c>
      <c r="X32" s="1559"/>
      <c r="Y32" s="374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48"/>
      <c r="Q33" s="1564" t="str">
        <f t="shared" si="11"/>
        <v>成新度</v>
      </c>
      <c r="R33" s="1565" t="s">
        <v>8</v>
      </c>
      <c r="S33" s="1566" t="e">
        <f t="shared" si="12"/>
        <v>#N/A</v>
      </c>
      <c r="T33" s="1565" t="s">
        <v>8</v>
      </c>
      <c r="U33" s="1566" t="e">
        <f t="shared" si="13"/>
        <v>#N/A</v>
      </c>
      <c r="V33" s="1565" t="s">
        <v>8</v>
      </c>
      <c r="W33" s="1566" t="e">
        <f t="shared" si="14"/>
        <v>#N/A</v>
      </c>
      <c r="X33" s="1559"/>
      <c r="Y33" s="374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48"/>
      <c r="Q34" s="1145" t="str">
        <f t="shared" si="11"/>
        <v>物业管理</v>
      </c>
      <c r="R34" s="1560" t="s">
        <v>8</v>
      </c>
      <c r="S34" s="1561">
        <f t="shared" si="12"/>
        <v>100</v>
      </c>
      <c r="T34" s="1560" t="s">
        <v>8</v>
      </c>
      <c r="U34" s="1561">
        <f t="shared" si="13"/>
        <v>100</v>
      </c>
      <c r="V34" s="1560" t="s">
        <v>8</v>
      </c>
      <c r="W34" s="1561">
        <f t="shared" si="14"/>
        <v>100</v>
      </c>
      <c r="X34" s="1562"/>
      <c r="Y34" s="374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48" t="s">
        <v>516</v>
      </c>
      <c r="Q35" s="1564" t="str">
        <f t="shared" si="11"/>
        <v>市政基础设施</v>
      </c>
      <c r="R35" s="1565" t="s">
        <v>8</v>
      </c>
      <c r="S35" s="1566">
        <f t="shared" si="12"/>
        <v>100</v>
      </c>
      <c r="T35" s="1565" t="s">
        <v>8</v>
      </c>
      <c r="U35" s="1566">
        <f t="shared" si="13"/>
        <v>100</v>
      </c>
      <c r="V35" s="1565" t="s">
        <v>8</v>
      </c>
      <c r="W35" s="1566">
        <f t="shared" si="14"/>
        <v>100</v>
      </c>
      <c r="X35" s="1559"/>
      <c r="Y35" s="374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48"/>
      <c r="Q36" s="1564" t="str">
        <f t="shared" si="11"/>
        <v>内部装修</v>
      </c>
      <c r="R36" s="1565" t="s">
        <v>8</v>
      </c>
      <c r="S36" s="1566">
        <f t="shared" si="12"/>
        <v>100</v>
      </c>
      <c r="T36" s="1565" t="s">
        <v>8</v>
      </c>
      <c r="U36" s="1566">
        <f t="shared" si="13"/>
        <v>100</v>
      </c>
      <c r="V36" s="1565" t="s">
        <v>8</v>
      </c>
      <c r="W36" s="1566">
        <f t="shared" si="14"/>
        <v>100</v>
      </c>
      <c r="X36" s="1559"/>
      <c r="Y36" s="374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48"/>
      <c r="Q37" s="1564" t="str">
        <f t="shared" si="11"/>
        <v>内部装修状况</v>
      </c>
      <c r="R37" s="1565" t="s">
        <v>8</v>
      </c>
      <c r="S37" s="1566">
        <f t="shared" si="12"/>
        <v>100</v>
      </c>
      <c r="T37" s="1565" t="s">
        <v>8</v>
      </c>
      <c r="U37" s="1566">
        <f t="shared" si="13"/>
        <v>100</v>
      </c>
      <c r="V37" s="1565" t="s">
        <v>8</v>
      </c>
      <c r="W37" s="1566">
        <f t="shared" si="14"/>
        <v>100</v>
      </c>
      <c r="X37" s="1559"/>
      <c r="Y37" s="374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48"/>
      <c r="Q38" s="1597">
        <f t="shared" si="11"/>
        <v>111</v>
      </c>
      <c r="R38" s="1569" t="s">
        <v>8</v>
      </c>
      <c r="S38" s="1570">
        <f t="shared" si="12"/>
        <v>100</v>
      </c>
      <c r="T38" s="1569" t="s">
        <v>8</v>
      </c>
      <c r="U38" s="1570">
        <f t="shared" si="13"/>
        <v>100</v>
      </c>
      <c r="V38" s="1569" t="s">
        <v>8</v>
      </c>
      <c r="W38" s="1570">
        <f t="shared" si="14"/>
        <v>100</v>
      </c>
      <c r="X38" s="1571"/>
      <c r="Y38" s="374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48"/>
      <c r="Q39" s="1564">
        <f t="shared" si="11"/>
        <v>111</v>
      </c>
      <c r="R39" s="1565" t="s">
        <v>8</v>
      </c>
      <c r="S39" s="1566">
        <f t="shared" si="12"/>
        <v>100</v>
      </c>
      <c r="T39" s="1565" t="s">
        <v>8</v>
      </c>
      <c r="U39" s="1566">
        <f t="shared" si="13"/>
        <v>100</v>
      </c>
      <c r="V39" s="1565" t="s">
        <v>8</v>
      </c>
      <c r="W39" s="1566">
        <f t="shared" si="14"/>
        <v>100</v>
      </c>
      <c r="X39" s="1559"/>
      <c r="Y39" s="374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4"/>
      <c r="Q40" s="1564">
        <f t="shared" si="11"/>
        <v>111</v>
      </c>
      <c r="R40" s="1565" t="s">
        <v>8</v>
      </c>
      <c r="S40" s="1566">
        <f t="shared" si="12"/>
        <v>100</v>
      </c>
      <c r="T40" s="1565" t="s">
        <v>8</v>
      </c>
      <c r="U40" s="1566">
        <f t="shared" si="13"/>
        <v>100</v>
      </c>
      <c r="V40" s="1565" t="s">
        <v>8</v>
      </c>
      <c r="W40" s="1566">
        <f t="shared" si="14"/>
        <v>100</v>
      </c>
      <c r="X40" s="1559"/>
      <c r="Y40" s="3794"/>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10" t="str">
        <f>A41</f>
        <v>成交单价（元/平方米）</v>
      </c>
      <c r="Q41" s="3710"/>
      <c r="R41" s="3793">
        <f>E41</f>
        <v>0</v>
      </c>
      <c r="S41" s="3793"/>
      <c r="T41" s="3793">
        <f>G41</f>
        <v>0</v>
      </c>
      <c r="U41" s="3793"/>
      <c r="V41" s="3793">
        <f>I41</f>
        <v>0</v>
      </c>
      <c r="W41" s="3793"/>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10" t="str">
        <f>A42</f>
        <v>比较价格（元/平方米）</v>
      </c>
      <c r="Q42" s="3710"/>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07" t="str">
        <f>A43</f>
        <v>估价对象XX用房的比较价格（楼面单价，元/平方米）</v>
      </c>
      <c r="Q43" s="3708"/>
      <c r="R43" s="3792" t="e">
        <f>IF(F1="售价",ROUND(AVERAGE(R42:V42),0),ROUND(AVERAGE(R42:V42),1))</f>
        <v>#DIV/0!</v>
      </c>
      <c r="S43" s="3792"/>
      <c r="T43" s="3792"/>
      <c r="U43" s="3792"/>
      <c r="V43" s="3792"/>
      <c r="W43" s="3792"/>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16" t="s">
        <v>765</v>
      </c>
      <c r="F4" s="3717"/>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32" t="s">
        <v>2883</v>
      </c>
      <c r="D5" s="3733"/>
      <c r="E5" s="3732" t="s">
        <v>2884</v>
      </c>
      <c r="F5" s="3733"/>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35" t="s">
        <v>2887</v>
      </c>
      <c r="F6" s="3736"/>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46"/>
      <c r="Q24" s="1564">
        <f t="shared" ref="Q24:Q36"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4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48"/>
      <c r="Q27" s="1597" t="str">
        <f t="shared" si="11"/>
        <v>项目停车位配比</v>
      </c>
      <c r="R27" s="1569" t="s">
        <v>8</v>
      </c>
      <c r="S27" s="1570">
        <f t="shared" si="12"/>
        <v>100</v>
      </c>
      <c r="T27" s="1569" t="s">
        <v>8</v>
      </c>
      <c r="U27" s="1570">
        <f t="shared" si="13"/>
        <v>100</v>
      </c>
      <c r="V27" s="1569" t="s">
        <v>8</v>
      </c>
      <c r="W27" s="1570">
        <f t="shared" si="14"/>
        <v>100</v>
      </c>
      <c r="X27" s="1571"/>
      <c r="Y27" s="374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48"/>
      <c r="Q28" s="1564" t="str">
        <f t="shared" si="11"/>
        <v>公共部分装修</v>
      </c>
      <c r="R28" s="1565" t="s">
        <v>8</v>
      </c>
      <c r="S28" s="1566">
        <f t="shared" si="12"/>
        <v>100</v>
      </c>
      <c r="T28" s="1565" t="s">
        <v>8</v>
      </c>
      <c r="U28" s="1566">
        <f t="shared" si="13"/>
        <v>100</v>
      </c>
      <c r="V28" s="1565" t="s">
        <v>8</v>
      </c>
      <c r="W28" s="1566">
        <f t="shared" si="14"/>
        <v>100</v>
      </c>
      <c r="X28" s="1559"/>
      <c r="Y28" s="374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48"/>
      <c r="Q29" s="1564" t="str">
        <f t="shared" si="11"/>
        <v>成新率</v>
      </c>
      <c r="R29" s="1565" t="s">
        <v>8</v>
      </c>
      <c r="S29" s="1566" t="e">
        <f t="shared" si="12"/>
        <v>#N/A</v>
      </c>
      <c r="T29" s="1565" t="s">
        <v>8</v>
      </c>
      <c r="U29" s="1566" t="e">
        <f t="shared" si="13"/>
        <v>#N/A</v>
      </c>
      <c r="V29" s="1565" t="s">
        <v>8</v>
      </c>
      <c r="W29" s="1566" t="e">
        <f t="shared" si="14"/>
        <v>#N/A</v>
      </c>
      <c r="X29" s="1559"/>
      <c r="Y29" s="374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48"/>
      <c r="Q30" s="1564" t="str">
        <f t="shared" si="11"/>
        <v>物业等级</v>
      </c>
      <c r="R30" s="1565" t="s">
        <v>8</v>
      </c>
      <c r="S30" s="1566">
        <f t="shared" si="12"/>
        <v>100</v>
      </c>
      <c r="T30" s="1565" t="s">
        <v>8</v>
      </c>
      <c r="U30" s="1566">
        <f t="shared" si="13"/>
        <v>100</v>
      </c>
      <c r="V30" s="1565" t="s">
        <v>8</v>
      </c>
      <c r="W30" s="1566">
        <f t="shared" si="14"/>
        <v>100</v>
      </c>
      <c r="X30" s="1559"/>
      <c r="Y30" s="374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48"/>
      <c r="Q31" s="1145" t="str">
        <f t="shared" si="11"/>
        <v>停车位面积</v>
      </c>
      <c r="R31" s="1560" t="s">
        <v>8</v>
      </c>
      <c r="S31" s="1561" t="e">
        <f t="shared" si="12"/>
        <v>#N/A</v>
      </c>
      <c r="T31" s="1560" t="s">
        <v>8</v>
      </c>
      <c r="U31" s="1561" t="e">
        <f t="shared" si="13"/>
        <v>#N/A</v>
      </c>
      <c r="V31" s="1560" t="s">
        <v>8</v>
      </c>
      <c r="W31" s="1561" t="e">
        <f t="shared" si="14"/>
        <v>#N/A</v>
      </c>
      <c r="X31" s="1562"/>
      <c r="Y31" s="374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48" t="s">
        <v>516</v>
      </c>
      <c r="Q32" s="1564" t="str">
        <f t="shared" si="11"/>
        <v>车位类型</v>
      </c>
      <c r="R32" s="1565" t="s">
        <v>8</v>
      </c>
      <c r="S32" s="1566">
        <f t="shared" si="12"/>
        <v>100</v>
      </c>
      <c r="T32" s="1565" t="s">
        <v>8</v>
      </c>
      <c r="U32" s="1566">
        <f t="shared" si="13"/>
        <v>100</v>
      </c>
      <c r="V32" s="1565" t="s">
        <v>8</v>
      </c>
      <c r="W32" s="1566">
        <f t="shared" si="14"/>
        <v>100</v>
      </c>
      <c r="X32" s="1559"/>
      <c r="Y32" s="374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48"/>
      <c r="Q33" s="1564" t="str">
        <f t="shared" si="11"/>
        <v>是否直接入户</v>
      </c>
      <c r="R33" s="1565" t="s">
        <v>8</v>
      </c>
      <c r="S33" s="1566">
        <f t="shared" si="12"/>
        <v>100</v>
      </c>
      <c r="T33" s="1565" t="s">
        <v>8</v>
      </c>
      <c r="U33" s="1566">
        <f t="shared" si="13"/>
        <v>100</v>
      </c>
      <c r="V33" s="1565" t="s">
        <v>8</v>
      </c>
      <c r="W33" s="1566">
        <f t="shared" si="14"/>
        <v>100</v>
      </c>
      <c r="X33" s="1559"/>
      <c r="Y33" s="374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48"/>
      <c r="Q35" s="1597">
        <f t="shared" si="11"/>
        <v>111</v>
      </c>
      <c r="R35" s="1569" t="s">
        <v>8</v>
      </c>
      <c r="S35" s="1570">
        <f t="shared" si="12"/>
        <v>100</v>
      </c>
      <c r="T35" s="1569" t="s">
        <v>8</v>
      </c>
      <c r="U35" s="1570">
        <f t="shared" si="13"/>
        <v>100</v>
      </c>
      <c r="V35" s="1569" t="s">
        <v>8</v>
      </c>
      <c r="W35" s="1570">
        <f t="shared" si="14"/>
        <v>100</v>
      </c>
      <c r="X35" s="1571"/>
      <c r="Y35" s="374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48"/>
      <c r="Q36" s="1564">
        <f t="shared" si="11"/>
        <v>111</v>
      </c>
      <c r="R36" s="1565" t="s">
        <v>8</v>
      </c>
      <c r="S36" s="1566">
        <f t="shared" si="12"/>
        <v>100</v>
      </c>
      <c r="T36" s="1565" t="s">
        <v>8</v>
      </c>
      <c r="U36" s="1566">
        <f t="shared" si="13"/>
        <v>100</v>
      </c>
      <c r="V36" s="1565" t="s">
        <v>8</v>
      </c>
      <c r="W36" s="1566">
        <f t="shared" si="14"/>
        <v>100</v>
      </c>
      <c r="X36" s="1559"/>
      <c r="Y36" s="374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10" t="str">
        <f>A37</f>
        <v>成交单价</v>
      </c>
      <c r="Q37" s="3710"/>
      <c r="R37" s="3793">
        <f>E37</f>
        <v>0</v>
      </c>
      <c r="S37" s="3793"/>
      <c r="T37" s="3793">
        <f>G37</f>
        <v>0</v>
      </c>
      <c r="U37" s="3793"/>
      <c r="V37" s="3793">
        <f>I37</f>
        <v>0</v>
      </c>
      <c r="W37" s="3793"/>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10" t="str">
        <f>A38</f>
        <v>比较价格（元/平方米）</v>
      </c>
      <c r="Q38" s="3710"/>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07" t="str">
        <f>A39</f>
        <v>估价对象XX用房的比较价格（楼面单价，元/平方米）</v>
      </c>
      <c r="Q39" s="3708"/>
      <c r="R39" s="3792" t="e">
        <f>IF(F1="售价",ROUND(AVERAGE(R38:V38),0),ROUND(AVERAGE(R38:V38),1))</f>
        <v>#DIV/0!</v>
      </c>
      <c r="S39" s="3792"/>
      <c r="T39" s="3792"/>
      <c r="U39" s="3792"/>
      <c r="V39" s="3792"/>
      <c r="W39" s="3792"/>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51" t="s">
        <v>765</v>
      </c>
      <c r="F4" s="3752"/>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46"/>
      <c r="Q24" s="1564">
        <f t="shared" ref="Q24:Q34"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4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48"/>
      <c r="Q27" s="1597" t="str">
        <f t="shared" si="11"/>
        <v>成新率</v>
      </c>
      <c r="R27" s="1569" t="s">
        <v>8</v>
      </c>
      <c r="S27" s="1570" t="e">
        <f t="shared" si="12"/>
        <v>#N/A</v>
      </c>
      <c r="T27" s="1569" t="s">
        <v>8</v>
      </c>
      <c r="U27" s="1570" t="e">
        <f t="shared" si="13"/>
        <v>#N/A</v>
      </c>
      <c r="V27" s="1569" t="s">
        <v>8</v>
      </c>
      <c r="W27" s="1570" t="e">
        <f t="shared" si="14"/>
        <v>#N/A</v>
      </c>
      <c r="X27" s="1571"/>
      <c r="Y27" s="374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48"/>
      <c r="Q28" s="1564" t="str">
        <f t="shared" si="11"/>
        <v>物业等级</v>
      </c>
      <c r="R28" s="1565" t="s">
        <v>8</v>
      </c>
      <c r="S28" s="1566">
        <f t="shared" si="12"/>
        <v>100</v>
      </c>
      <c r="T28" s="1565" t="s">
        <v>8</v>
      </c>
      <c r="U28" s="1566">
        <f t="shared" si="13"/>
        <v>100</v>
      </c>
      <c r="V28" s="1565" t="s">
        <v>8</v>
      </c>
      <c r="W28" s="1566">
        <f t="shared" si="14"/>
        <v>100</v>
      </c>
      <c r="X28" s="1559"/>
      <c r="Y28" s="374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48"/>
      <c r="Q29" s="1564" t="str">
        <f t="shared" si="11"/>
        <v>有无电梯</v>
      </c>
      <c r="R29" s="1565" t="s">
        <v>8</v>
      </c>
      <c r="S29" s="1566">
        <f t="shared" si="12"/>
        <v>100</v>
      </c>
      <c r="T29" s="1565" t="s">
        <v>8</v>
      </c>
      <c r="U29" s="1566">
        <f t="shared" si="13"/>
        <v>100</v>
      </c>
      <c r="V29" s="1565" t="s">
        <v>8</v>
      </c>
      <c r="W29" s="1566">
        <f t="shared" si="14"/>
        <v>100</v>
      </c>
      <c r="X29" s="1559"/>
      <c r="Y29" s="374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48"/>
      <c r="Q30" s="1564" t="str">
        <f t="shared" si="11"/>
        <v>建筑面积</v>
      </c>
      <c r="R30" s="1565" t="s">
        <v>8</v>
      </c>
      <c r="S30" s="1566" t="e">
        <f t="shared" si="12"/>
        <v>#N/A</v>
      </c>
      <c r="T30" s="1565" t="s">
        <v>8</v>
      </c>
      <c r="U30" s="1566" t="e">
        <f t="shared" si="13"/>
        <v>#N/A</v>
      </c>
      <c r="V30" s="1565" t="s">
        <v>8</v>
      </c>
      <c r="W30" s="1566" t="e">
        <f t="shared" si="14"/>
        <v>#N/A</v>
      </c>
      <c r="X30" s="1559"/>
      <c r="Y30" s="374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48"/>
      <c r="Q31" s="1145" t="str">
        <f t="shared" si="11"/>
        <v>是否封闭</v>
      </c>
      <c r="R31" s="1560" t="s">
        <v>8</v>
      </c>
      <c r="S31" s="1561">
        <f t="shared" si="12"/>
        <v>100</v>
      </c>
      <c r="T31" s="1560" t="s">
        <v>8</v>
      </c>
      <c r="U31" s="1561">
        <f t="shared" si="13"/>
        <v>100</v>
      </c>
      <c r="V31" s="1560" t="s">
        <v>8</v>
      </c>
      <c r="W31" s="1561">
        <f t="shared" si="14"/>
        <v>100</v>
      </c>
      <c r="X31" s="1562"/>
      <c r="Y31" s="374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48" t="s">
        <v>516</v>
      </c>
      <c r="Q32" s="1564">
        <f t="shared" si="11"/>
        <v>111</v>
      </c>
      <c r="R32" s="1565" t="s">
        <v>8</v>
      </c>
      <c r="S32" s="1566">
        <f t="shared" si="12"/>
        <v>100</v>
      </c>
      <c r="T32" s="1565" t="s">
        <v>8</v>
      </c>
      <c r="U32" s="1566">
        <f t="shared" si="13"/>
        <v>100</v>
      </c>
      <c r="V32" s="1565" t="s">
        <v>8</v>
      </c>
      <c r="W32" s="1566">
        <f t="shared" si="14"/>
        <v>100</v>
      </c>
      <c r="X32" s="1559"/>
      <c r="Y32" s="374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48"/>
      <c r="Q33" s="1564">
        <f t="shared" si="11"/>
        <v>111</v>
      </c>
      <c r="R33" s="1565" t="s">
        <v>8</v>
      </c>
      <c r="S33" s="1566">
        <f t="shared" si="12"/>
        <v>100</v>
      </c>
      <c r="T33" s="1565" t="s">
        <v>8</v>
      </c>
      <c r="U33" s="1566">
        <f t="shared" si="13"/>
        <v>100</v>
      </c>
      <c r="V33" s="1565" t="s">
        <v>8</v>
      </c>
      <c r="W33" s="1566">
        <f t="shared" si="14"/>
        <v>100</v>
      </c>
      <c r="X33" s="1559"/>
      <c r="Y33" s="374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10" t="str">
        <f>A35</f>
        <v>成交单价（元/平方米）</v>
      </c>
      <c r="Q35" s="3710"/>
      <c r="R35" s="3793">
        <f>E35</f>
        <v>0</v>
      </c>
      <c r="S35" s="3793"/>
      <c r="T35" s="3793">
        <f>G35</f>
        <v>0</v>
      </c>
      <c r="U35" s="3793"/>
      <c r="V35" s="3793">
        <f>I35</f>
        <v>0</v>
      </c>
      <c r="W35" s="3793"/>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10" t="str">
        <f>A36</f>
        <v>比较价格（元/平方米）</v>
      </c>
      <c r="Q36" s="3710"/>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07" t="str">
        <f>A37</f>
        <v>估价对象XX用房的比较价格（楼面单价，元/平方米）</v>
      </c>
      <c r="Q37" s="3708"/>
      <c r="R37" s="3792" t="e">
        <f>IF(F1="售价",ROUND(AVERAGE(R36:V36),0),ROUND(AVERAGE(R36:V36),1))</f>
        <v>#DIV/0!</v>
      </c>
      <c r="S37" s="3792"/>
      <c r="T37" s="3792"/>
      <c r="U37" s="3792"/>
      <c r="V37" s="3792"/>
      <c r="W37" s="3792"/>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2" t="s">
        <v>2266</v>
      </c>
      <c r="D1" s="3803"/>
      <c r="E1" s="3803"/>
      <c r="F1" s="3803"/>
      <c r="G1" s="3803"/>
      <c r="H1" s="3803"/>
      <c r="I1" s="3803"/>
      <c r="J1" s="3803"/>
      <c r="K1" s="3803"/>
      <c r="L1" s="3803"/>
      <c r="M1" s="3803"/>
      <c r="N1" s="3803"/>
      <c r="O1" s="3803"/>
      <c r="P1" s="3803"/>
      <c r="Q1" s="3803"/>
      <c r="R1" s="3803"/>
      <c r="S1" s="3804"/>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799" t="s">
        <v>19</v>
      </c>
      <c r="D22" s="3800"/>
      <c r="E22" s="3800"/>
      <c r="F22" s="3800"/>
      <c r="G22" s="3800"/>
      <c r="H22" s="3800"/>
      <c r="I22" s="3800"/>
      <c r="J22" s="3800"/>
      <c r="K22" s="3800"/>
      <c r="L22" s="3800"/>
      <c r="M22" s="3800"/>
      <c r="N22" s="3800"/>
      <c r="O22" s="3800"/>
      <c r="P22" s="3800"/>
      <c r="Q22" s="3801"/>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1" t="s">
        <v>2541</v>
      </c>
      <c r="C1" s="3811"/>
      <c r="D1" s="3811"/>
      <c r="E1" s="3811"/>
      <c r="F1" s="3811"/>
      <c r="G1" s="3810" t="s">
        <v>2542</v>
      </c>
      <c r="H1" s="3810"/>
      <c r="I1" s="3810"/>
      <c r="J1" s="3810"/>
      <c r="K1" s="3810"/>
      <c r="L1" s="3810"/>
      <c r="N1" s="3810" t="s">
        <v>2543</v>
      </c>
      <c r="O1" s="3810"/>
      <c r="P1" s="3810"/>
      <c r="Q1" s="3810"/>
      <c r="R1" s="2672"/>
      <c r="S1" s="3810" t="s">
        <v>2544</v>
      </c>
      <c r="T1" s="3810"/>
      <c r="U1" s="3810"/>
      <c r="V1" s="3810"/>
      <c r="X1" s="3809" t="s">
        <v>2604</v>
      </c>
      <c r="Y1" s="3810"/>
      <c r="Z1" s="3810"/>
      <c r="AA1" s="3810"/>
      <c r="AB1" s="3810"/>
      <c r="AD1" s="3809" t="s">
        <v>2608</v>
      </c>
      <c r="AE1" s="3810"/>
      <c r="AF1" s="3810"/>
      <c r="AG1" s="3810"/>
      <c r="AH1" s="3810"/>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08">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6"/>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6"/>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7"/>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5">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6"/>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6"/>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7"/>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5">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6"/>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6"/>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7"/>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2">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3"/>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3"/>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4"/>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5">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6"/>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6"/>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7"/>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5">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6">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6">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7">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5">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6">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6">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7">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5">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6">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6">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7">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5">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6">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6">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7">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5">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6">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6">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7">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5">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6">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6">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7">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5">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6">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6">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7">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5">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6">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6">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7">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5">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6">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6">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7">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5">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6">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6">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7">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35" sqref="D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2797</v>
      </c>
      <c r="C2" s="2050"/>
      <c r="D2" s="2048"/>
      <c r="E2" s="2049"/>
      <c r="F2" s="2049"/>
      <c r="G2" s="1582"/>
      <c r="H2" s="2050"/>
      <c r="I2" s="2050"/>
      <c r="J2" s="2050"/>
      <c r="K2" s="2051"/>
      <c r="L2" s="2050"/>
      <c r="M2" s="2050"/>
    </row>
    <row r="3" spans="1:33" ht="18" customHeight="1" thickBot="1">
      <c r="A3" s="827" t="s">
        <v>761</v>
      </c>
      <c r="B3" s="828">
        <f ca="1">IF(ISERROR(B2*10000/F43),0,ROUND(B2*10000/F43,0))</f>
        <v>1801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279</v>
      </c>
      <c r="D6" s="2514" t="s">
        <v>2426</v>
      </c>
      <c r="E6" s="778" t="s">
        <v>603</v>
      </c>
      <c r="F6" s="779">
        <f ca="1">INDIRECT("'数据-取费表'!u"&amp;$G$1)</f>
        <v>500</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517</v>
      </c>
      <c r="G7" s="1584"/>
      <c r="H7" s="2506"/>
      <c r="I7" s="3785"/>
      <c r="J7" s="782"/>
      <c r="K7" s="783"/>
      <c r="L7" s="778" t="s">
        <v>604</v>
      </c>
      <c r="M7" s="779">
        <f ca="1">F7</f>
        <v>517</v>
      </c>
    </row>
    <row r="8" spans="1:33" ht="18" customHeight="1">
      <c r="A8" s="2510"/>
      <c r="B8" s="3786"/>
      <c r="C8" s="782"/>
      <c r="D8" s="783"/>
      <c r="E8" s="778" t="s">
        <v>605</v>
      </c>
      <c r="F8" s="779">
        <f ca="1">INDIRECT("'数据-取费表'!ai"&amp;$G$1)</f>
        <v>12</v>
      </c>
      <c r="G8" s="1584"/>
      <c r="H8" s="2506"/>
      <c r="I8" s="3786"/>
      <c r="J8" s="782"/>
      <c r="K8" s="783"/>
      <c r="L8" s="778" t="s">
        <v>605</v>
      </c>
      <c r="M8" s="779">
        <f ca="1">INDIRECT("'数据-取费表'!ai"&amp;$G$1)</f>
        <v>12</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5" t="s">
        <v>612</v>
      </c>
      <c r="E14" s="3516"/>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7"/>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9"/>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77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2797</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1.833</v>
      </c>
      <c r="K42" s="2075"/>
      <c r="L42" s="1981"/>
      <c r="M42" s="1981"/>
    </row>
    <row r="43" spans="1:18" ht="18" customHeight="1" thickBot="1">
      <c r="A43" s="817" t="s">
        <v>1750</v>
      </c>
      <c r="B43" s="818" t="s">
        <v>1773</v>
      </c>
      <c r="C43" s="819">
        <f ca="1">ROUND(C40*10000/F43,0)</f>
        <v>1801</v>
      </c>
      <c r="D43" s="820" t="s">
        <v>1774</v>
      </c>
      <c r="E43" s="821" t="s">
        <v>1775</v>
      </c>
      <c r="F43" s="822">
        <f ca="1">INDIRECT("'数据-取费表'!k"&amp;$G$1)</f>
        <v>15531.7</v>
      </c>
      <c r="G43" s="2055"/>
      <c r="H43" s="1981"/>
      <c r="I43" s="841" t="s">
        <v>1785</v>
      </c>
      <c r="J43" s="842">
        <f ca="1">1-J42</f>
        <v>-0.83299999999999996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5.4100580270793035</v>
      </c>
      <c r="K45" s="2079"/>
      <c r="Q45" s="2090"/>
    </row>
    <row r="46" spans="1:18" s="2052" customFormat="1" ht="18" customHeight="1" thickBot="1">
      <c r="A46" s="2223" t="s">
        <v>2257</v>
      </c>
      <c r="B46" s="2078"/>
      <c r="C46" s="2591">
        <f ca="1">C67-C40</f>
        <v>-5103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2797</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2797</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2797</v>
      </c>
      <c r="R57" s="2416" t="s">
        <v>2343</v>
      </c>
    </row>
    <row r="58" spans="1:18" s="2052" customFormat="1" ht="28.5" customHeight="1" thickBot="1">
      <c r="A58" s="1641" t="s">
        <v>1787</v>
      </c>
      <c r="B58" s="778" t="s">
        <v>622</v>
      </c>
      <c r="C58" s="52">
        <f ca="1">ROUND(IF(项目基本情况!B11="自然人",C47*F58,C59+C60+C61),1)</f>
        <v>43.7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2797</v>
      </c>
      <c r="R63" s="2420" t="s">
        <v>2355</v>
      </c>
    </row>
    <row r="64" spans="1:18" s="2052" customFormat="1" ht="16.5" thickBot="1">
      <c r="A64" s="1641" t="s">
        <v>1853</v>
      </c>
      <c r="B64" s="778" t="s">
        <v>645</v>
      </c>
      <c r="C64" s="52">
        <f ca="1">ROUND(C55*F64,1)</f>
        <v>7.7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5" t="s">
        <v>666</v>
      </c>
      <c r="E66" s="3518"/>
      <c r="F66" s="814"/>
      <c r="K66" s="2079"/>
      <c r="O66" s="2415" t="s">
        <v>2342</v>
      </c>
      <c r="P66" s="2416" t="s">
        <v>2368</v>
      </c>
      <c r="Q66" s="2417">
        <f ca="1">C40+J29</f>
        <v>2797</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2797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34" sqref="F34"/>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1661</v>
      </c>
      <c r="C2" s="2050"/>
      <c r="D2" s="2048"/>
      <c r="E2" s="2049"/>
      <c r="F2" s="2049"/>
      <c r="G2" s="1582"/>
      <c r="H2" s="2050"/>
      <c r="I2" s="2050"/>
      <c r="J2" s="2050"/>
      <c r="K2" s="2051"/>
      <c r="L2" s="2050"/>
      <c r="M2" s="2050"/>
    </row>
    <row r="3" spans="1:33" ht="18" customHeight="1" thickBot="1">
      <c r="A3" s="827" t="s">
        <v>761</v>
      </c>
      <c r="B3" s="828">
        <f ca="1">IF(ISERROR(B2*10000/F43),0,ROUND(B2*10000/F43,0))</f>
        <v>4751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115</v>
      </c>
      <c r="D6" s="2514" t="s">
        <v>2426</v>
      </c>
      <c r="E6" s="778" t="s">
        <v>603</v>
      </c>
      <c r="F6" s="779">
        <f ca="1">INDIRECT("'数据-取费表'!u"&amp;$G$1)</f>
        <v>1</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3495.87</v>
      </c>
      <c r="G7" s="1584"/>
      <c r="H7" s="2506"/>
      <c r="I7" s="3785"/>
      <c r="J7" s="782"/>
      <c r="K7" s="783"/>
      <c r="L7" s="778" t="s">
        <v>604</v>
      </c>
      <c r="M7" s="779">
        <f ca="1">F7</f>
        <v>3495.87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5" t="s">
        <v>612</v>
      </c>
      <c r="E14" s="3516"/>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7"/>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9"/>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17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1661</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0.69499999999999995</v>
      </c>
      <c r="K42" s="2075"/>
      <c r="L42" s="1981"/>
      <c r="M42" s="1981"/>
    </row>
    <row r="43" spans="1:18" ht="18" customHeight="1" thickBot="1">
      <c r="A43" s="817" t="s">
        <v>1750</v>
      </c>
      <c r="B43" s="818" t="s">
        <v>1773</v>
      </c>
      <c r="C43" s="819">
        <f ca="1">ROUND(C40*10000/F43,0)</f>
        <v>4751</v>
      </c>
      <c r="D43" s="820" t="s">
        <v>1774</v>
      </c>
      <c r="E43" s="821" t="s">
        <v>1775</v>
      </c>
      <c r="F43" s="822">
        <f ca="1">INDIRECT("'数据-取费表'!k"&amp;$G$1)</f>
        <v>3495.87</v>
      </c>
      <c r="G43" s="2055"/>
      <c r="H43" s="1981"/>
      <c r="I43" s="841" t="s">
        <v>1785</v>
      </c>
      <c r="J43" s="842">
        <f ca="1">1-J42</f>
        <v>0.30500000000000005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-2184</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1661</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1661</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1661</v>
      </c>
      <c r="R57" s="2416" t="s">
        <v>2343</v>
      </c>
    </row>
    <row r="58" spans="1:18" s="2052" customFormat="1" ht="28.5" customHeight="1" thickBot="1">
      <c r="A58" s="1641" t="s">
        <v>1787</v>
      </c>
      <c r="B58" s="778" t="s">
        <v>622</v>
      </c>
      <c r="C58" s="52">
        <f ca="1">ROUND(IF(项目基本情况!B11="自然人",C47*F58,C59+C60+C61),1)</f>
        <v>9.8000000000000007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1661</v>
      </c>
      <c r="R63" s="2420" t="s">
        <v>2355</v>
      </c>
    </row>
    <row r="64" spans="1:18" s="2052" customFormat="1" ht="16.5" thickBot="1">
      <c r="A64" s="1641" t="s">
        <v>1853</v>
      </c>
      <c r="B64" s="778" t="s">
        <v>645</v>
      </c>
      <c r="C64" s="52">
        <f ca="1">ROUND(C55*F64,1)</f>
        <v>1.7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5" t="s">
        <v>666</v>
      </c>
      <c r="E66" s="3518"/>
      <c r="F66" s="814"/>
      <c r="K66" s="2079"/>
      <c r="O66" s="2415" t="s">
        <v>2342</v>
      </c>
      <c r="P66" s="2416" t="s">
        <v>2368</v>
      </c>
      <c r="Q66" s="2417">
        <f ca="1">C40+J29</f>
        <v>1661</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1661</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15" t="s">
        <v>2436</v>
      </c>
      <c r="B1" s="3816"/>
      <c r="C1" s="3817"/>
      <c r="D1" s="3818">
        <f>SUM(I10,I15,I20,I21,I23)</f>
        <v>2302</v>
      </c>
      <c r="E1" s="3818"/>
      <c r="F1" s="3818"/>
      <c r="G1" s="3818"/>
      <c r="H1" s="3818"/>
      <c r="I1" s="3819"/>
    </row>
    <row r="2" spans="1:9">
      <c r="A2" s="3820" t="s">
        <v>2437</v>
      </c>
      <c r="B2" s="3821" t="s">
        <v>2438</v>
      </c>
      <c r="C2" s="3821"/>
      <c r="D2" s="2524" t="s">
        <v>2439</v>
      </c>
      <c r="E2" s="2524" t="s">
        <v>2440</v>
      </c>
      <c r="F2" s="2524" t="s">
        <v>2441</v>
      </c>
      <c r="G2" s="2524" t="s">
        <v>2442</v>
      </c>
      <c r="H2" s="2524" t="s">
        <v>2443</v>
      </c>
      <c r="I2" s="2525" t="s">
        <v>2444</v>
      </c>
    </row>
    <row r="3" spans="1:9">
      <c r="A3" s="3820"/>
      <c r="B3" s="3821" t="s">
        <v>2445</v>
      </c>
      <c r="C3" s="3821"/>
      <c r="D3" s="2526"/>
      <c r="E3" s="2524"/>
      <c r="F3" s="2527"/>
      <c r="G3" s="2527"/>
      <c r="H3" s="2528"/>
      <c r="I3" s="2529">
        <f>ROUND(D3*E3*F3*G3*H3/10000,0)</f>
        <v>0</v>
      </c>
    </row>
    <row r="4" spans="1:9">
      <c r="A4" s="3820"/>
      <c r="B4" s="3821" t="s">
        <v>2446</v>
      </c>
      <c r="C4" s="3821"/>
      <c r="D4" s="2526"/>
      <c r="E4" s="2524"/>
      <c r="F4" s="2527"/>
      <c r="G4" s="2527"/>
      <c r="H4" s="2528"/>
      <c r="I4" s="2529">
        <f t="shared" ref="I4:I9" si="0">ROUND(D4*E4*F4*G4*H4/10000,0)</f>
        <v>0</v>
      </c>
    </row>
    <row r="5" spans="1:9">
      <c r="A5" s="3820"/>
      <c r="B5" s="3821" t="s">
        <v>2447</v>
      </c>
      <c r="C5" s="3821"/>
      <c r="D5" s="2526"/>
      <c r="E5" s="2524"/>
      <c r="F5" s="2527"/>
      <c r="G5" s="2527"/>
      <c r="H5" s="2528"/>
      <c r="I5" s="2529">
        <f t="shared" si="0"/>
        <v>0</v>
      </c>
    </row>
    <row r="6" spans="1:9">
      <c r="A6" s="3820"/>
      <c r="B6" s="3821" t="s">
        <v>2448</v>
      </c>
      <c r="C6" s="3821"/>
      <c r="D6" s="2526">
        <v>455</v>
      </c>
      <c r="E6" s="2524">
        <v>180</v>
      </c>
      <c r="F6" s="2527">
        <v>1</v>
      </c>
      <c r="G6" s="2527">
        <v>0.7</v>
      </c>
      <c r="H6" s="2528">
        <v>365</v>
      </c>
      <c r="I6" s="2529">
        <f>ROUND(D6*E6*F6*G6*H6/10000,0)</f>
        <v>2093</v>
      </c>
    </row>
    <row r="7" spans="1:9">
      <c r="A7" s="3820"/>
      <c r="B7" s="3821" t="s">
        <v>2449</v>
      </c>
      <c r="C7" s="3821"/>
      <c r="D7" s="2526"/>
      <c r="E7" s="2524"/>
      <c r="F7" s="2527"/>
      <c r="G7" s="2527"/>
      <c r="H7" s="2528"/>
      <c r="I7" s="2529">
        <f t="shared" si="0"/>
        <v>0</v>
      </c>
    </row>
    <row r="8" spans="1:9">
      <c r="A8" s="3820"/>
      <c r="B8" s="3821" t="s">
        <v>2450</v>
      </c>
      <c r="C8" s="3821"/>
      <c r="D8" s="2526"/>
      <c r="E8" s="2524"/>
      <c r="F8" s="2527"/>
      <c r="G8" s="2527"/>
      <c r="H8" s="2528"/>
      <c r="I8" s="2529">
        <f t="shared" si="0"/>
        <v>0</v>
      </c>
    </row>
    <row r="9" spans="1:9">
      <c r="A9" s="3820"/>
      <c r="B9" s="3821" t="s">
        <v>2451</v>
      </c>
      <c r="C9" s="3821"/>
      <c r="D9" s="2526"/>
      <c r="E9" s="2524"/>
      <c r="F9" s="2527"/>
      <c r="G9" s="2527"/>
      <c r="H9" s="2528"/>
      <c r="I9" s="2529">
        <f t="shared" si="0"/>
        <v>0</v>
      </c>
    </row>
    <row r="10" spans="1:9">
      <c r="A10" s="3820"/>
      <c r="B10" s="3822" t="s">
        <v>2452</v>
      </c>
      <c r="C10" s="3822"/>
      <c r="D10" s="2530">
        <v>527</v>
      </c>
      <c r="E10" s="2530" t="e">
        <f>ROUND(D1*10000/D10/H9,0)</f>
        <v>#DIV/0!</v>
      </c>
      <c r="F10" s="2531"/>
      <c r="G10" s="2531"/>
      <c r="H10" s="2532"/>
      <c r="I10" s="2533">
        <f>SUM(I3:I9)</f>
        <v>2093</v>
      </c>
    </row>
    <row r="11" spans="1:9" ht="14.25">
      <c r="A11" s="3820" t="s">
        <v>2453</v>
      </c>
      <c r="B11" s="3821" t="s">
        <v>2454</v>
      </c>
      <c r="C11" s="3821"/>
      <c r="D11" s="2526" t="s">
        <v>2455</v>
      </c>
      <c r="E11" s="2526" t="s">
        <v>2456</v>
      </c>
      <c r="F11" s="2527" t="s">
        <v>2457</v>
      </c>
      <c r="G11" s="2527" t="s">
        <v>2458</v>
      </c>
      <c r="H11" s="2534" t="s">
        <v>2459</v>
      </c>
      <c r="I11" s="2525" t="s">
        <v>2460</v>
      </c>
    </row>
    <row r="12" spans="1:9">
      <c r="A12" s="3820"/>
      <c r="B12" s="3821" t="s">
        <v>2461</v>
      </c>
      <c r="C12" s="3821"/>
      <c r="D12" s="2526"/>
      <c r="E12" s="2526"/>
      <c r="F12" s="2527"/>
      <c r="G12" s="2528"/>
      <c r="H12" s="2535"/>
      <c r="I12" s="2525">
        <f>ROUND(D12*E12*F12*G12/10000,0)</f>
        <v>0</v>
      </c>
    </row>
    <row r="13" spans="1:9">
      <c r="A13" s="3820"/>
      <c r="B13" s="3821" t="s">
        <v>2462</v>
      </c>
      <c r="C13" s="3821"/>
      <c r="D13" s="2526"/>
      <c r="E13" s="2526"/>
      <c r="F13" s="2527"/>
      <c r="G13" s="2528"/>
      <c r="H13" s="2535"/>
      <c r="I13" s="2525">
        <f>ROUND(D13*E13*F13*G13/10000,0)</f>
        <v>0</v>
      </c>
    </row>
    <row r="14" spans="1:9">
      <c r="A14" s="3820"/>
      <c r="B14" s="3821" t="s">
        <v>2463</v>
      </c>
      <c r="C14" s="3821"/>
      <c r="D14" s="2526"/>
      <c r="E14" s="2526"/>
      <c r="F14" s="2527"/>
      <c r="G14" s="2528"/>
      <c r="H14" s="2535"/>
      <c r="I14" s="2525">
        <f>ROUND(D14*E14*F14*G14/10000,0)</f>
        <v>0</v>
      </c>
    </row>
    <row r="15" spans="1:9">
      <c r="A15" s="3820"/>
      <c r="B15" s="3822" t="s">
        <v>2452</v>
      </c>
      <c r="C15" s="3822"/>
      <c r="D15" s="2530"/>
      <c r="E15" s="2530">
        <f>SUM(E12:E14)</f>
        <v>0</v>
      </c>
      <c r="F15" s="2531"/>
      <c r="G15" s="2528"/>
      <c r="H15" s="2535"/>
      <c r="I15" s="2536">
        <f>SUM(I12:I14)</f>
        <v>0</v>
      </c>
    </row>
    <row r="16" spans="1:9" ht="24">
      <c r="A16" s="3820" t="s">
        <v>2464</v>
      </c>
      <c r="B16" s="3821" t="s">
        <v>2465</v>
      </c>
      <c r="C16" s="3821"/>
      <c r="D16" s="2526" t="s">
        <v>2466</v>
      </c>
      <c r="E16" s="2537" t="s">
        <v>2467</v>
      </c>
      <c r="F16" s="2527" t="s">
        <v>2468</v>
      </c>
      <c r="G16" s="2528" t="s">
        <v>2458</v>
      </c>
      <c r="H16" s="2534" t="s">
        <v>2459</v>
      </c>
      <c r="I16" s="2525" t="s">
        <v>2460</v>
      </c>
    </row>
    <row r="17" spans="1:9" ht="14.25">
      <c r="A17" s="3820"/>
      <c r="B17" s="3821" t="s">
        <v>2469</v>
      </c>
      <c r="C17" s="3821"/>
      <c r="D17" s="2526"/>
      <c r="E17" s="2526"/>
      <c r="F17" s="2527"/>
      <c r="G17" s="2528"/>
      <c r="H17" s="2538"/>
      <c r="I17" s="2539">
        <f>ROUND(D17*E17*F17*G17/10000,0)</f>
        <v>0</v>
      </c>
    </row>
    <row r="18" spans="1:9" ht="14.25">
      <c r="A18" s="3820"/>
      <c r="B18" s="3821" t="s">
        <v>2470</v>
      </c>
      <c r="C18" s="3821"/>
      <c r="D18" s="2526"/>
      <c r="E18" s="2526"/>
      <c r="F18" s="2527"/>
      <c r="G18" s="2528"/>
      <c r="H18" s="2538"/>
      <c r="I18" s="2539">
        <f>ROUND(D18*E18*F18*G18/10000,0)</f>
        <v>0</v>
      </c>
    </row>
    <row r="19" spans="1:9" ht="14.25">
      <c r="A19" s="3820"/>
      <c r="B19" s="3821" t="s">
        <v>2471</v>
      </c>
      <c r="C19" s="3821"/>
      <c r="D19" s="2526"/>
      <c r="E19" s="2526"/>
      <c r="F19" s="2527"/>
      <c r="G19" s="2528"/>
      <c r="H19" s="2538"/>
      <c r="I19" s="2539">
        <f>ROUND(D19*E19*F19*G19/10000,0)</f>
        <v>0</v>
      </c>
    </row>
    <row r="20" spans="1:9">
      <c r="A20" s="3820"/>
      <c r="B20" s="3822" t="s">
        <v>2452</v>
      </c>
      <c r="C20" s="3822"/>
      <c r="D20" s="2530">
        <f>SUM(D17:D19)</f>
        <v>0</v>
      </c>
      <c r="E20" s="2530"/>
      <c r="F20" s="2531"/>
      <c r="G20" s="2528"/>
      <c r="H20" s="2535"/>
      <c r="I20" s="2536">
        <f>SUM(I17:I19)</f>
        <v>0</v>
      </c>
    </row>
    <row r="21" spans="1:9">
      <c r="A21" s="3820" t="s">
        <v>2472</v>
      </c>
      <c r="B21" s="3824"/>
      <c r="C21" s="3824"/>
      <c r="D21" s="3824"/>
      <c r="E21" s="3824"/>
      <c r="F21" s="3824"/>
      <c r="G21" s="3824"/>
      <c r="H21" s="2540">
        <v>0.1</v>
      </c>
      <c r="I21" s="2533">
        <f>ROUND(I10*H21,0)</f>
        <v>209</v>
      </c>
    </row>
    <row r="22" spans="1:9" ht="14.25">
      <c r="A22" s="3825" t="s">
        <v>2473</v>
      </c>
      <c r="B22" s="3826"/>
      <c r="C22" s="3827"/>
      <c r="D22" s="2541" t="s">
        <v>2474</v>
      </c>
      <c r="E22" s="2541" t="s">
        <v>2475</v>
      </c>
      <c r="F22" s="2542" t="s">
        <v>2476</v>
      </c>
      <c r="G22" s="2542" t="s">
        <v>2477</v>
      </c>
      <c r="H22" s="2534" t="s">
        <v>2478</v>
      </c>
      <c r="I22" s="2525" t="s">
        <v>2479</v>
      </c>
    </row>
    <row r="23" spans="1:9" ht="14.25" thickBot="1">
      <c r="A23" s="3828"/>
      <c r="B23" s="3829"/>
      <c r="C23" s="3830"/>
      <c r="D23" s="2543"/>
      <c r="E23" s="2543"/>
      <c r="F23" s="2543"/>
      <c r="G23" s="2544"/>
      <c r="H23" s="2545"/>
      <c r="I23" s="2546">
        <f>ROUND(E23*D23*F23*(1-G23)/10000,0)</f>
        <v>0</v>
      </c>
    </row>
    <row r="26" spans="1:9">
      <c r="A26" s="2547" t="s">
        <v>2480</v>
      </c>
      <c r="B26" s="2547"/>
      <c r="C26" s="2547"/>
      <c r="D26" s="2547"/>
      <c r="E26" s="3831">
        <f>C27-C30-C31-C32</f>
        <v>1569.75</v>
      </c>
      <c r="F26" s="3831"/>
      <c r="G26" s="3831"/>
      <c r="H26" s="3057" t="s">
        <v>2808</v>
      </c>
    </row>
    <row r="27" spans="1:9">
      <c r="A27" s="2548">
        <v>1</v>
      </c>
      <c r="B27" s="2549" t="s">
        <v>2481</v>
      </c>
      <c r="C27" s="2549">
        <f>I10</f>
        <v>2093</v>
      </c>
      <c r="D27" s="2549"/>
      <c r="E27" s="3832"/>
      <c r="F27" s="3832"/>
      <c r="G27" s="3832"/>
    </row>
    <row r="28" spans="1:9">
      <c r="A28" s="2550" t="s">
        <v>2482</v>
      </c>
      <c r="B28" s="2549" t="s">
        <v>2483</v>
      </c>
      <c r="C28" s="2549">
        <f>I6</f>
        <v>2093</v>
      </c>
      <c r="D28" s="2549"/>
      <c r="E28" s="3832"/>
      <c r="F28" s="3832"/>
      <c r="G28" s="3832"/>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3"/>
      <c r="F32" s="3823"/>
      <c r="G32" s="3823"/>
    </row>
    <row r="33" spans="1:7" hidden="1">
      <c r="A33" s="3833" t="s">
        <v>2491</v>
      </c>
      <c r="B33" s="3834"/>
      <c r="C33" s="3834"/>
      <c r="D33" s="3835"/>
      <c r="E33" s="3831"/>
      <c r="F33" s="3831"/>
      <c r="G33" s="3831"/>
    </row>
    <row r="34" spans="1:7" hidden="1">
      <c r="A34" s="2552">
        <v>1</v>
      </c>
      <c r="B34" s="2549" t="s">
        <v>2492</v>
      </c>
      <c r="C34" s="2549"/>
      <c r="D34" s="2549"/>
      <c r="E34" s="3832"/>
      <c r="F34" s="3832"/>
      <c r="G34" s="3832"/>
    </row>
    <row r="35" spans="1:7" hidden="1">
      <c r="A35" s="2552">
        <v>2</v>
      </c>
      <c r="B35" s="2549" t="s">
        <v>2493</v>
      </c>
      <c r="C35" s="2549"/>
      <c r="D35" s="2549"/>
      <c r="E35" s="3832"/>
      <c r="F35" s="3832"/>
      <c r="G35" s="3832"/>
    </row>
    <row r="36" spans="1:7" hidden="1">
      <c r="A36" s="2552">
        <v>3</v>
      </c>
      <c r="B36" s="2549" t="s">
        <v>2494</v>
      </c>
      <c r="C36" s="2549"/>
      <c r="D36" s="2549"/>
      <c r="E36" s="3832"/>
      <c r="F36" s="3832"/>
      <c r="G36" s="3832"/>
    </row>
    <row r="37" spans="1:7" hidden="1">
      <c r="A37" s="2552">
        <v>4</v>
      </c>
      <c r="B37" s="2549" t="s">
        <v>2495</v>
      </c>
      <c r="C37" s="2549"/>
      <c r="D37" s="2549"/>
      <c r="E37" s="3832"/>
      <c r="F37" s="3832"/>
      <c r="G37" s="3832"/>
    </row>
    <row r="38" spans="1:7" hidden="1">
      <c r="A38" s="3833" t="s">
        <v>2496</v>
      </c>
      <c r="B38" s="3834"/>
      <c r="C38" s="3834"/>
      <c r="D38" s="3835"/>
      <c r="E38" s="3831"/>
      <c r="F38" s="3831"/>
      <c r="G38" s="38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2" customFormat="1" ht="14.25">
      <c r="A2" s="3513" t="s">
        <v>3325</v>
      </c>
      <c r="B2" s="3513" t="s">
        <v>3223</v>
      </c>
      <c r="C2" s="3513" t="s">
        <v>3326</v>
      </c>
      <c r="D2" s="3513" t="s">
        <v>3327</v>
      </c>
      <c r="E2" s="3513" t="s">
        <v>3224</v>
      </c>
      <c r="F2" s="3513" t="s">
        <v>3328</v>
      </c>
      <c r="G2" s="3513" t="s">
        <v>3313</v>
      </c>
      <c r="H2" s="3513">
        <v>32797.360000000001</v>
      </c>
      <c r="I2" s="3513">
        <v>91833</v>
      </c>
      <c r="J2" s="3513">
        <v>2.8</v>
      </c>
      <c r="K2" s="3513" t="s">
        <v>2783</v>
      </c>
      <c r="L2" s="3513" t="s">
        <v>2783</v>
      </c>
      <c r="M2" s="3513" t="s">
        <v>2783</v>
      </c>
      <c r="N2" s="3513" t="s">
        <v>2783</v>
      </c>
      <c r="O2" s="3513" t="s">
        <v>3329</v>
      </c>
      <c r="P2" s="3513" t="s">
        <v>3330</v>
      </c>
      <c r="Q2" s="3513" t="s">
        <v>3330</v>
      </c>
      <c r="R2" s="3513" t="s">
        <v>2783</v>
      </c>
      <c r="S2" s="3513" t="s">
        <v>3284</v>
      </c>
      <c r="T2" s="3513" t="s">
        <v>3285</v>
      </c>
      <c r="U2" s="3513" t="s">
        <v>3286</v>
      </c>
      <c r="V2" s="3513" t="s">
        <v>3286</v>
      </c>
      <c r="W2" s="3513" t="s">
        <v>3328</v>
      </c>
      <c r="X2" s="3513" t="s">
        <v>3287</v>
      </c>
      <c r="Y2" s="3513" t="s">
        <v>3331</v>
      </c>
      <c r="Z2" s="3513">
        <v>165000</v>
      </c>
      <c r="AA2" s="3513">
        <v>165000</v>
      </c>
      <c r="AB2" s="3513">
        <v>3353.93</v>
      </c>
      <c r="AC2" s="3513">
        <v>3353.93</v>
      </c>
      <c r="AD2" s="3513">
        <v>17967.39</v>
      </c>
      <c r="AE2" s="3513">
        <v>17967.400000000001</v>
      </c>
      <c r="AF2" s="3513">
        <v>0</v>
      </c>
      <c r="AG2" s="3513" t="s">
        <v>3288</v>
      </c>
      <c r="AH2" s="3513" t="s">
        <v>2783</v>
      </c>
      <c r="AI2" s="3513" t="s">
        <v>2783</v>
      </c>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c r="CA2" s="3513"/>
      <c r="CB2" s="3513"/>
      <c r="CC2" s="3513"/>
      <c r="CD2" s="3513"/>
      <c r="CE2" s="3513"/>
      <c r="CF2" s="3513"/>
      <c r="CG2" s="3513"/>
      <c r="CH2" s="3513"/>
      <c r="CI2" s="3513"/>
      <c r="CJ2" s="3513"/>
      <c r="CK2" s="3513"/>
      <c r="CL2" s="3513"/>
      <c r="CM2" s="3513"/>
      <c r="CN2" s="3513"/>
      <c r="CO2" s="3513"/>
      <c r="CP2" s="3513"/>
      <c r="CQ2" s="3513"/>
      <c r="CR2" s="3513"/>
      <c r="CS2" s="3513"/>
      <c r="CT2" s="3513"/>
      <c r="CU2" s="3513"/>
      <c r="CV2" s="3513"/>
      <c r="CW2" s="3513"/>
      <c r="CX2" s="3513"/>
      <c r="CY2" s="3513"/>
      <c r="CZ2" s="3513"/>
      <c r="DA2" s="3513"/>
      <c r="DB2" s="3513"/>
      <c r="DC2" s="3513"/>
      <c r="DD2" s="3513"/>
      <c r="DE2" s="3513"/>
      <c r="DF2" s="3513"/>
      <c r="DG2" s="3513"/>
      <c r="DH2" s="3513"/>
      <c r="DI2" s="3513"/>
      <c r="DJ2" s="3513"/>
      <c r="DK2" s="3513"/>
      <c r="DL2" s="3513"/>
      <c r="DM2" s="3513"/>
      <c r="DN2" s="3513"/>
      <c r="DO2" s="3513"/>
      <c r="DP2" s="3513"/>
      <c r="DQ2" s="3513"/>
      <c r="DR2" s="3513"/>
      <c r="DS2" s="3513"/>
      <c r="DT2" s="3513"/>
      <c r="DU2" s="3513"/>
      <c r="DV2" s="3513"/>
      <c r="DW2" s="3513"/>
      <c r="DX2" s="3513"/>
      <c r="DY2" s="3513"/>
      <c r="DZ2" s="3513"/>
      <c r="EA2" s="3513"/>
      <c r="EB2" s="3513"/>
      <c r="EC2" s="3513"/>
      <c r="ED2" s="3513"/>
      <c r="EE2" s="3513"/>
      <c r="EF2" s="3513"/>
      <c r="EG2" s="3513"/>
      <c r="EH2" s="3513"/>
      <c r="EI2" s="3513"/>
      <c r="EJ2" s="3513"/>
      <c r="EK2" s="3513"/>
      <c r="EL2" s="3513"/>
      <c r="EM2" s="3513"/>
      <c r="EN2" s="3513"/>
      <c r="EO2" s="3513"/>
      <c r="EP2" s="3513"/>
      <c r="EQ2" s="3513"/>
      <c r="ER2" s="3513"/>
      <c r="ES2" s="3513"/>
      <c r="ET2" s="3513"/>
      <c r="EU2" s="3513"/>
      <c r="EV2" s="3513"/>
      <c r="EW2" s="3513"/>
      <c r="EX2" s="3513"/>
      <c r="EY2" s="3513"/>
      <c r="EZ2" s="3513"/>
      <c r="FA2" s="3513"/>
      <c r="FB2" s="3513"/>
      <c r="FC2" s="3513"/>
      <c r="FD2" s="3513"/>
      <c r="FE2" s="3513"/>
      <c r="FF2" s="3513"/>
      <c r="FG2" s="3513"/>
      <c r="FH2" s="3513"/>
      <c r="FI2" s="3513"/>
      <c r="FJ2" s="3513"/>
      <c r="FK2" s="3513"/>
      <c r="FL2" s="3513"/>
      <c r="FM2" s="3513"/>
      <c r="FN2" s="3513"/>
      <c r="FO2" s="3513"/>
      <c r="FP2" s="3513"/>
      <c r="FQ2" s="3513"/>
      <c r="FR2" s="3513"/>
      <c r="FS2" s="3513"/>
      <c r="FT2" s="3513"/>
      <c r="FU2" s="3513"/>
      <c r="FV2" s="3513"/>
      <c r="FW2" s="3513"/>
      <c r="FX2" s="3513"/>
      <c r="FY2" s="3513"/>
      <c r="FZ2" s="3513"/>
      <c r="GA2" s="3513"/>
      <c r="GB2" s="3513"/>
      <c r="GC2" s="3513"/>
      <c r="GD2" s="3513"/>
      <c r="GE2" s="3513"/>
      <c r="GF2" s="3513"/>
      <c r="GG2" s="3513"/>
      <c r="GH2" s="3513"/>
      <c r="GI2" s="3513"/>
      <c r="GJ2" s="3513"/>
      <c r="GK2" s="3513"/>
      <c r="GL2" s="3513"/>
      <c r="GM2" s="3513"/>
      <c r="GN2" s="3513"/>
      <c r="GO2" s="3513"/>
      <c r="GP2" s="3513"/>
      <c r="GQ2" s="3513"/>
      <c r="GR2" s="3513"/>
      <c r="GS2" s="3513"/>
      <c r="GT2" s="3513"/>
      <c r="GU2" s="3513"/>
      <c r="GV2" s="3513"/>
      <c r="GW2" s="3513"/>
      <c r="GX2" s="3513"/>
      <c r="GY2" s="3513"/>
      <c r="GZ2" s="3513"/>
      <c r="HA2" s="3513"/>
      <c r="HB2" s="3513"/>
      <c r="HC2" s="3513"/>
      <c r="HD2" s="3513"/>
      <c r="HE2" s="3513"/>
      <c r="HF2" s="3513"/>
      <c r="HG2" s="3513"/>
      <c r="HH2" s="3513"/>
      <c r="HI2" s="3513"/>
      <c r="HJ2" s="3513"/>
      <c r="HK2" s="3513"/>
      <c r="HL2" s="3513"/>
      <c r="HM2" s="3513"/>
      <c r="HN2" s="3513"/>
      <c r="HO2" s="3513"/>
      <c r="HP2" s="3513"/>
      <c r="HQ2" s="3513"/>
      <c r="HR2" s="3513"/>
      <c r="HS2" s="3513"/>
      <c r="HT2" s="3513"/>
      <c r="HU2" s="3513"/>
      <c r="HV2" s="3513"/>
      <c r="HW2" s="3513"/>
      <c r="HX2" s="3513"/>
      <c r="HY2" s="3513"/>
      <c r="HZ2" s="3513"/>
      <c r="IA2" s="3513"/>
      <c r="IB2" s="3513"/>
      <c r="IC2" s="3513"/>
      <c r="ID2" s="3513"/>
      <c r="IE2" s="3513"/>
      <c r="IF2" s="3513"/>
      <c r="IG2" s="3513"/>
      <c r="IH2" s="3513"/>
      <c r="II2" s="3513"/>
      <c r="IJ2" s="3513"/>
      <c r="IK2" s="3513"/>
      <c r="IL2" s="3513"/>
      <c r="IM2" s="3513"/>
      <c r="IN2" s="3513"/>
      <c r="IO2" s="3513"/>
      <c r="IP2" s="3513"/>
      <c r="IQ2" s="3513"/>
    </row>
    <row r="3" spans="1:251" s="3512" customFormat="1" ht="14.25">
      <c r="A3" s="3513" t="s">
        <v>3314</v>
      </c>
      <c r="B3" s="3513" t="s">
        <v>3223</v>
      </c>
      <c r="C3" s="3513" t="s">
        <v>3315</v>
      </c>
      <c r="D3" s="3513" t="s">
        <v>3316</v>
      </c>
      <c r="E3" s="3513" t="s">
        <v>3224</v>
      </c>
      <c r="F3" s="3513" t="s">
        <v>3317</v>
      </c>
      <c r="G3" s="3513" t="s">
        <v>3318</v>
      </c>
      <c r="H3" s="3513">
        <v>31048.69</v>
      </c>
      <c r="I3" s="3513">
        <v>77622</v>
      </c>
      <c r="J3" s="3513">
        <v>2.5</v>
      </c>
      <c r="K3" s="3513" t="s">
        <v>3319</v>
      </c>
      <c r="L3" s="3513" t="s">
        <v>2783</v>
      </c>
      <c r="M3" s="3513" t="s">
        <v>2783</v>
      </c>
      <c r="N3" s="3513" t="s">
        <v>2783</v>
      </c>
      <c r="O3" s="3513" t="s">
        <v>3320</v>
      </c>
      <c r="P3" s="3513" t="s">
        <v>3283</v>
      </c>
      <c r="Q3" s="3513" t="s">
        <v>3283</v>
      </c>
      <c r="R3" s="3513" t="s">
        <v>2783</v>
      </c>
      <c r="S3" s="3513" t="s">
        <v>3321</v>
      </c>
      <c r="T3" s="3513" t="s">
        <v>3322</v>
      </c>
      <c r="U3" s="3513" t="s">
        <v>3323</v>
      </c>
      <c r="V3" s="3513" t="s">
        <v>3323</v>
      </c>
      <c r="W3" s="3513" t="s">
        <v>3317</v>
      </c>
      <c r="X3" s="3513" t="s">
        <v>3287</v>
      </c>
      <c r="Y3" s="3513" t="s">
        <v>3324</v>
      </c>
      <c r="Z3" s="3513">
        <v>145000</v>
      </c>
      <c r="AA3" s="3513">
        <v>146500</v>
      </c>
      <c r="AB3" s="3513">
        <v>3113.39</v>
      </c>
      <c r="AC3" s="3513">
        <v>3145.6</v>
      </c>
      <c r="AD3" s="3513">
        <v>18680.27</v>
      </c>
      <c r="AE3" s="3513">
        <v>18873.52</v>
      </c>
      <c r="AF3" s="3513">
        <v>1.03</v>
      </c>
      <c r="AG3" s="3513" t="s">
        <v>3288</v>
      </c>
      <c r="AH3" s="3513" t="s">
        <v>2783</v>
      </c>
      <c r="AI3" s="3513" t="s">
        <v>2783</v>
      </c>
      <c r="AJ3" s="3513"/>
      <c r="AK3" s="3513"/>
      <c r="AL3" s="3513"/>
      <c r="AM3" s="3513"/>
      <c r="AN3" s="3513"/>
      <c r="AO3" s="3513"/>
      <c r="AP3" s="3513"/>
      <c r="AQ3" s="3513"/>
      <c r="AR3" s="3513"/>
      <c r="AS3" s="3513"/>
      <c r="AT3" s="3513"/>
      <c r="AU3" s="3513"/>
      <c r="AV3" s="3513"/>
      <c r="AW3" s="3513"/>
      <c r="AX3" s="3513"/>
      <c r="AY3" s="3513"/>
      <c r="AZ3" s="3513"/>
      <c r="BA3" s="3513"/>
      <c r="BB3" s="3513"/>
      <c r="BC3" s="3513"/>
      <c r="BD3" s="3513"/>
      <c r="BE3" s="3513"/>
      <c r="BF3" s="3513"/>
      <c r="BG3" s="3513"/>
      <c r="BH3" s="3513"/>
      <c r="BI3" s="3513"/>
      <c r="BJ3" s="3513"/>
      <c r="BK3" s="3513"/>
      <c r="BL3" s="3513"/>
      <c r="BM3" s="3513"/>
      <c r="BN3" s="3513"/>
      <c r="BO3" s="3513"/>
      <c r="BP3" s="3513"/>
      <c r="BQ3" s="3513"/>
      <c r="BR3" s="3513"/>
      <c r="BS3" s="3513"/>
      <c r="BT3" s="3513"/>
      <c r="BU3" s="3513"/>
      <c r="BV3" s="3513"/>
      <c r="BW3" s="3513"/>
      <c r="BX3" s="3513"/>
      <c r="BY3" s="3513"/>
      <c r="BZ3" s="3513"/>
      <c r="CA3" s="3513"/>
      <c r="CB3" s="3513"/>
      <c r="CC3" s="3513"/>
      <c r="CD3" s="3513"/>
      <c r="CE3" s="3513"/>
      <c r="CF3" s="3513"/>
      <c r="CG3" s="3513"/>
      <c r="CH3" s="3513"/>
      <c r="CI3" s="3513"/>
      <c r="CJ3" s="3513"/>
      <c r="CK3" s="3513"/>
      <c r="CL3" s="3513"/>
      <c r="CM3" s="3513"/>
      <c r="CN3" s="3513"/>
      <c r="CO3" s="3513"/>
      <c r="CP3" s="3513"/>
      <c r="CQ3" s="3513"/>
      <c r="CR3" s="3513"/>
      <c r="CS3" s="3513"/>
      <c r="CT3" s="3513"/>
      <c r="CU3" s="3513"/>
      <c r="CV3" s="3513"/>
      <c r="CW3" s="3513"/>
      <c r="CX3" s="3513"/>
      <c r="CY3" s="3513"/>
      <c r="CZ3" s="3513"/>
      <c r="DA3" s="3513"/>
      <c r="DB3" s="3513"/>
      <c r="DC3" s="3513"/>
      <c r="DD3" s="3513"/>
      <c r="DE3" s="3513"/>
      <c r="DF3" s="3513"/>
      <c r="DG3" s="3513"/>
      <c r="DH3" s="3513"/>
      <c r="DI3" s="3513"/>
      <c r="DJ3" s="3513"/>
      <c r="DK3" s="3513"/>
      <c r="DL3" s="3513"/>
      <c r="DM3" s="3513"/>
      <c r="DN3" s="3513"/>
      <c r="DO3" s="3513"/>
      <c r="DP3" s="3513"/>
      <c r="DQ3" s="3513"/>
      <c r="DR3" s="3513"/>
      <c r="DS3" s="3513"/>
      <c r="DT3" s="3513"/>
      <c r="DU3" s="3513"/>
      <c r="DV3" s="3513"/>
      <c r="DW3" s="3513"/>
      <c r="DX3" s="3513"/>
      <c r="DY3" s="3513"/>
      <c r="DZ3" s="3513"/>
      <c r="EA3" s="3513"/>
      <c r="EB3" s="3513"/>
      <c r="EC3" s="3513"/>
      <c r="ED3" s="3513"/>
      <c r="EE3" s="3513"/>
      <c r="EF3" s="3513"/>
      <c r="EG3" s="3513"/>
      <c r="EH3" s="3513"/>
      <c r="EI3" s="3513"/>
      <c r="EJ3" s="3513"/>
      <c r="EK3" s="3513"/>
      <c r="EL3" s="3513"/>
      <c r="EM3" s="3513"/>
      <c r="EN3" s="3513"/>
      <c r="EO3" s="3513"/>
      <c r="EP3" s="3513"/>
      <c r="EQ3" s="3513"/>
      <c r="ER3" s="3513"/>
      <c r="ES3" s="3513"/>
      <c r="ET3" s="3513"/>
      <c r="EU3" s="3513"/>
      <c r="EV3" s="3513"/>
      <c r="EW3" s="3513"/>
      <c r="EX3" s="3513"/>
      <c r="EY3" s="3513"/>
      <c r="EZ3" s="3513"/>
      <c r="FA3" s="3513"/>
      <c r="FB3" s="3513"/>
      <c r="FC3" s="3513"/>
      <c r="FD3" s="3513"/>
      <c r="FE3" s="3513"/>
      <c r="FF3" s="3513"/>
      <c r="FG3" s="3513"/>
      <c r="FH3" s="3513"/>
      <c r="FI3" s="3513"/>
      <c r="FJ3" s="3513"/>
      <c r="FK3" s="3513"/>
      <c r="FL3" s="3513"/>
      <c r="FM3" s="3513"/>
      <c r="FN3" s="3513"/>
      <c r="FO3" s="3513"/>
      <c r="FP3" s="3513"/>
      <c r="FQ3" s="3513"/>
      <c r="FR3" s="3513"/>
      <c r="FS3" s="3513"/>
      <c r="FT3" s="3513"/>
      <c r="FU3" s="3513"/>
      <c r="FV3" s="3513"/>
      <c r="FW3" s="3513"/>
      <c r="FX3" s="3513"/>
      <c r="FY3" s="3513"/>
      <c r="FZ3" s="3513"/>
      <c r="GA3" s="3513"/>
      <c r="GB3" s="3513"/>
      <c r="GC3" s="3513"/>
      <c r="GD3" s="3513"/>
      <c r="GE3" s="3513"/>
      <c r="GF3" s="3513"/>
      <c r="GG3" s="3513"/>
      <c r="GH3" s="3513"/>
      <c r="GI3" s="3513"/>
      <c r="GJ3" s="3513"/>
      <c r="GK3" s="3513"/>
      <c r="GL3" s="3513"/>
      <c r="GM3" s="3513"/>
      <c r="GN3" s="3513"/>
      <c r="GO3" s="3513"/>
      <c r="GP3" s="3513"/>
      <c r="GQ3" s="3513"/>
      <c r="GR3" s="3513"/>
      <c r="GS3" s="3513"/>
      <c r="GT3" s="3513"/>
      <c r="GU3" s="3513"/>
      <c r="GV3" s="3513"/>
      <c r="GW3" s="3513"/>
      <c r="GX3" s="3513"/>
      <c r="GY3" s="3513"/>
      <c r="GZ3" s="3513"/>
      <c r="HA3" s="3513"/>
      <c r="HB3" s="3513"/>
      <c r="HC3" s="3513"/>
      <c r="HD3" s="3513"/>
      <c r="HE3" s="3513"/>
      <c r="HF3" s="3513"/>
      <c r="HG3" s="3513"/>
      <c r="HH3" s="3513"/>
      <c r="HI3" s="3513"/>
      <c r="HJ3" s="3513"/>
      <c r="HK3" s="3513"/>
      <c r="HL3" s="3513"/>
      <c r="HM3" s="3513"/>
      <c r="HN3" s="3513"/>
      <c r="HO3" s="3513"/>
      <c r="HP3" s="3513"/>
      <c r="HQ3" s="3513"/>
      <c r="HR3" s="3513"/>
      <c r="HS3" s="3513"/>
      <c r="HT3" s="3513"/>
      <c r="HU3" s="3513"/>
      <c r="HV3" s="3513"/>
      <c r="HW3" s="3513"/>
      <c r="HX3" s="3513"/>
      <c r="HY3" s="3513"/>
      <c r="HZ3" s="3513"/>
      <c r="IA3" s="3513"/>
      <c r="IB3" s="3513"/>
      <c r="IC3" s="3513"/>
      <c r="ID3" s="3513"/>
      <c r="IE3" s="3513"/>
      <c r="IF3" s="3513"/>
      <c r="IG3" s="3513"/>
      <c r="IH3" s="3513"/>
      <c r="II3" s="3513"/>
      <c r="IJ3" s="3513"/>
      <c r="IK3" s="3513"/>
      <c r="IL3" s="3513"/>
      <c r="IM3" s="3513"/>
      <c r="IN3" s="3513"/>
      <c r="IO3" s="3513"/>
      <c r="IP3" s="3513"/>
      <c r="IQ3" s="3513"/>
    </row>
    <row r="4" spans="1:251" s="3512" customFormat="1" ht="14.25">
      <c r="A4" s="3513" t="s">
        <v>3332</v>
      </c>
      <c r="B4" s="3513" t="s">
        <v>3223</v>
      </c>
      <c r="C4" s="3513" t="s">
        <v>3333</v>
      </c>
      <c r="D4" s="3513" t="s">
        <v>3334</v>
      </c>
      <c r="E4" s="3513" t="s">
        <v>3224</v>
      </c>
      <c r="F4" s="3513" t="s">
        <v>3335</v>
      </c>
      <c r="G4" s="3513" t="s">
        <v>3318</v>
      </c>
      <c r="H4" s="3513">
        <v>27393.33</v>
      </c>
      <c r="I4" s="3513">
        <v>86217</v>
      </c>
      <c r="J4" s="3513">
        <v>3.15</v>
      </c>
      <c r="K4" s="3513" t="s">
        <v>2783</v>
      </c>
      <c r="L4" s="3513" t="s">
        <v>3336</v>
      </c>
      <c r="M4" s="3513">
        <v>18100</v>
      </c>
      <c r="N4" s="3513">
        <v>18100</v>
      </c>
      <c r="O4" s="3513" t="s">
        <v>3337</v>
      </c>
      <c r="P4" s="3513" t="s">
        <v>2783</v>
      </c>
      <c r="Q4" s="3513" t="s">
        <v>2783</v>
      </c>
      <c r="R4" s="3513" t="s">
        <v>2783</v>
      </c>
      <c r="S4" s="3513" t="s">
        <v>3338</v>
      </c>
      <c r="T4" s="3513" t="s">
        <v>3339</v>
      </c>
      <c r="U4" s="3513" t="s">
        <v>3340</v>
      </c>
      <c r="V4" s="3513" t="s">
        <v>3340</v>
      </c>
      <c r="W4" s="3513" t="s">
        <v>3335</v>
      </c>
      <c r="X4" s="3513" t="s">
        <v>3287</v>
      </c>
      <c r="Y4" s="3513" t="s">
        <v>3341</v>
      </c>
      <c r="Z4" s="3513">
        <v>97600</v>
      </c>
      <c r="AA4" s="3513">
        <v>136600</v>
      </c>
      <c r="AB4" s="3513">
        <v>2375.27</v>
      </c>
      <c r="AC4" s="3513">
        <v>3324.41</v>
      </c>
      <c r="AD4" s="3513">
        <v>11320.27</v>
      </c>
      <c r="AE4" s="3513">
        <v>15843.73</v>
      </c>
      <c r="AF4" s="3513">
        <v>39.96</v>
      </c>
      <c r="AG4" s="3513" t="s">
        <v>3342</v>
      </c>
      <c r="AH4" s="3513" t="s">
        <v>2783</v>
      </c>
      <c r="AI4" s="3513" t="s">
        <v>2783</v>
      </c>
      <c r="AJ4" s="3513"/>
      <c r="AK4" s="3513"/>
      <c r="AL4" s="3513"/>
      <c r="AM4" s="3513"/>
      <c r="AN4" s="3513"/>
      <c r="AO4" s="3513"/>
      <c r="AP4" s="3513"/>
      <c r="AQ4" s="3513"/>
      <c r="AR4" s="3513"/>
      <c r="AS4" s="3513"/>
      <c r="AT4" s="3513"/>
      <c r="AU4" s="3513"/>
      <c r="AV4" s="3513"/>
      <c r="AW4" s="3513"/>
      <c r="AX4" s="3513"/>
      <c r="AY4" s="3513"/>
      <c r="AZ4" s="3513"/>
      <c r="BA4" s="3513"/>
      <c r="BB4" s="3513"/>
      <c r="BC4" s="3513"/>
      <c r="BD4" s="3513"/>
      <c r="BE4" s="3513"/>
      <c r="BF4" s="3513"/>
      <c r="BG4" s="3513"/>
      <c r="BH4" s="3513"/>
      <c r="BI4" s="3513"/>
      <c r="BJ4" s="3513"/>
      <c r="BK4" s="3513"/>
      <c r="BL4" s="3513"/>
      <c r="BM4" s="3513"/>
      <c r="BN4" s="3513"/>
      <c r="BO4" s="3513"/>
      <c r="BP4" s="3513"/>
      <c r="BQ4" s="3513"/>
      <c r="BR4" s="3513"/>
      <c r="BS4" s="3513"/>
      <c r="BT4" s="3513"/>
      <c r="BU4" s="3513"/>
      <c r="BV4" s="3513"/>
      <c r="BW4" s="3513"/>
      <c r="BX4" s="3513"/>
      <c r="BY4" s="3513"/>
      <c r="BZ4" s="3513"/>
      <c r="CA4" s="3513"/>
      <c r="CB4" s="3513"/>
      <c r="CC4" s="3513"/>
      <c r="CD4" s="3513"/>
      <c r="CE4" s="3513"/>
      <c r="CF4" s="3513"/>
      <c r="CG4" s="3513"/>
      <c r="CH4" s="3513"/>
      <c r="CI4" s="3513"/>
      <c r="CJ4" s="3513"/>
      <c r="CK4" s="3513"/>
      <c r="CL4" s="3513"/>
      <c r="CM4" s="3513"/>
      <c r="CN4" s="3513"/>
      <c r="CO4" s="3513"/>
      <c r="CP4" s="3513"/>
      <c r="CQ4" s="3513"/>
      <c r="CR4" s="3513"/>
      <c r="CS4" s="3513"/>
      <c r="CT4" s="3513"/>
      <c r="CU4" s="3513"/>
      <c r="CV4" s="3513"/>
      <c r="CW4" s="3513"/>
      <c r="CX4" s="3513"/>
      <c r="CY4" s="3513"/>
      <c r="CZ4" s="3513"/>
      <c r="DA4" s="3513"/>
      <c r="DB4" s="3513"/>
      <c r="DC4" s="3513"/>
      <c r="DD4" s="3513"/>
      <c r="DE4" s="3513"/>
      <c r="DF4" s="3513"/>
      <c r="DG4" s="3513"/>
      <c r="DH4" s="3513"/>
      <c r="DI4" s="3513"/>
      <c r="DJ4" s="3513"/>
      <c r="DK4" s="3513"/>
      <c r="DL4" s="3513"/>
      <c r="DM4" s="3513"/>
      <c r="DN4" s="3513"/>
      <c r="DO4" s="3513"/>
      <c r="DP4" s="3513"/>
      <c r="DQ4" s="3513"/>
      <c r="DR4" s="3513"/>
      <c r="DS4" s="3513"/>
      <c r="DT4" s="3513"/>
      <c r="DU4" s="3513"/>
      <c r="DV4" s="3513"/>
      <c r="DW4" s="3513"/>
      <c r="DX4" s="3513"/>
      <c r="DY4" s="3513"/>
      <c r="DZ4" s="3513"/>
      <c r="EA4" s="3513"/>
      <c r="EB4" s="3513"/>
      <c r="EC4" s="3513"/>
      <c r="ED4" s="3513"/>
      <c r="EE4" s="3513"/>
      <c r="EF4" s="3513"/>
      <c r="EG4" s="3513"/>
      <c r="EH4" s="3513"/>
      <c r="EI4" s="3513"/>
      <c r="EJ4" s="3513"/>
      <c r="EK4" s="3513"/>
      <c r="EL4" s="3513"/>
      <c r="EM4" s="3513"/>
      <c r="EN4" s="3513"/>
      <c r="EO4" s="3513"/>
      <c r="EP4" s="3513"/>
      <c r="EQ4" s="3513"/>
      <c r="ER4" s="3513"/>
      <c r="ES4" s="3513"/>
      <c r="ET4" s="3513"/>
      <c r="EU4" s="3513"/>
      <c r="EV4" s="3513"/>
      <c r="EW4" s="3513"/>
      <c r="EX4" s="3513"/>
      <c r="EY4" s="3513"/>
      <c r="EZ4" s="3513"/>
      <c r="FA4" s="3513"/>
      <c r="FB4" s="3513"/>
      <c r="FC4" s="3513"/>
      <c r="FD4" s="3513"/>
      <c r="FE4" s="3513"/>
      <c r="FF4" s="3513"/>
      <c r="FG4" s="3513"/>
      <c r="FH4" s="3513"/>
      <c r="FI4" s="3513"/>
      <c r="FJ4" s="3513"/>
      <c r="FK4" s="3513"/>
      <c r="FL4" s="3513"/>
      <c r="FM4" s="3513"/>
      <c r="FN4" s="3513"/>
      <c r="FO4" s="3513"/>
      <c r="FP4" s="3513"/>
      <c r="FQ4" s="3513"/>
      <c r="FR4" s="3513"/>
      <c r="FS4" s="3513"/>
      <c r="FT4" s="3513"/>
      <c r="FU4" s="3513"/>
      <c r="FV4" s="3513"/>
      <c r="FW4" s="3513"/>
      <c r="FX4" s="3513"/>
      <c r="FY4" s="3513"/>
      <c r="FZ4" s="3513"/>
      <c r="GA4" s="3513"/>
      <c r="GB4" s="3513"/>
      <c r="GC4" s="3513"/>
      <c r="GD4" s="3513"/>
      <c r="GE4" s="3513"/>
      <c r="GF4" s="3513"/>
      <c r="GG4" s="3513"/>
      <c r="GH4" s="3513"/>
      <c r="GI4" s="3513"/>
      <c r="GJ4" s="3513"/>
      <c r="GK4" s="3513"/>
      <c r="GL4" s="3513"/>
      <c r="GM4" s="3513"/>
      <c r="GN4" s="3513"/>
      <c r="GO4" s="3513"/>
      <c r="GP4" s="3513"/>
      <c r="GQ4" s="3513"/>
      <c r="GR4" s="3513"/>
      <c r="GS4" s="3513"/>
      <c r="GT4" s="3513"/>
      <c r="GU4" s="3513"/>
      <c r="GV4" s="3513"/>
      <c r="GW4" s="3513"/>
      <c r="GX4" s="3513"/>
      <c r="GY4" s="3513"/>
      <c r="GZ4" s="3513"/>
      <c r="HA4" s="3513"/>
      <c r="HB4" s="3513"/>
      <c r="HC4" s="3513"/>
      <c r="HD4" s="3513"/>
      <c r="HE4" s="3513"/>
      <c r="HF4" s="3513"/>
      <c r="HG4" s="3513"/>
      <c r="HH4" s="3513"/>
      <c r="HI4" s="3513"/>
      <c r="HJ4" s="3513"/>
      <c r="HK4" s="3513"/>
      <c r="HL4" s="3513"/>
      <c r="HM4" s="3513"/>
      <c r="HN4" s="3513"/>
      <c r="HO4" s="3513"/>
      <c r="HP4" s="3513"/>
      <c r="HQ4" s="3513"/>
      <c r="HR4" s="3513"/>
      <c r="HS4" s="3513"/>
      <c r="HT4" s="3513"/>
      <c r="HU4" s="3513"/>
      <c r="HV4" s="3513"/>
      <c r="HW4" s="3513"/>
      <c r="HX4" s="3513"/>
      <c r="HY4" s="3513"/>
      <c r="HZ4" s="3513"/>
      <c r="IA4" s="3513"/>
      <c r="IB4" s="3513"/>
      <c r="IC4" s="3513"/>
      <c r="ID4" s="3513"/>
      <c r="IE4" s="3513"/>
      <c r="IF4" s="3513"/>
      <c r="IG4" s="3513"/>
      <c r="IH4" s="3513"/>
      <c r="II4" s="3513"/>
      <c r="IJ4" s="3513"/>
      <c r="IK4" s="3513"/>
      <c r="IL4" s="3513"/>
      <c r="IM4" s="3513"/>
      <c r="IN4" s="3513"/>
      <c r="IO4" s="3513"/>
      <c r="IP4" s="3513"/>
      <c r="IQ4" s="3513"/>
    </row>
    <row r="5" spans="1:251" s="3486" customFormat="1"/>
    <row r="7" spans="1:251">
      <c r="A7" s="3512" t="s">
        <v>3346</v>
      </c>
      <c r="B7" s="3512" t="s">
        <v>3223</v>
      </c>
      <c r="C7" s="3512" t="s">
        <v>3312</v>
      </c>
      <c r="D7" s="3512" t="s">
        <v>3347</v>
      </c>
      <c r="E7" s="3512" t="s">
        <v>3224</v>
      </c>
      <c r="F7" s="3512" t="s">
        <v>3348</v>
      </c>
      <c r="G7" s="3512" t="s">
        <v>3349</v>
      </c>
      <c r="H7" s="3512">
        <v>20342.53</v>
      </c>
      <c r="I7" s="3512">
        <v>61028</v>
      </c>
      <c r="J7" s="3512">
        <v>3</v>
      </c>
      <c r="K7" s="3512" t="s">
        <v>2783</v>
      </c>
      <c r="L7" s="3512" t="s">
        <v>2783</v>
      </c>
      <c r="M7" s="3512" t="s">
        <v>2783</v>
      </c>
      <c r="N7" s="3512" t="s">
        <v>2783</v>
      </c>
      <c r="O7" s="3512" t="s">
        <v>3350</v>
      </c>
      <c r="P7" s="3512" t="s">
        <v>3330</v>
      </c>
      <c r="Q7" s="3512" t="s">
        <v>3330</v>
      </c>
      <c r="R7" s="3512" t="s">
        <v>2783</v>
      </c>
      <c r="S7" s="3512" t="s">
        <v>3351</v>
      </c>
      <c r="T7" s="3512" t="s">
        <v>3352</v>
      </c>
      <c r="U7" s="3512" t="s">
        <v>3353</v>
      </c>
      <c r="V7" s="3512" t="s">
        <v>3353</v>
      </c>
      <c r="W7" s="3512" t="s">
        <v>3348</v>
      </c>
      <c r="X7" s="3512" t="s">
        <v>3287</v>
      </c>
      <c r="Y7" s="3512" t="s">
        <v>3354</v>
      </c>
      <c r="Z7" s="3512">
        <v>60000</v>
      </c>
      <c r="AA7" s="3512">
        <v>62000</v>
      </c>
      <c r="AB7" s="3512">
        <v>1966.32</v>
      </c>
      <c r="AC7" s="3512">
        <v>2031.87</v>
      </c>
      <c r="AD7" s="3512">
        <v>9831.5499999999993</v>
      </c>
      <c r="AE7" s="3512">
        <v>10159.27</v>
      </c>
      <c r="AF7" s="3512">
        <v>3.33</v>
      </c>
      <c r="AG7" s="3512" t="s">
        <v>3288</v>
      </c>
      <c r="AH7" s="3512" t="s">
        <v>2783</v>
      </c>
      <c r="AI7" s="3512" t="s">
        <v>2783</v>
      </c>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2"/>
      <c r="ES7" s="3512"/>
      <c r="ET7" s="3512"/>
      <c r="EU7" s="3512"/>
      <c r="EV7" s="3512"/>
      <c r="EW7" s="3512"/>
      <c r="EX7" s="3512"/>
      <c r="EY7" s="3512"/>
      <c r="EZ7" s="3512"/>
      <c r="FA7" s="3512"/>
      <c r="FB7" s="3512"/>
      <c r="FC7" s="3512"/>
      <c r="FD7" s="3512"/>
      <c r="FE7" s="3512"/>
      <c r="FF7" s="3512"/>
      <c r="FG7" s="3512"/>
      <c r="FH7" s="3512"/>
      <c r="FI7" s="3512"/>
      <c r="FJ7" s="3512"/>
      <c r="FK7" s="3512"/>
      <c r="FL7" s="3512"/>
      <c r="FM7" s="3512"/>
      <c r="FN7" s="3512"/>
      <c r="FO7" s="3512"/>
      <c r="FP7" s="3512"/>
      <c r="FQ7" s="3512"/>
      <c r="FR7" s="3512"/>
      <c r="FS7" s="3512"/>
      <c r="FT7" s="3512"/>
      <c r="FU7" s="3512"/>
      <c r="FV7" s="3512"/>
      <c r="FW7" s="3512"/>
      <c r="FX7" s="3512"/>
      <c r="FY7" s="3512"/>
      <c r="FZ7" s="3512"/>
      <c r="GA7" s="3512"/>
      <c r="GB7" s="3512"/>
      <c r="GC7" s="3512"/>
      <c r="GD7" s="3512"/>
      <c r="GE7" s="3512"/>
      <c r="GF7" s="3512"/>
      <c r="GG7" s="3512"/>
      <c r="GH7" s="3512"/>
      <c r="GI7" s="3512"/>
      <c r="GJ7" s="3512"/>
      <c r="GK7" s="3512"/>
      <c r="GL7" s="3512"/>
      <c r="GM7" s="3512"/>
      <c r="GN7" s="3512"/>
      <c r="GO7" s="3512"/>
      <c r="GP7" s="3512"/>
      <c r="GQ7" s="3512"/>
      <c r="GR7" s="3512"/>
      <c r="GS7" s="3512"/>
      <c r="GT7" s="3512"/>
      <c r="GU7" s="3512"/>
      <c r="GV7" s="3512"/>
      <c r="GW7" s="3512"/>
      <c r="GX7" s="3512"/>
      <c r="GY7" s="3512"/>
      <c r="GZ7" s="3512"/>
      <c r="HA7" s="3512"/>
      <c r="HB7" s="3512"/>
      <c r="HC7" s="3512"/>
      <c r="HD7" s="3512"/>
      <c r="HE7" s="3512"/>
      <c r="HF7" s="3512"/>
      <c r="HG7" s="3512"/>
      <c r="HH7" s="3512"/>
      <c r="HI7" s="3512"/>
      <c r="HJ7" s="3512"/>
      <c r="HK7" s="3512"/>
      <c r="HL7" s="3512"/>
      <c r="HM7" s="3512"/>
      <c r="HN7" s="3512"/>
      <c r="HO7" s="3512"/>
      <c r="HP7" s="3512"/>
      <c r="HQ7" s="3512"/>
      <c r="HR7" s="3512"/>
      <c r="HS7" s="3512"/>
      <c r="HT7" s="3512"/>
      <c r="HU7" s="3512"/>
      <c r="HV7" s="3512"/>
      <c r="HW7" s="3512"/>
      <c r="HX7" s="3512"/>
      <c r="HY7" s="3512"/>
      <c r="HZ7" s="3512"/>
      <c r="IA7" s="3512"/>
      <c r="IB7" s="3512"/>
      <c r="IC7" s="3512"/>
      <c r="ID7" s="3512"/>
      <c r="IE7" s="3512"/>
      <c r="IF7" s="3512"/>
      <c r="IG7" s="3512"/>
      <c r="IH7" s="3512"/>
      <c r="II7" s="3512"/>
      <c r="IJ7" s="3512"/>
      <c r="IK7" s="3512"/>
      <c r="IL7" s="3512"/>
      <c r="IM7" s="3512"/>
      <c r="IN7" s="3512"/>
      <c r="IO7" s="3512"/>
      <c r="IP7" s="3512"/>
      <c r="IQ7" s="3512"/>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9" t="s">
        <v>2000</v>
      </c>
      <c r="B1" s="3539"/>
      <c r="C1" s="3539"/>
      <c r="D1" s="3539"/>
      <c r="E1" s="3539"/>
      <c r="F1" s="3539"/>
      <c r="G1" s="3539"/>
      <c r="H1" s="3539"/>
      <c r="I1" s="3539"/>
      <c r="J1" s="3539"/>
      <c r="K1" s="3539"/>
      <c r="L1" s="3539"/>
      <c r="M1" s="3539"/>
      <c r="N1" s="3539"/>
      <c r="O1" s="3539"/>
      <c r="P1" s="3539"/>
      <c r="Q1" s="3539"/>
      <c r="R1" s="3539"/>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0" t="s">
        <v>1991</v>
      </c>
      <c r="B3" s="3540" t="s">
        <v>2696</v>
      </c>
      <c r="C3" s="3541" t="s">
        <v>1992</v>
      </c>
      <c r="D3" s="3540" t="s">
        <v>2700</v>
      </c>
      <c r="E3" s="3543" t="s">
        <v>1993</v>
      </c>
      <c r="F3" s="3543"/>
      <c r="G3" s="3543"/>
      <c r="H3" s="3543" t="s">
        <v>1994</v>
      </c>
      <c r="I3" s="3543"/>
      <c r="J3" s="3543"/>
      <c r="K3" s="3541" t="s">
        <v>1995</v>
      </c>
      <c r="L3" s="3541" t="s">
        <v>1996</v>
      </c>
      <c r="M3" s="3540" t="s">
        <v>2697</v>
      </c>
      <c r="N3" s="3542" t="str">
        <f>"（分摊）"&amp;项目基本情况!B16&amp;"国有建设用地使用权面积/㎡"</f>
        <v>（分摊）出让国有建设用地使用权面积/㎡</v>
      </c>
      <c r="O3" s="3540" t="s">
        <v>2025</v>
      </c>
      <c r="P3" s="3541" t="s">
        <v>2005</v>
      </c>
      <c r="Q3" s="3541" t="s">
        <v>2026</v>
      </c>
      <c r="R3" s="3541" t="s">
        <v>1997</v>
      </c>
    </row>
    <row r="4" spans="1:18" ht="36.75" customHeight="1">
      <c r="A4" s="3540"/>
      <c r="B4" s="3540"/>
      <c r="C4" s="3541"/>
      <c r="D4" s="3540"/>
      <c r="E4" s="2667" t="s">
        <v>2004</v>
      </c>
      <c r="F4" s="2667" t="s">
        <v>2709</v>
      </c>
      <c r="G4" s="2667" t="s">
        <v>1998</v>
      </c>
      <c r="H4" s="2667" t="s">
        <v>1999</v>
      </c>
      <c r="I4" s="2667" t="s">
        <v>2710</v>
      </c>
      <c r="J4" s="2667" t="s">
        <v>1998</v>
      </c>
      <c r="K4" s="3541"/>
      <c r="L4" s="3541"/>
      <c r="M4" s="3540"/>
      <c r="N4" s="3542"/>
      <c r="O4" s="3540"/>
      <c r="P4" s="3541"/>
      <c r="Q4" s="3541"/>
      <c r="R4" s="3541"/>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32144</v>
      </c>
      <c r="Q5" s="1803">
        <f ca="1">结果表!D42</f>
        <v>8155</v>
      </c>
      <c r="R5" s="1804">
        <f ca="1">结果表!C42</f>
        <v>65390</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805">
        <f ca="1">结果表!O39</f>
        <v>64597</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805" t="str">
        <f>结果表!O40</f>
        <v>——</v>
      </c>
    </row>
    <row r="8" spans="1:18">
      <c r="A8" s="3536">
        <f>IF(项目基本情况!B9="市场价格","——",项目基本情况!E9)</f>
        <v>0</v>
      </c>
      <c r="B8" s="3537"/>
      <c r="C8" s="3537"/>
      <c r="D8" s="3537"/>
      <c r="E8" s="3537"/>
      <c r="F8" s="3537"/>
      <c r="G8" s="3537"/>
      <c r="H8" s="3537"/>
      <c r="I8" s="3537"/>
      <c r="J8" s="3537"/>
      <c r="K8" s="3537"/>
      <c r="L8" s="3537"/>
      <c r="M8" s="3537"/>
      <c r="N8" s="3537"/>
      <c r="O8" s="3537"/>
      <c r="P8" s="3537"/>
      <c r="Q8" s="3538"/>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5" t="s">
        <v>2027</v>
      </c>
      <c r="B1" s="3545"/>
      <c r="C1" s="3545"/>
      <c r="D1" s="3545"/>
    </row>
    <row r="2" spans="1:4" ht="47.25" customHeight="1">
      <c r="A2" s="3546" t="str">
        <f>"1.权利限制："&amp;项目基本情况!L24&amp;"未设定租赁等其他他项权利。"</f>
        <v>1.权利限制：根据估价对象————、《不动产权证书》复印件，截至估价期日，估价对象抵押权未见登记。未设定租赁等其他他项权利。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5"/>
      <c r="C3" s="3545"/>
      <c r="D3" s="3545"/>
    </row>
    <row r="4" spans="1:4" ht="36.75" customHeight="1">
      <c r="A4" s="3545" t="str">
        <f>"3.估价规划限制条件：详见"&amp;项目基本情况!E21&amp;"。"</f>
        <v>3.估价规划限制条件：详见《规证》。</v>
      </c>
      <c r="B4" s="3545"/>
      <c r="C4" s="3545"/>
      <c r="D4" s="3545"/>
    </row>
    <row r="5" spans="1:4">
      <c r="A5" s="3544" t="s">
        <v>2028</v>
      </c>
      <c r="B5" s="3544"/>
      <c r="C5" s="3544"/>
      <c r="D5" s="3544"/>
    </row>
    <row r="6" spans="1:4">
      <c r="A6" s="3545" t="s">
        <v>2006</v>
      </c>
      <c r="B6" s="3545"/>
      <c r="C6" s="3545"/>
      <c r="D6" s="3545"/>
    </row>
    <row r="7" spans="1:4" ht="33" customHeight="1">
      <c r="A7" s="3545" t="s">
        <v>2540</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7" t="str">
        <f>IF(项目基本情况!B8="抵押","（1）"&amp;CONCATENATE(项目基本情况!L24,项目基本情况!L25,项目基本情况!L26),"——")</f>
        <v>（1）根据估价对象————、《不动产权证书》复印件，截至估价期日，估价对象抵押权未见登记。</v>
      </c>
      <c r="B11" s="3547"/>
      <c r="C11" s="3547"/>
      <c r="D11" s="3547"/>
    </row>
    <row r="12" spans="1:4" ht="168" customHeight="1">
      <c r="A12" s="3544" t="s">
        <v>2030</v>
      </c>
      <c r="B12" s="3544"/>
      <c r="C12" s="3544"/>
      <c r="D12" s="3544"/>
    </row>
    <row r="13" spans="1:4">
      <c r="A13" s="3548" t="s">
        <v>2711</v>
      </c>
      <c r="B13" s="3548"/>
      <c r="C13" s="3548"/>
      <c r="D13" s="3548"/>
    </row>
    <row r="14" spans="1:4">
      <c r="A14" s="3547" t="str">
        <f>IF(项目基本情况!B8="抵押","综上，"&amp;结果表!K47,"——")</f>
        <v>综上，本次评估估价师知悉的法定优先受偿款为人民币793万元整。</v>
      </c>
      <c r="B14" s="3547"/>
      <c r="C14" s="3547"/>
      <c r="D14" s="3547"/>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2667</v>
      </c>
      <c r="B17" s="3545"/>
      <c r="C17" s="3545"/>
      <c r="D17" s="3545"/>
    </row>
    <row r="18" spans="1:4">
      <c r="A18" s="3545" t="s">
        <v>2659</v>
      </c>
      <c r="B18" s="3545"/>
      <c r="C18" s="3545"/>
      <c r="D18" s="3545"/>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5" t="s">
        <v>2664</v>
      </c>
      <c r="B23" s="3545"/>
      <c r="C23" s="3545"/>
      <c r="D23" s="3545"/>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43244</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2018-05-24T08:19:17Z</dcterms:modified>
</cp:coreProperties>
</file>