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370" yWindow="30" windowWidth="11670" windowHeight="1071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表、补缴"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商业"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车位案例" sheetId="76" r:id="rId43"/>
    <sheet name="不动产收益法仓储" sheetId="73"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43">不动产收益法仓储!$A$1:$F$43,不动产收益法仓储!$H$3:$M$29,不动产收益法仓储!$A$46:$F$70,不动产收益法仓储!$I$46:$M$60</definedName>
    <definedName name="_xlnm.Print_Area" localSheetId="35">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42">'不动产比较法-办公'!$B$119:$M$119</definedName>
    <definedName name="办公层高" localSheetId="13">'不动产比较法-办公'!$B$119:$M$119</definedName>
    <definedName name="办公层高" localSheetId="19">'不动产比较法-办公'!$B$119:$M$119</definedName>
    <definedName name="办公层高" localSheetId="34">'不动产比较法-办公'!$B$119:$M$119</definedName>
    <definedName name="办公层高">'不动产比较法-办公'!$B$119:$M$119</definedName>
    <definedName name="办公朝向" localSheetId="42">'不动产比较法-办公'!$B$91:$M$91</definedName>
    <definedName name="办公朝向" localSheetId="13">'不动产比较法-办公'!$B$91:$M$91</definedName>
    <definedName name="办公朝向" localSheetId="19">'不动产比较法-办公'!$B$91:$M$91</definedName>
    <definedName name="办公朝向" localSheetId="34">'不动产比较法-办公'!$B$91:$M$91</definedName>
    <definedName name="办公朝向">'不动产比较法-办公'!$B$91:$M$91</definedName>
    <definedName name="办公道路级别" localSheetId="42">'不动产比较法-办公'!$B$87:$M$87</definedName>
    <definedName name="办公道路级别" localSheetId="13">'不动产比较法-办公'!$B$87:$M$87</definedName>
    <definedName name="办公道路级别" localSheetId="19">'不动产比较法-办公'!$B$87:$M$87</definedName>
    <definedName name="办公道路级别" localSheetId="34">'不动产比较法-办公'!$B$87:$M$87</definedName>
    <definedName name="办公道路级别">'不动产比较法-办公'!$B$87:$M$87</definedName>
    <definedName name="办公公共部分装修" localSheetId="42">'不动产比较法-办公'!$B$108:$M$108</definedName>
    <definedName name="办公公共部分装修" localSheetId="13">'不动产比较法-办公'!$B$108:$M$108</definedName>
    <definedName name="办公公共部分装修" localSheetId="19">'不动产比较法-办公'!$B$108:$M$108</definedName>
    <definedName name="办公公共部分装修" localSheetId="34">'不动产比较法-办公'!$B$108:$M$108</definedName>
    <definedName name="办公公共部分装修">'不动产比较法-办公'!$B$108:$M$108</definedName>
    <definedName name="办公基础设施水平" localSheetId="42">'不动产比较法-办公'!$B$117:$M$117</definedName>
    <definedName name="办公基础设施水平" localSheetId="13">'不动产比较法-办公'!$B$117:$M$117</definedName>
    <definedName name="办公基础设施水平" localSheetId="19">'不动产比较法-办公'!$B$117:$M$117</definedName>
    <definedName name="办公基础设施水平" localSheetId="34">'不动产比较法-办公'!$B$117:$M$117</definedName>
    <definedName name="办公基础设施水平">'不动产比较法-办公'!$B$117:$M$117</definedName>
    <definedName name="办公集聚程度" localSheetId="42">定义!$M$1:$M$6</definedName>
    <definedName name="办公集聚程度" localSheetId="13">定义!$M$1:$M$6</definedName>
    <definedName name="办公集聚程度" localSheetId="19">定义!$M$1:$M$6</definedName>
    <definedName name="办公集聚程度" localSheetId="34">定义!$M$1:$M$6</definedName>
    <definedName name="办公集聚程度">定义!$M$1:$M$6</definedName>
    <definedName name="办公建筑结构" localSheetId="42">'不动产比较法-办公'!$B$106:$M$106</definedName>
    <definedName name="办公建筑结构" localSheetId="13">'不动产比较法-办公'!$B$106:$M$106</definedName>
    <definedName name="办公建筑结构" localSheetId="19">'不动产比较法-办公'!$B$106:$M$106</definedName>
    <definedName name="办公建筑结构" localSheetId="34">'不动产比较法-办公'!$B$106:$M$106</definedName>
    <definedName name="办公建筑结构">'不动产比较法-办公'!$B$106:$M$106</definedName>
    <definedName name="办公建筑类型" localSheetId="42">'不动产比较法-办公'!$B$101:$M$101</definedName>
    <definedName name="办公建筑类型" localSheetId="13">'不动产比较法-办公'!$B$101:$M$101</definedName>
    <definedName name="办公建筑类型" localSheetId="19">'不动产比较法-办公'!$B$101:$M$101</definedName>
    <definedName name="办公建筑类型" localSheetId="34">'不动产比较法-办公'!$B$101:$M$101</definedName>
    <definedName name="办公建筑类型">'不动产比较法-办公'!$B$101:$M$101</definedName>
    <definedName name="办公交易情况" localSheetId="42">'不动产比较法-办公'!$A$62:$M$62</definedName>
    <definedName name="办公交易情况" localSheetId="13">'不动产比较法-办公'!$A$62:$M$62</definedName>
    <definedName name="办公交易情况" localSheetId="19">'不动产比较法-办公'!$A$62:$M$62</definedName>
    <definedName name="办公交易情况" localSheetId="34">'不动产比较法-办公'!$A$62:$M$62</definedName>
    <definedName name="办公交易情况">'不动产比较法-办公'!$A$62:$M$62</definedName>
    <definedName name="办公楼层" localSheetId="42">'不动产比较法-办公'!$B$89:$M$89</definedName>
    <definedName name="办公楼层" localSheetId="13">'不动产比较法-办公'!$B$89:$M$89</definedName>
    <definedName name="办公楼层" localSheetId="19">'不动产比较法-办公'!$B$89:$M$89</definedName>
    <definedName name="办公楼层" localSheetId="34">'不动产比较法-办公'!$B$89:$M$89</definedName>
    <definedName name="办公楼层">'不动产比较法-办公'!$B$89:$M$89</definedName>
    <definedName name="办公内部装修" localSheetId="42">'不动产比较法-办公'!$B$123:$M$123</definedName>
    <definedName name="办公内部装修" localSheetId="13">'不动产比较法-办公'!$B$123:$M$123</definedName>
    <definedName name="办公内部装修" localSheetId="19">'不动产比较法-办公'!$B$123:$M$123</definedName>
    <definedName name="办公内部装修" localSheetId="34">'不动产比较法-办公'!$B$123:$M$123</definedName>
    <definedName name="办公内部装修">'不动产比较法-办公'!$B$123:$M$123</definedName>
    <definedName name="办公物业管理" localSheetId="42">'不动产比较法-办公'!$B$115:$M$115</definedName>
    <definedName name="办公物业管理" localSheetId="13">'不动产比较法-办公'!$B$115:$M$115</definedName>
    <definedName name="办公物业管理" localSheetId="19">'不动产比较法-办公'!$B$115:$M$115</definedName>
    <definedName name="办公物业管理" localSheetId="34">'不动产比较法-办公'!$B$115:$M$115</definedName>
    <definedName name="办公物业管理">'不动产比较法-办公'!$B$115:$M$115</definedName>
    <definedName name="办公用途" localSheetId="42">'不动产比较法-办公'!$B$64:$M$64</definedName>
    <definedName name="办公用途" localSheetId="13">'不动产比较法-办公'!$B$64:$M$64</definedName>
    <definedName name="办公用途" localSheetId="19">'不动产比较法-办公'!$B$64:$M$64</definedName>
    <definedName name="办公用途" localSheetId="34">'不动产比较法-办公'!$B$64:$M$64</definedName>
    <definedName name="办公用途">'不动产比较法-办公'!$B$64:$M$64</definedName>
    <definedName name="仓储公共部分装修" localSheetId="42">'不动产比较法-仓储'!$B$77:$M$77</definedName>
    <definedName name="仓储公共部分装修" localSheetId="13">'不动产比较法-仓储'!$B$77:$M$77</definedName>
    <definedName name="仓储公共部分装修" localSheetId="19">'不动产比较法-仓储'!$B$77:$M$77</definedName>
    <definedName name="仓储公共部分装修" localSheetId="34">'不动产比较法-仓储'!$B$77:$M$77</definedName>
    <definedName name="仓储公共部分装修">'不动产比较法-仓储'!$B$77:$M$77</definedName>
    <definedName name="仓储交易情况" localSheetId="42">'不动产比较法-仓储'!$A$49:$M$49</definedName>
    <definedName name="仓储交易情况" localSheetId="13">'不动产比较法-仓储'!$A$49:$M$49</definedName>
    <definedName name="仓储交易情况" localSheetId="19">'不动产比较法-仓储'!$A$49:$M$49</definedName>
    <definedName name="仓储交易情况" localSheetId="34">'不动产比较法-仓储'!$A$49:$M$49</definedName>
    <definedName name="仓储交易情况">'不动产比较法-仓储'!$A$49:$M$49</definedName>
    <definedName name="仓储楼层" localSheetId="42">'不动产比较法-仓储'!$B$69:$M$69</definedName>
    <definedName name="仓储楼层" localSheetId="13">'不动产比较法-仓储'!$B$69:$M$69</definedName>
    <definedName name="仓储楼层" localSheetId="19">'不动产比较法-仓储'!$B$69:$M$69</definedName>
    <definedName name="仓储楼层" localSheetId="34">'不动产比较法-仓储'!$B$69:$M$69</definedName>
    <definedName name="仓储楼层">'不动产比较法-仓储'!$B$69:$M$69</definedName>
    <definedName name="仓储物业等级" localSheetId="42">'不动产比较法-仓储'!$B$82:$M$82</definedName>
    <definedName name="仓储物业等级" localSheetId="13">'不动产比较法-仓储'!$B$82:$M$82</definedName>
    <definedName name="仓储物业等级" localSheetId="19">'不动产比较法-仓储'!$B$82:$M$82</definedName>
    <definedName name="仓储物业等级" localSheetId="34">'不动产比较法-仓储'!$B$82:$M$82</definedName>
    <definedName name="仓储物业等级">'不动产比较法-仓储'!$B$82:$M$82</definedName>
    <definedName name="仓储用途" localSheetId="42">'不动产比较法-仓储'!$B$51:$M$51</definedName>
    <definedName name="仓储用途" localSheetId="13">'不动产比较法-仓储'!$B$51:$M$51</definedName>
    <definedName name="仓储用途" localSheetId="19">'不动产比较法-仓储'!$B$51:$M$51</definedName>
    <definedName name="仓储用途" localSheetId="34">'不动产比较法-仓储'!$B$51:$M$51</definedName>
    <definedName name="仓储用途">'不动产比较法-仓储'!$B$51:$M$51</definedName>
    <definedName name="产业集聚程度" localSheetId="42">定义!$N$1:$N$6</definedName>
    <definedName name="产业集聚程度" localSheetId="13">定义!$N$1:$N$6</definedName>
    <definedName name="产业集聚程度" localSheetId="19">定义!$N$1:$N$6</definedName>
    <definedName name="产业集聚程度" localSheetId="34">定义!$N$1:$N$6</definedName>
    <definedName name="产业集聚程度">定义!$N$1:$N$6</definedName>
    <definedName name="车位公共部分装修" localSheetId="42">'不动产比较法-车位'!$B$83:$M$83</definedName>
    <definedName name="车位公共部分装修" localSheetId="13">'不动产比较法-车位'!$B$83:$M$83</definedName>
    <definedName name="车位公共部分装修" localSheetId="19">'不动产比较法-车位'!$B$83:$M$83</definedName>
    <definedName name="车位公共部分装修" localSheetId="34">'不动产比较法-车位'!$B$83:$M$83</definedName>
    <definedName name="车位公共部分装修">'不动产比较法-车位'!$B$83:$M$83</definedName>
    <definedName name="车位交易情况" localSheetId="42">'不动产比较法-车位'!$A$51:$M$51</definedName>
    <definedName name="车位交易情况" localSheetId="13">'不动产比较法-车位'!$A$51:$M$51</definedName>
    <definedName name="车位交易情况" localSheetId="19">'不动产比较法-车位'!$A$51:$M$51</definedName>
    <definedName name="车位交易情况" localSheetId="34">'不动产比较法-车位'!$A$51:$M$51</definedName>
    <definedName name="车位交易情况">'不动产比较法-车位'!$A$51:$M$51</definedName>
    <definedName name="车位类型" localSheetId="42">'不动产比较法-车位'!$B$93:$M$93</definedName>
    <definedName name="车位类型" localSheetId="13">'不动产比较法-车位'!$B$93:$M$93</definedName>
    <definedName name="车位类型" localSheetId="19">'不动产比较法-车位'!$B$93:$M$93</definedName>
    <definedName name="车位类型" localSheetId="34">'不动产比较法-车位'!$B$93:$M$93</definedName>
    <definedName name="车位类型">'不动产比较法-车位'!$B$93:$M$93</definedName>
    <definedName name="车位楼层" localSheetId="42">'不动产比较法-车位'!$B$71:$M$71</definedName>
    <definedName name="车位楼层" localSheetId="13">'不动产比较法-车位'!$B$71:$M$71</definedName>
    <definedName name="车位楼层" localSheetId="19">'不动产比较法-车位'!$B$71:$M$71</definedName>
    <definedName name="车位楼层" localSheetId="34">'不动产比较法-车位'!$B$71:$M$71</definedName>
    <definedName name="车位楼层">'不动产比较法-车位'!$B$71:$M$71</definedName>
    <definedName name="车位配套类型" localSheetId="42">'不动产比较法-车位'!$B$79:$M$79</definedName>
    <definedName name="车位配套类型" localSheetId="13">'不动产比较法-车位'!$B$79:$M$79</definedName>
    <definedName name="车位配套类型" localSheetId="19">'不动产比较法-车位'!$B$79:$M$79</definedName>
    <definedName name="车位配套类型" localSheetId="34">'不动产比较法-车位'!$B$79:$M$79</definedName>
    <definedName name="车位配套类型">'不动产比较法-车位'!$B$79:$M$79</definedName>
    <definedName name="车位物业等级" localSheetId="42">'不动产比较法-车位'!$B$88:$M$88</definedName>
    <definedName name="车位物业等级" localSheetId="13">'不动产比较法-车位'!$B$88:$M$88</definedName>
    <definedName name="车位物业等级" localSheetId="19">'不动产比较法-车位'!$B$88:$M$88</definedName>
    <definedName name="车位物业等级" localSheetId="34">'不动产比较法-车位'!$B$88:$M$88</definedName>
    <definedName name="车位物业等级">'不动产比较法-车位'!$B$88:$M$88</definedName>
    <definedName name="车位用途" localSheetId="42">'不动产比较法-车位'!$B$53:$M$53</definedName>
    <definedName name="车位用途" localSheetId="13">'不动产比较法-车位'!$B$53:$M$53</definedName>
    <definedName name="车位用途" localSheetId="19">'不动产比较法-车位'!$B$53:$M$53</definedName>
    <definedName name="车位用途" localSheetId="34">'不动产比较法-车位'!$B$53:$M$53</definedName>
    <definedName name="车位用途">'不动产比较法-车位'!$B$53:$M$53</definedName>
    <definedName name="城镇土地纳税等级分级范围" localSheetId="42">'数据-取费表'!$A$53:$A$63</definedName>
    <definedName name="城镇土地纳税等级分级范围" localSheetId="13">'数据-取费表'!$A$53:$A$63</definedName>
    <definedName name="城镇土地纳税等级分级范围" localSheetId="19">'数据-取费表'!$A$53:$A$63</definedName>
    <definedName name="城镇土地纳税等级分级范围" localSheetId="34">'数据-取费表'!$A$53:$A$63</definedName>
    <definedName name="城镇土地纳税等级分级范围">'数据-取费表'!$A$53:$A$63</definedName>
    <definedName name="单价内涵" localSheetId="42">定义!$V$1:$V$3</definedName>
    <definedName name="单价内涵" localSheetId="13">定义!$V$1:$V$3</definedName>
    <definedName name="单价内涵" localSheetId="19">定义!$V$1:$V$3</definedName>
    <definedName name="单价内涵" localSheetId="34">定义!$V$1:$V$3</definedName>
    <definedName name="单价内涵">定义!$V$1:$V$3</definedName>
    <definedName name="地类判定" localSheetId="42">定义!$H$1:$H$9</definedName>
    <definedName name="地类判定" localSheetId="13">定义!$H$1:$H$9</definedName>
    <definedName name="地类判定" localSheetId="19">定义!$H$1:$H$9</definedName>
    <definedName name="地类判定" localSheetId="34">定义!$H$1:$H$9</definedName>
    <definedName name="地类判定">定义!$H$1:$H$9</definedName>
    <definedName name="二级">区片价!$K$1:$K$21</definedName>
    <definedName name="二级分类" localSheetId="42">修正!$C$19:$C$51</definedName>
    <definedName name="二级分类" localSheetId="13">修正!$C$19:$C$51</definedName>
    <definedName name="二级分类" localSheetId="19">修正!$C$19:$C$51</definedName>
    <definedName name="二级分类" localSheetId="34">修正!$C$19:$C$51</definedName>
    <definedName name="二级分类">修正!$C$19:$C$51</definedName>
    <definedName name="法定最高年限" localSheetId="42">定义!$G$2:$G$4</definedName>
    <definedName name="法定最高年限" localSheetId="13">定义!$G$2:$G$4</definedName>
    <definedName name="法定最高年限" localSheetId="19">定义!$G$2:$G$4</definedName>
    <definedName name="法定最高年限" localSheetId="34">定义!$G$2:$G$4</definedName>
    <definedName name="法定最高年限">定义!$G$2:$G$5</definedName>
    <definedName name="工业公共部分装修" localSheetId="42">'不动产比较法-工业'!$B$95:$M$95</definedName>
    <definedName name="工业公共部分装修" localSheetId="13">'不动产比较法-工业'!$B$95:$M$95</definedName>
    <definedName name="工业公共部分装修" localSheetId="19">'不动产比较法-工业'!$B$95:$M$95</definedName>
    <definedName name="工业公共部分装修" localSheetId="34">'不动产比较法-工业'!$B$95:$M$95</definedName>
    <definedName name="工业公共部分装修">'不动产比较法-工业'!$B$95:$M$95</definedName>
    <definedName name="工业基础设施水平" localSheetId="42">'不动产比较法-工业'!$B$102:$M$102</definedName>
    <definedName name="工业基础设施水平" localSheetId="13">'不动产比较法-工业'!$B$102:$M$102</definedName>
    <definedName name="工业基础设施水平" localSheetId="19">'不动产比较法-工业'!$B$102:$M$102</definedName>
    <definedName name="工业基础设施水平" localSheetId="34">'不动产比较法-工业'!$B$102:$M$102</definedName>
    <definedName name="工业基础设施水平">'不动产比较法-工业'!$B$102:$M$102</definedName>
    <definedName name="工业建筑结构" localSheetId="42">'不动产比较法-工业'!$B$93:$M$93</definedName>
    <definedName name="工业建筑结构" localSheetId="13">'不动产比较法-工业'!$B$93:$M$93</definedName>
    <definedName name="工业建筑结构" localSheetId="19">'不动产比较法-工业'!$B$93:$M$93</definedName>
    <definedName name="工业建筑结构" localSheetId="34">'不动产比较法-工业'!$B$93:$M$93</definedName>
    <definedName name="工业建筑结构">'不动产比较法-工业'!$B$93:$M$93</definedName>
    <definedName name="工业建筑类型" localSheetId="42">'不动产比较法-工业'!$B$88:$M$88</definedName>
    <definedName name="工业建筑类型" localSheetId="13">'不动产比较法-工业'!$B$88:$M$88</definedName>
    <definedName name="工业建筑类型" localSheetId="19">'不动产比较法-工业'!$B$88:$M$88</definedName>
    <definedName name="工业建筑类型" localSheetId="34">'不动产比较法-工业'!$B$88:$M$88</definedName>
    <definedName name="工业建筑类型">'不动产比较法-工业'!$B$88:$M$88</definedName>
    <definedName name="工业交易情况" localSheetId="42">'不动产比较法-工业'!$A$55:$M$55</definedName>
    <definedName name="工业交易情况" localSheetId="13">'不动产比较法-工业'!$A$55:$M$55</definedName>
    <definedName name="工业交易情况" localSheetId="19">'不动产比较法-工业'!$A$55:$M$55</definedName>
    <definedName name="工业交易情况" localSheetId="34">'不动产比较法-工业'!$A$55:$M$55</definedName>
    <definedName name="工业交易情况">'不动产比较法-工业'!$A$55:$M$55</definedName>
    <definedName name="工业内部装修" localSheetId="42">'不动产比较法-工业'!$B$104:$M$104</definedName>
    <definedName name="工业内部装修" localSheetId="13">'不动产比较法-工业'!$B$104:$M$104</definedName>
    <definedName name="工业内部装修" localSheetId="19">'不动产比较法-工业'!$B$104:$M$104</definedName>
    <definedName name="工业内部装修" localSheetId="34">'不动产比较法-工业'!$B$104:$M$104</definedName>
    <definedName name="工业内部装修">'不动产比较法-工业'!$B$104:$M$104</definedName>
    <definedName name="工业物业管理" localSheetId="42">'不动产比较法-工业'!$B$100:$M$100</definedName>
    <definedName name="工业物业管理" localSheetId="13">'不动产比较法-工业'!$B$100:$M$100</definedName>
    <definedName name="工业物业管理" localSheetId="19">'不动产比较法-工业'!$B$100:$M$100</definedName>
    <definedName name="工业物业管理" localSheetId="34">'不动产比较法-工业'!$B$100:$M$100</definedName>
    <definedName name="工业物业管理">'不动产比较法-工业'!$B$100:$M$100</definedName>
    <definedName name="工业用途" localSheetId="42">'不动产比较法-工业'!$B$57:$M$57</definedName>
    <definedName name="工业用途" localSheetId="13">'不动产比较法-工业'!$B$57:$M$57</definedName>
    <definedName name="工业用途" localSheetId="19">'不动产比较法-工业'!$B$57:$M$57</definedName>
    <definedName name="工业用途" localSheetId="34">'不动产比较法-工业'!$B$57:$M$57</definedName>
    <definedName name="工业用途">'不动产比较法-工业'!$B$57:$M$57</definedName>
    <definedName name="公共配套设施" localSheetId="42">定义!$Q$1:$Q$6</definedName>
    <definedName name="公共配套设施" localSheetId="13">定义!$Q$1:$Q$6</definedName>
    <definedName name="公共配套设施" localSheetId="19">定义!$Q$1:$Q$6</definedName>
    <definedName name="公共配套设施" localSheetId="34">定义!$Q$1:$Q$6</definedName>
    <definedName name="公共配套设施">定义!$Q$1:$Q$6</definedName>
    <definedName name="估价范围判定">定义!$D$1:$D$4</definedName>
    <definedName name="估价方法" localSheetId="42">定义!$B$1:$B$50</definedName>
    <definedName name="估价方法" localSheetId="13">定义!$B$1:$B$50</definedName>
    <definedName name="估价方法" localSheetId="19">定义!$B$1:$B$50</definedName>
    <definedName name="估价方法" localSheetId="34">定义!$B$1:$B$50</definedName>
    <definedName name="估价方法">定义!$B$1:$B$50</definedName>
    <definedName name="环境" localSheetId="42">定义!$S$1:$S$6</definedName>
    <definedName name="环境" localSheetId="13">定义!$S$1:$S$6</definedName>
    <definedName name="环境" localSheetId="19">定义!$S$1:$S$6</definedName>
    <definedName name="环境" localSheetId="34">定义!$S$1:$S$6</definedName>
    <definedName name="环境">定义!$S$1:$S$6</definedName>
    <definedName name="基础设施水平" localSheetId="42">定义!$R$1:$R$6</definedName>
    <definedName name="基础设施水平" localSheetId="13">定义!$R$1:$R$6</definedName>
    <definedName name="基础设施水平" localSheetId="19">定义!$R$1:$R$6</definedName>
    <definedName name="基础设施水平" localSheetId="34">定义!$R$1:$R$6</definedName>
    <definedName name="基础设施水平">定义!$R$1:$R$6</definedName>
    <definedName name="季度">基准地价!$N$19:$AB$19</definedName>
    <definedName name="季度2014">地价!$A$2:$A$41</definedName>
    <definedName name="价值类型2" localSheetId="42">定义!$B$54:$B$56</definedName>
    <definedName name="价值类型2" localSheetId="13">定义!$B$54:$B$56</definedName>
    <definedName name="价值类型2" localSheetId="19">定义!$B$54:$B$56</definedName>
    <definedName name="价值类型2" localSheetId="34">定义!$B$54:$B$56</definedName>
    <definedName name="价值类型2">定义!$B$54:$B$56</definedName>
    <definedName name="交通便捷度" localSheetId="42">定义!$O$1:$O$6</definedName>
    <definedName name="交通便捷度" localSheetId="13">定义!$O$1:$O$6</definedName>
    <definedName name="交通便捷度" localSheetId="19">定义!$O$1:$O$6</definedName>
    <definedName name="交通便捷度" localSheetId="34">定义!$O$1:$O$6</definedName>
    <definedName name="交通便捷度">定义!$O$1:$O$6</definedName>
    <definedName name="九级">区片价!$R$1:$R$51</definedName>
    <definedName name="居住社区成熟度" localSheetId="42">定义!$K$1:$K$6</definedName>
    <definedName name="居住社区成熟度" localSheetId="13">定义!$K$1:$K$6</definedName>
    <definedName name="居住社区成熟度" localSheetId="19">定义!$K$1:$K$6</definedName>
    <definedName name="居住社区成熟度" localSheetId="34">定义!$K$1:$K$6</definedName>
    <definedName name="居住社区成熟度">定义!$K$1:$K$6</definedName>
    <definedName name="类别" localSheetId="42">定义!$J$1:$J$3</definedName>
    <definedName name="类别" localSheetId="13">定义!$J$1:$J$3</definedName>
    <definedName name="类别" localSheetId="19">定义!$J$1:$J$3</definedName>
    <definedName name="类别" localSheetId="34">定义!$J$1:$J$3</definedName>
    <definedName name="类别">定义!$J$1:$J$3</definedName>
    <definedName name="临街状况" localSheetId="42">定义!$T$1:$T$5</definedName>
    <definedName name="临街状况" localSheetId="13">定义!$T$1:$T$5</definedName>
    <definedName name="临街状况" localSheetId="19">定义!$T$1:$T$5</definedName>
    <definedName name="临街状况" localSheetId="34">定义!$T$1:$T$5</definedName>
    <definedName name="临街状况">定义!$T$1:$T$5</definedName>
    <definedName name="六级">区片价!$O$1:$O$64</definedName>
    <definedName name="内部装修维护情况" localSheetId="42">定义!$U$1:$U$6</definedName>
    <definedName name="内部装修维护情况" localSheetId="13">定义!$U$1:$U$6</definedName>
    <definedName name="内部装修维护情况" localSheetId="19">定义!$U$1:$U$6</definedName>
    <definedName name="内部装修维护情况" localSheetId="34">定义!$U$1:$U$6</definedName>
    <definedName name="内部装修维护情况">定义!$U$1:$U$6</definedName>
    <definedName name="判定">定义!$D$1:$D$4</definedName>
    <definedName name="七级">区片价!$P$1:$P$45</definedName>
    <definedName name="七通一平" localSheetId="42">修正!$A$8:$A$16</definedName>
    <definedName name="七通一平" localSheetId="13">修正!$A$8:$A$16</definedName>
    <definedName name="七通一平" localSheetId="19">修正!$A$8:$A$16</definedName>
    <definedName name="七通一平" localSheetId="34">修正!$A$8:$A$16</definedName>
    <definedName name="七通一平">修正!$A$8:$A$16</definedName>
    <definedName name="区域土地利用方向" localSheetId="42">定义!$P$1:$P$6</definedName>
    <definedName name="区域土地利用方向" localSheetId="13">定义!$P$1:$P$6</definedName>
    <definedName name="区域土地利用方向" localSheetId="19">定义!$P$1:$P$6</definedName>
    <definedName name="区域土地利用方向" localSheetId="34">定义!$P$1:$P$6</definedName>
    <definedName name="区域土地利用方向">定义!$P$1:$P$6</definedName>
    <definedName name="三级">区片价!$L$1:$L$26</definedName>
    <definedName name="商业层高" localSheetId="42">'不动产比较法-商业'!$B$116:$M$116</definedName>
    <definedName name="商业层高" localSheetId="13">'不动产比较法-商业'!$B$116:$M$116</definedName>
    <definedName name="商业层高" localSheetId="19">'不动产比较法-商业'!$B$116:$M$116</definedName>
    <definedName name="商业层高" localSheetId="34">'不动产比较法-商业'!$B$116:$M$116</definedName>
    <definedName name="商业层高">'不动产比较法-商业'!$B$116:$M$116</definedName>
    <definedName name="商业成新度">'不动产比较法-商业'!$B$109:$M$109</definedName>
    <definedName name="商业繁华度" localSheetId="42">定义!$L$1:$L$6</definedName>
    <definedName name="商业繁华度" localSheetId="13">定义!$L$1:$L$6</definedName>
    <definedName name="商业繁华度" localSheetId="19">定义!$L$1:$L$6</definedName>
    <definedName name="商业繁华度" localSheetId="34">定义!$L$1:$L$6</definedName>
    <definedName name="商业繁华度">定义!$L$1:$L$6</definedName>
    <definedName name="商业公共部分装修" localSheetId="42">'不动产比较法-商业'!$B$107:$M$107</definedName>
    <definedName name="商业公共部分装修" localSheetId="13">'不动产比较法-商业'!$B$107:$M$107</definedName>
    <definedName name="商业公共部分装修" localSheetId="19">'不动产比较法-商业'!$B$107:$M$107</definedName>
    <definedName name="商业公共部分装修" localSheetId="34">'不动产比较法-商业'!$B$107:$M$107</definedName>
    <definedName name="商业公共部分装修">'不动产比较法-商业'!$B$107:$M$107</definedName>
    <definedName name="商业基础设施水平" localSheetId="42">'不动产比较法-商业'!$B$112:$M$112</definedName>
    <definedName name="商业基础设施水平" localSheetId="13">'不动产比较法-商业'!$B$112:$M$112</definedName>
    <definedName name="商业基础设施水平" localSheetId="19">'不动产比较法-商业'!$B$112:$M$112</definedName>
    <definedName name="商业基础设施水平" localSheetId="34">'不动产比较法-商业'!$B$112:$M$112</definedName>
    <definedName name="商业基础设施水平">'不动产比较法-商业'!$B$112:$M$112</definedName>
    <definedName name="商业建筑结构" localSheetId="42">'不动产比较法-商业'!$B$105:$M$105</definedName>
    <definedName name="商业建筑结构" localSheetId="13">'不动产比较法-商业'!$B$105:$M$105</definedName>
    <definedName name="商业建筑结构" localSheetId="19">'不动产比较法-商业'!$B$105:$M$105</definedName>
    <definedName name="商业建筑结构" localSheetId="34">'不动产比较法-商业'!$B$105:$M$105</definedName>
    <definedName name="商业建筑结构">'不动产比较法-商业'!$B$105:$M$105</definedName>
    <definedName name="商业交易情况" localSheetId="42">'不动产比较法-商业'!$A$61:$M$61</definedName>
    <definedName name="商业交易情况" localSheetId="13">'不动产比较法-商业'!$A$61:$M$61</definedName>
    <definedName name="商业交易情况" localSheetId="19">'不动产比较法-商业'!$A$61:$M$61</definedName>
    <definedName name="商业交易情况" localSheetId="34">'不动产比较法-商业'!$A$61:$M$61</definedName>
    <definedName name="商业交易情况">'不动产比较法-商业'!$A$61:$M$61</definedName>
    <definedName name="商业街名称" localSheetId="42">修正!$C$71:$C$139</definedName>
    <definedName name="商业街名称" localSheetId="13">修正!$C$71:$C$139</definedName>
    <definedName name="商业街名称" localSheetId="19">修正!$C$71:$C$139</definedName>
    <definedName name="商业街名称" localSheetId="34">修正!$C$71:$C$139</definedName>
    <definedName name="商业街名称">修正!$C$71:$C$139</definedName>
    <definedName name="商业进深比" localSheetId="42">'不动产比较法-商业'!$B$120:$M$120</definedName>
    <definedName name="商业进深比" localSheetId="13">'不动产比较法-商业'!$B$120:$M$120</definedName>
    <definedName name="商业进深比" localSheetId="19">'不动产比较法-商业'!$B$120:$M$120</definedName>
    <definedName name="商业进深比" localSheetId="34">'不动产比较法-商业'!$B$120:$M$120</definedName>
    <definedName name="商业进深比">'不动产比较法-商业'!$B$120:$M$120</definedName>
    <definedName name="商业类型" localSheetId="42">'不动产比较法-商业'!$B$100:$M$100</definedName>
    <definedName name="商业类型" localSheetId="13">'不动产比较法-商业'!$B$100:$M$100</definedName>
    <definedName name="商业类型" localSheetId="19">'不动产比较法-商业'!$B$100:$M$100</definedName>
    <definedName name="商业类型" localSheetId="34">'不动产比较法-商业'!$B$100:$M$100</definedName>
    <definedName name="商业类型">'不动产比较法-商业'!$B$100:$M$100</definedName>
    <definedName name="商业临街状况" localSheetId="42">'不动产比较法-商业'!$B$86:$M$86</definedName>
    <definedName name="商业临街状况" localSheetId="13">'不动产比较法-商业'!$B$86:$M$86</definedName>
    <definedName name="商业临街状况" localSheetId="19">'不动产比较法-商业'!$B$86:$M$86</definedName>
    <definedName name="商业临街状况" localSheetId="34">'不动产比较法-商业'!$B$86:$M$86</definedName>
    <definedName name="商业临街状况">'不动产比较法-商业'!$B$86:$M$86</definedName>
    <definedName name="商业楼层" localSheetId="42">'不动产比较法-商业'!$B$92:$M$92</definedName>
    <definedName name="商业楼层" localSheetId="13">'不动产比较法-商业'!$B$92:$M$92</definedName>
    <definedName name="商业楼层" localSheetId="19">'不动产比较法-商业'!$B$92:$M$92</definedName>
    <definedName name="商业楼层" localSheetId="34">'不动产比较法-商业'!$B$92:$M$92</definedName>
    <definedName name="商业楼层">'不动产比较法-商业'!$B$92:$M$92</definedName>
    <definedName name="商业内部装修" localSheetId="42">'不动产比较法-商业'!$B$122:$M$122</definedName>
    <definedName name="商业内部装修" localSheetId="13">'不动产比较法-商业'!$B$122:$M$122</definedName>
    <definedName name="商业内部装修" localSheetId="19">'不动产比较法-商业'!$B$122:$M$122</definedName>
    <definedName name="商业内部装修" localSheetId="34">'不动产比较法-商业'!$B$122:$M$122</definedName>
    <definedName name="商业内部装修">'不动产比较法-商业'!$B$122:$M$122</definedName>
    <definedName name="商业人流量" localSheetId="42">'不动产比较法-商业'!$B$90:$M$90</definedName>
    <definedName name="商业人流量" localSheetId="13">'不动产比较法-商业'!$B$90:$M$90</definedName>
    <definedName name="商业人流量" localSheetId="19">'不动产比较法-商业'!$B$90:$M$90</definedName>
    <definedName name="商业人流量" localSheetId="34">'不动产比较法-商业'!$B$90:$M$90</definedName>
    <definedName name="商业人流量">'不动产比较法-商业'!$B$90:$M$90</definedName>
    <definedName name="商业业态" localSheetId="42">'不动产比较法-商业'!$B$114:$M$114</definedName>
    <definedName name="商业业态" localSheetId="13">'不动产比较法-商业'!$B$114:$M$114</definedName>
    <definedName name="商业业态" localSheetId="19">'不动产比较法-商业'!$B$114:$M$114</definedName>
    <definedName name="商业业态" localSheetId="34">'不动产比较法-商业'!$B$114:$M$114</definedName>
    <definedName name="商业业态">'不动产比较法-商业'!$B$114:$M$114</definedName>
    <definedName name="商业用途" localSheetId="42">'不动产比较法-商业'!$B$63:$M$63</definedName>
    <definedName name="商业用途" localSheetId="13">'不动产比较法-商业'!$B$63:$M$63</definedName>
    <definedName name="商业用途" localSheetId="19">'不动产比较法-商业'!$B$63:$M$63</definedName>
    <definedName name="商业用途" localSheetId="34">'不动产比较法-商业'!$B$63:$M$63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2">'不动产比较法-仓储'!$B$89:$M$89</definedName>
    <definedName name="是否封闭" localSheetId="13">'不动产比较法-仓储'!$B$89:$M$89</definedName>
    <definedName name="是否封闭" localSheetId="19">'不动产比较法-仓储'!$B$89:$M$89</definedName>
    <definedName name="是否封闭" localSheetId="34">'不动产比较法-仓储'!$B$89:$M$89</definedName>
    <definedName name="是否封闭">'不动产比较法-仓储'!$B$89:$M$89</definedName>
    <definedName name="是否直接入户" localSheetId="42">'不动产比较法-车位'!$B$95:$M$95</definedName>
    <definedName name="是否直接入户" localSheetId="13">'不动产比较法-车位'!$B$95:$M$95</definedName>
    <definedName name="是否直接入户" localSheetId="19">'不动产比较法-车位'!$B$95:$M$95</definedName>
    <definedName name="是否直接入户" localSheetId="34">'不动产比较法-车位'!$B$95:$M$95</definedName>
    <definedName name="是否直接入户">'不动产比较法-车位'!$B$95:$M$95</definedName>
    <definedName name="四级">区片价!$M$1:$M$33</definedName>
    <definedName name="套工工程地质条件" localSheetId="42">'比较法-工业'!$B$115:$M$115</definedName>
    <definedName name="套工工程地质条件" localSheetId="13">'比较法-工业'!$B$115:$M$115</definedName>
    <definedName name="套工工程地质条件" localSheetId="19">'比较法-工业'!$B$115:$M$115</definedName>
    <definedName name="套工工程地质条件" localSheetId="34">'比较法-工业'!$B$115:$M$115</definedName>
    <definedName name="套工工程地质条件">'比较法-工业'!$B$115:$M$115</definedName>
    <definedName name="套工交易情况" localSheetId="42">'比较法-住宅、综合'!$A$74:$M$74</definedName>
    <definedName name="套工交易情况" localSheetId="13">'比较法-住宅、综合'!$A$74:$M$74</definedName>
    <definedName name="套工交易情况" localSheetId="19">'比较法-住宅、综合'!$A$74:$M$74</definedName>
    <definedName name="套工交易情况" localSheetId="34">'比较法-住宅、综合'!$A$74:$M$74</definedName>
    <definedName name="套工交易情况">'比较法-住宅、综合'!$A$74:$M$74</definedName>
    <definedName name="套工开发程度" localSheetId="42">'比较法-工业'!$B$113:$M$113</definedName>
    <definedName name="套工开发程度" localSheetId="13">'比较法-工业'!$B$113:$M$113</definedName>
    <definedName name="套工开发程度" localSheetId="19">'比较法-工业'!$B$113:$M$113</definedName>
    <definedName name="套工开发程度" localSheetId="34">'比较法-工业'!$B$113:$M$113</definedName>
    <definedName name="套工开发程度">'比较法-工业'!$B$113:$M$113</definedName>
    <definedName name="套工临街等级" localSheetId="42">'比较法-工业'!$B$98:$M$98</definedName>
    <definedName name="套工临街等级" localSheetId="13">'比较法-工业'!$B$98:$M$98</definedName>
    <definedName name="套工临街等级" localSheetId="19">'比较法-工业'!$B$98:$M$98</definedName>
    <definedName name="套工临街等级" localSheetId="34">'比较法-工业'!$B$98:$M$98</definedName>
    <definedName name="套工临街等级">'比较法-工业'!$B$98:$M$98</definedName>
    <definedName name="套工土地级别" localSheetId="42">'比较法-工业'!$B$100:$M$100</definedName>
    <definedName name="套工土地级别" localSheetId="13">'比较法-工业'!$B$100:$M$100</definedName>
    <definedName name="套工土地级别" localSheetId="19">'比较法-工业'!$B$100:$M$100</definedName>
    <definedName name="套工土地级别" localSheetId="34">'比较法-工业'!$B$100:$M$100</definedName>
    <definedName name="套工土地级别">'比较法-工业'!$B$100:$M$100</definedName>
    <definedName name="套工用途" localSheetId="42">'比较法-工业'!$B$71:$M$71</definedName>
    <definedName name="套工用途" localSheetId="13">'比较法-工业'!$B$71:$M$71</definedName>
    <definedName name="套工用途" localSheetId="19">'比较法-工业'!$B$71:$M$71</definedName>
    <definedName name="套工用途" localSheetId="34">'比较法-工业'!$B$71:$M$71</definedName>
    <definedName name="套工用途">'比较法-工业'!$B$71:$M$71</definedName>
    <definedName name="套工宗地形状" localSheetId="42">'比较法-工业'!$B$111:$M$111</definedName>
    <definedName name="套工宗地形状" localSheetId="13">'比较法-工业'!$B$111:$M$111</definedName>
    <definedName name="套工宗地形状" localSheetId="19">'比较法-工业'!$B$111:$M$111</definedName>
    <definedName name="套工宗地形状" localSheetId="34">'比较法-工业'!$B$111:$M$111</definedName>
    <definedName name="套工宗地形状">'比较法-工业'!$B$111:$M$111</definedName>
    <definedName name="套综道路等级" localSheetId="42">'比较法-住宅、综合'!$B$107:$M$107</definedName>
    <definedName name="套综道路等级" localSheetId="13">'比较法-住宅、综合'!$B$107:$M$107</definedName>
    <definedName name="套综道路等级" localSheetId="19">'比较法-住宅、综合'!$B$107:$M$107</definedName>
    <definedName name="套综道路等级" localSheetId="34">'比较法-住宅、综合'!$B$107:$M$107</definedName>
    <definedName name="套综道路等级">'比较法-住宅、综合'!$B$107:$M$107</definedName>
    <definedName name="套综工程地质条件" localSheetId="42">'比较法-住宅、综合'!$B$126:$M$126</definedName>
    <definedName name="套综工程地质条件" localSheetId="13">'比较法-住宅、综合'!$B$126:$M$126</definedName>
    <definedName name="套综工程地质条件" localSheetId="19">'比较法-住宅、综合'!$B$126:$M$126</definedName>
    <definedName name="套综工程地质条件" localSheetId="34">'比较法-住宅、综合'!$B$126:$M$126</definedName>
    <definedName name="套综工程地质条件">'比较法-住宅、综合'!$B$126:$M$126</definedName>
    <definedName name="套综交易情况" localSheetId="42">'比较法-住宅、综合'!$A$74:$M$74</definedName>
    <definedName name="套综交易情况" localSheetId="13">'比较法-住宅、综合'!$A$74:$M$74</definedName>
    <definedName name="套综交易情况" localSheetId="19">'比较法-住宅、综合'!$A$74:$M$74</definedName>
    <definedName name="套综交易情况" localSheetId="34">'比较法-住宅、综合'!$A$74:$M$74</definedName>
    <definedName name="套综交易情况">'比较法-住宅、综合'!$A$74:$M$74</definedName>
    <definedName name="套综临街宽度及深度" localSheetId="42">'比较法-住宅、综合'!$B$122:$M$122</definedName>
    <definedName name="套综临街宽度及深度" localSheetId="13">'比较法-住宅、综合'!$B$122:$M$122</definedName>
    <definedName name="套综临街宽度及深度" localSheetId="19">'比较法-住宅、综合'!$B$122:$M$122</definedName>
    <definedName name="套综临街宽度及深度" localSheetId="34">'比较法-住宅、综合'!$B$122:$M$122</definedName>
    <definedName name="套综临街宽度及深度">'比较法-住宅、综合'!$B$122:$M$122</definedName>
    <definedName name="套综土地级别" localSheetId="42">'比较法-住宅、综合'!$B$109:$M$109</definedName>
    <definedName name="套综土地级别" localSheetId="13">'比较法-住宅、综合'!$B$109:$M$109</definedName>
    <definedName name="套综土地级别" localSheetId="19">'比较法-住宅、综合'!$B$109:$M$109</definedName>
    <definedName name="套综土地级别" localSheetId="34">'比较法-住宅、综合'!$B$109:$M$109</definedName>
    <definedName name="套综土地级别">'比较法-住宅、综合'!$B$109:$M$109</definedName>
    <definedName name="套综用途" localSheetId="42">'比较法-住宅、综合'!$B$76:$M$76</definedName>
    <definedName name="套综用途" localSheetId="13">'比较法-住宅、综合'!$B$76:$M$76</definedName>
    <definedName name="套综用途" localSheetId="19">'比较法-住宅、综合'!$B$76:$M$76</definedName>
    <definedName name="套综用途" localSheetId="34">'比较法-住宅、综合'!$B$76:$M$76</definedName>
    <definedName name="套综用途">'比较法-住宅、综合'!$B$76:$M$76</definedName>
    <definedName name="套综宗地内开发程度" localSheetId="42">'比较法-住宅、综合'!$B$124:$M$124</definedName>
    <definedName name="套综宗地内开发程度" localSheetId="13">'比较法-住宅、综合'!$B$124:$M$124</definedName>
    <definedName name="套综宗地内开发程度" localSheetId="19">'比较法-住宅、综合'!$B$124:$M$124</definedName>
    <definedName name="套综宗地内开发程度" localSheetId="34">'比较法-住宅、综合'!$B$124:$M$124</definedName>
    <definedName name="套综宗地内开发程度">'比较法-住宅、综合'!$B$124:$M$124</definedName>
    <definedName name="套综宗地形状" localSheetId="42">'比较法-住宅、综合'!$B$120:$M$120</definedName>
    <definedName name="套综宗地形状" localSheetId="13">'比较法-住宅、综合'!$B$120:$M$120</definedName>
    <definedName name="套综宗地形状" localSheetId="19">'比较法-住宅、综合'!$B$120:$M$120</definedName>
    <definedName name="套综宗地形状" localSheetId="34">'比较法-住宅、综合'!$B$120:$M$120</definedName>
    <definedName name="套综宗地形状">'比较法-住宅、综合'!$B$120:$M$120</definedName>
    <definedName name="土地估价师" localSheetId="42">估价师及机构信息!$D$3:$D$17</definedName>
    <definedName name="土地估价师" localSheetId="13">估价师及机构信息!$D$3:$D$17</definedName>
    <definedName name="土地估价师" localSheetId="19">估价师及机构信息!$D$3:$D$17</definedName>
    <definedName name="土地估价师" localSheetId="34">估价师及机构信息!$D$3:$D$17</definedName>
    <definedName name="土地估价师">估价师及机构信息!$D$3:$D$17</definedName>
    <definedName name="土地级别" localSheetId="42">定义!$C$1:$C$14</definedName>
    <definedName name="土地级别" localSheetId="13">定义!$C$1:$C$14</definedName>
    <definedName name="土地级别" localSheetId="19">定义!$C$1:$C$14</definedName>
    <definedName name="土地级别" localSheetId="34">定义!$C$1:$C$14</definedName>
    <definedName name="土地级别">定义!$C$1:$C$14</definedName>
    <definedName name="土地利用方向">定义!$P$1:$P$6</definedName>
    <definedName name="土地年限区间" localSheetId="42">定义!$I$1:$I$8</definedName>
    <definedName name="土地年限区间" localSheetId="13">定义!$I$1:$I$8</definedName>
    <definedName name="土地年限区间" localSheetId="19">定义!$I$1:$I$8</definedName>
    <definedName name="土地年限区间" localSheetId="34">定义!$I$1:$I$8</definedName>
    <definedName name="土地年限区间">定义!$I$1:$I$16</definedName>
    <definedName name="位置" localSheetId="42">定义!$E$2:$E$4</definedName>
    <definedName name="位置" localSheetId="13">定义!$E$2:$E$4</definedName>
    <definedName name="位置" localSheetId="19">定义!$E$2:$E$4</definedName>
    <definedName name="位置" localSheetId="34">定义!$E$2:$E$4</definedName>
    <definedName name="位置">定义!$E$2:$E$4</definedName>
    <definedName name="五等判定" localSheetId="42">定义!$W$1:$W$6</definedName>
    <definedName name="五等判定" localSheetId="13">定义!$W$1:$W$6</definedName>
    <definedName name="五等判定" localSheetId="19">定义!$W$1:$W$6</definedName>
    <definedName name="五等判定" localSheetId="34">定义!$W$1:$W$6</definedName>
    <definedName name="五等判定">定义!$W$1:$W$6</definedName>
    <definedName name="五级">区片价!$N$1:$N$41</definedName>
    <definedName name="项目类型" localSheetId="36">'[1]数据-汇总表'!$C$17:$C$26</definedName>
    <definedName name="项目类型" localSheetId="42">'数据-汇总表'!$C$17:$C$26</definedName>
    <definedName name="项目类型" localSheetId="13">'数据-汇总表'!$C$17:$C$26</definedName>
    <definedName name="项目类型" localSheetId="19">'数据-汇总表'!$C$17:$C$26</definedName>
    <definedName name="项目类型" localSheetId="34">'数据-汇总表'!$C$17:$C$26</definedName>
    <definedName name="项目类型">'数据-汇总表'!$C$17:$C$26</definedName>
    <definedName name="写字楼等级" localSheetId="42">'不动产比较法-办公'!$B$113:$M$113</definedName>
    <definedName name="写字楼等级" localSheetId="13">'不动产比较法-办公'!$B$113:$M$113</definedName>
    <definedName name="写字楼等级" localSheetId="19">'不动产比较法-办公'!$B$113:$M$113</definedName>
    <definedName name="写字楼等级" localSheetId="34">'不动产比较法-办公'!$B$113:$M$113</definedName>
    <definedName name="写字楼等级">'不动产比较法-办公'!$B$113:$M$113</definedName>
    <definedName name="一级">区片价!$J$1:$J$6</definedName>
    <definedName name="一修多修正项2" localSheetId="42">典型户型修正!$5:$5</definedName>
    <definedName name="一修多修正项2" localSheetId="13">典型户型修正!$5:$5</definedName>
    <definedName name="一修多修正项2" localSheetId="19">典型户型修正!$5:$5</definedName>
    <definedName name="一修多修正项2" localSheetId="34">典型户型修正!$5:$5</definedName>
    <definedName name="一修多修正项2">典型户型修正!$5:$5</definedName>
    <definedName name="一修多修正项3" localSheetId="42">典型户型修正!$7:$7</definedName>
    <definedName name="一修多修正项3" localSheetId="13">典型户型修正!$7:$7</definedName>
    <definedName name="一修多修正项3" localSheetId="19">典型户型修正!$7:$7</definedName>
    <definedName name="一修多修正项3" localSheetId="34">典型户型修正!$7:$7</definedName>
    <definedName name="一修多修正项3">典型户型修正!$7:$7</definedName>
    <definedName name="一修多修正项4" localSheetId="42">典型户型修正!$9:$9</definedName>
    <definedName name="一修多修正项4" localSheetId="13">典型户型修正!$9:$9</definedName>
    <definedName name="一修多修正项4" localSheetId="19">典型户型修正!$9:$9</definedName>
    <definedName name="一修多修正项4" localSheetId="34">典型户型修正!$9:$9</definedName>
    <definedName name="一修多修正项4">典型户型修正!$9:$9</definedName>
    <definedName name="一修多修正项5" localSheetId="42">典型户型修正!$11:$11</definedName>
    <definedName name="一修多修正项5" localSheetId="13">典型户型修正!$11:$11</definedName>
    <definedName name="一修多修正项5" localSheetId="19">典型户型修正!$11:$11</definedName>
    <definedName name="一修多修正项5" localSheetId="34">典型户型修正!$11:$11</definedName>
    <definedName name="一修多修正项5">典型户型修正!$11:$11</definedName>
    <definedName name="一修多修正项6" localSheetId="42">典型户型修正!$13:$13</definedName>
    <definedName name="一修多修正项6" localSheetId="13">典型户型修正!$13:$13</definedName>
    <definedName name="一修多修正项6" localSheetId="19">典型户型修正!$13:$13</definedName>
    <definedName name="一修多修正项6" localSheetId="34">典型户型修正!$13:$13</definedName>
    <definedName name="一修多修正项6">典型户型修正!$13:$13</definedName>
    <definedName name="一修多修正项7" localSheetId="42">典型户型修正!$15:$15</definedName>
    <definedName name="一修多修正项7" localSheetId="13">典型户型修正!$15:$15</definedName>
    <definedName name="一修多修正项7" localSheetId="19">典型户型修正!$15:$15</definedName>
    <definedName name="一修多修正项7" localSheetId="34">典型户型修正!$15:$15</definedName>
    <definedName name="一修多修正项7">典型户型修正!$15:$15</definedName>
    <definedName name="一修多修正项8" localSheetId="42">典型户型修正!$17:$17</definedName>
    <definedName name="一修多修正项8" localSheetId="13">典型户型修正!$17:$17</definedName>
    <definedName name="一修多修正项8" localSheetId="19">典型户型修正!$17:$17</definedName>
    <definedName name="一修多修正项8" localSheetId="34">典型户型修正!$17:$17</definedName>
    <definedName name="一修多修正项8">典型户型修正!$17:$17</definedName>
    <definedName name="用途类型" localSheetId="42">定义!$A$1:$A$50</definedName>
    <definedName name="用途类型" localSheetId="13">定义!$A$1:$A$50</definedName>
    <definedName name="用途类型" localSheetId="19">定义!$A$1:$A$50</definedName>
    <definedName name="用途类型" localSheetId="34">定义!$A$1:$A$50</definedName>
    <definedName name="用途类型">定义!$A$1:$A$50</definedName>
    <definedName name="有无电梯" localSheetId="42">'不动产比较法-仓储'!$B$84:$M$84</definedName>
    <definedName name="有无电梯" localSheetId="13">'不动产比较法-仓储'!$B$84:$M$84</definedName>
    <definedName name="有无电梯" localSheetId="19">'不动产比较法-仓储'!$B$84:$M$84</definedName>
    <definedName name="有无电梯" localSheetId="34">'不动产比较法-仓储'!$B$84:$M$84</definedName>
    <definedName name="有无电梯">'不动产比较法-仓储'!$B$84:$M$84</definedName>
    <definedName name="主用途" localSheetId="42">定义!$F$1:$F$10</definedName>
    <definedName name="主用途" localSheetId="13">定义!$F$1:$F$10</definedName>
    <definedName name="主用途" localSheetId="19">定义!$F$1:$F$10</definedName>
    <definedName name="主用途" localSheetId="34">定义!$F$1:$F$10</definedName>
    <definedName name="主用途">定义!$F$1:$F$12</definedName>
    <definedName name="住宅朝向" localSheetId="42">'不动产比较法-住宅'!$B$88:$M$88</definedName>
    <definedName name="住宅朝向" localSheetId="13">'不动产比较法-住宅'!$B$88:$M$88</definedName>
    <definedName name="住宅朝向" localSheetId="19">'不动产比较法-住宅'!$B$88:$M$88</definedName>
    <definedName name="住宅朝向" localSheetId="34">'不动产比较法-住宅'!$B$88:$M$88</definedName>
    <definedName name="住宅朝向">'不动产比较法-住宅'!$B$88:$M$88</definedName>
    <definedName name="住宅房型" localSheetId="42">'不动产比较法-住宅'!$B$118:$M$118</definedName>
    <definedName name="住宅房型" localSheetId="13">'不动产比较法-住宅'!$B$118:$M$118</definedName>
    <definedName name="住宅房型" localSheetId="19">'不动产比较法-住宅'!$B$118:$M$118</definedName>
    <definedName name="住宅房型" localSheetId="34">'不动产比较法-住宅'!$B$118:$M$118</definedName>
    <definedName name="住宅房型">'不动产比较法-住宅'!$B$118:$M$118</definedName>
    <definedName name="住宅公共部分装修" localSheetId="42">'不动产比较法-住宅'!$B$109:$M$109</definedName>
    <definedName name="住宅公共部分装修" localSheetId="13">'不动产比较法-住宅'!$B$109:$M$109</definedName>
    <definedName name="住宅公共部分装修" localSheetId="19">'不动产比较法-住宅'!$B$109:$M$109</definedName>
    <definedName name="住宅公共部分装修" localSheetId="34">'不动产比较法-住宅'!$B$109:$M$109</definedName>
    <definedName name="住宅公共部分装修">'不动产比较法-住宅'!$B$109:$M$109</definedName>
    <definedName name="住宅基础设施水平" localSheetId="42">'不动产比较法-住宅'!$B$116:$M$116</definedName>
    <definedName name="住宅基础设施水平" localSheetId="13">'不动产比较法-住宅'!$B$116:$M$116</definedName>
    <definedName name="住宅基础设施水平" localSheetId="19">'不动产比较法-住宅'!$B$116:$M$116</definedName>
    <definedName name="住宅基础设施水平" localSheetId="34">'不动产比较法-住宅'!$B$116:$M$116</definedName>
    <definedName name="住宅基础设施水平">'不动产比较法-住宅'!$B$116:$M$116</definedName>
    <definedName name="住宅建筑结构" localSheetId="42">'不动产比较法-住宅'!$B$105:$M$105</definedName>
    <definedName name="住宅建筑结构" localSheetId="13">'不动产比较法-住宅'!$B$105:$M$105</definedName>
    <definedName name="住宅建筑结构" localSheetId="19">'不动产比较法-住宅'!$B$105:$M$105</definedName>
    <definedName name="住宅建筑结构" localSheetId="34">'不动产比较法-住宅'!$B$105:$M$105</definedName>
    <definedName name="住宅建筑结构">'不动产比较法-住宅'!$B$105:$M$105</definedName>
    <definedName name="住宅建筑类型" localSheetId="42">'不动产比较法-住宅'!$B$100:$M$100</definedName>
    <definedName name="住宅建筑类型" localSheetId="13">'不动产比较法-住宅'!$B$100:$M$100</definedName>
    <definedName name="住宅建筑类型" localSheetId="19">'不动产比较法-住宅'!$B$100:$M$100</definedName>
    <definedName name="住宅建筑类型" localSheetId="34">'不动产比较法-住宅'!$B$100:$M$100</definedName>
    <definedName name="住宅建筑类型">'不动产比较法-住宅'!$B$100:$M$100</definedName>
    <definedName name="住宅建筑品质" localSheetId="42">'不动产比较法-住宅'!$B$107:$M$107</definedName>
    <definedName name="住宅建筑品质" localSheetId="13">'不动产比较法-住宅'!$B$107:$M$107</definedName>
    <definedName name="住宅建筑品质" localSheetId="19">'不动产比较法-住宅'!$B$107:$M$107</definedName>
    <definedName name="住宅建筑品质" localSheetId="34">'不动产比较法-住宅'!$B$107:$M$107</definedName>
    <definedName name="住宅建筑品质">'不动产比较法-住宅'!$B$107:$M$107</definedName>
    <definedName name="住宅交易情况" localSheetId="42">'不动产比较法-住宅'!$A$61:$M$61</definedName>
    <definedName name="住宅交易情况" localSheetId="13">'不动产比较法-住宅'!$A$61:$M$61</definedName>
    <definedName name="住宅交易情况" localSheetId="19">'不动产比较法-住宅'!$A$61:$M$61</definedName>
    <definedName name="住宅交易情况" localSheetId="34">'不动产比较法-住宅'!$A$61:$M$61</definedName>
    <definedName name="住宅交易情况">'不动产比较法-住宅'!$A$61:$M$61</definedName>
    <definedName name="住宅楼层" localSheetId="42">'不动产比较法-住宅'!$B$86:$M$86</definedName>
    <definedName name="住宅楼层" localSheetId="13">'不动产比较法-住宅'!$B$86:$M$86</definedName>
    <definedName name="住宅楼层" localSheetId="19">'不动产比较法-住宅'!$B$86:$M$86</definedName>
    <definedName name="住宅楼层" localSheetId="34">'不动产比较法-住宅'!$B$86:$M$86</definedName>
    <definedName name="住宅楼层">'不动产比较法-住宅'!$B$86:$M$86</definedName>
    <definedName name="住宅内部装修" localSheetId="42">'不动产比较法-住宅'!$B$122:$M$122</definedName>
    <definedName name="住宅内部装修" localSheetId="13">'不动产比较法-住宅'!$B$122:$M$122</definedName>
    <definedName name="住宅内部装修" localSheetId="19">'不动产比较法-住宅'!$B$122:$M$122</definedName>
    <definedName name="住宅内部装修" localSheetId="34">'不动产比较法-住宅'!$B$122:$M$122</definedName>
    <definedName name="住宅内部装修">'不动产比较法-住宅'!$B$122:$M$122</definedName>
    <definedName name="住宅物业管理" localSheetId="42">'不动产比较法-住宅'!$B$114:$M$114</definedName>
    <definedName name="住宅物业管理" localSheetId="13">'不动产比较法-住宅'!$B$114:$M$114</definedName>
    <definedName name="住宅物业管理" localSheetId="19">'不动产比较法-住宅'!$B$114:$M$114</definedName>
    <definedName name="住宅物业管理" localSheetId="34">'不动产比较法-住宅'!$B$114:$M$114</definedName>
    <definedName name="住宅物业管理">'不动产比较法-住宅'!$B$114:$M$114</definedName>
    <definedName name="住宅用途" localSheetId="42">'不动产比较法-住宅'!$B$63:$M$63</definedName>
    <definedName name="住宅用途" localSheetId="13">'不动产比较法-住宅'!$B$63:$M$63</definedName>
    <definedName name="住宅用途" localSheetId="19">'不动产比较法-住宅'!$B$63:$M$63</definedName>
    <definedName name="住宅用途" localSheetId="34">'不动产比较法-住宅'!$B$63:$M$63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J4" i="72" l="1"/>
  <c r="J6" i="72" s="1"/>
  <c r="J5" i="72"/>
  <c r="J3" i="72"/>
  <c r="S49" i="76" l="1"/>
  <c r="S48" i="76"/>
  <c r="T24" i="76"/>
  <c r="R24" i="76"/>
  <c r="R10" i="76"/>
  <c r="R9" i="76"/>
  <c r="I7" i="39"/>
  <c r="G7" i="39"/>
  <c r="E7" i="39"/>
  <c r="I40" i="39"/>
  <c r="G40" i="39"/>
  <c r="E40" i="39"/>
  <c r="C40" i="39"/>
  <c r="I9" i="39"/>
  <c r="G9" i="39"/>
  <c r="E9" i="39"/>
  <c r="D72" i="39"/>
  <c r="E72" i="39" s="1"/>
  <c r="F72" i="39" s="1"/>
  <c r="G72" i="39" s="1"/>
  <c r="H72" i="39" s="1"/>
  <c r="I72" i="39" s="1"/>
  <c r="J72" i="39" s="1"/>
  <c r="K72" i="39" s="1"/>
  <c r="L72" i="39" s="1"/>
  <c r="M72" i="39" s="1"/>
  <c r="N72" i="39" s="1"/>
  <c r="Q73" i="73"/>
  <c r="Q60" i="73"/>
  <c r="D60" i="73"/>
  <c r="Q59" i="73"/>
  <c r="K59" i="73"/>
  <c r="P75" i="73" s="1"/>
  <c r="F58" i="73"/>
  <c r="Q52" i="73"/>
  <c r="J50" i="73"/>
  <c r="M47" i="73"/>
  <c r="F33" i="73"/>
  <c r="F60" i="73" s="1"/>
  <c r="F31" i="73"/>
  <c r="F23" i="73"/>
  <c r="D24" i="73" s="1"/>
  <c r="F21" i="73"/>
  <c r="F20" i="73"/>
  <c r="M19" i="73"/>
  <c r="F18" i="73"/>
  <c r="M17" i="73"/>
  <c r="F17" i="73"/>
  <c r="F15" i="73"/>
  <c r="M13" i="3"/>
  <c r="G21" i="6" s="1"/>
  <c r="I13" i="3"/>
  <c r="F19" i="6" s="1"/>
  <c r="AL13" i="3"/>
  <c r="A3" i="3"/>
  <c r="C14" i="66" s="1"/>
  <c r="AE23" i="72"/>
  <c r="AF23" i="72" s="1"/>
  <c r="AF22" i="72"/>
  <c r="AJ13" i="3" s="1"/>
  <c r="AF21" i="72"/>
  <c r="AF13" i="3" s="1"/>
  <c r="AF20" i="72"/>
  <c r="O13" i="3" s="1"/>
  <c r="G22" i="6" s="1"/>
  <c r="AE19" i="72"/>
  <c r="AF19" i="72" s="1"/>
  <c r="AN13" i="3" s="1"/>
  <c r="AF18" i="72"/>
  <c r="K13" i="3" s="1"/>
  <c r="AF17" i="72"/>
  <c r="AE16" i="72"/>
  <c r="AF16" i="72" s="1"/>
  <c r="AF25" i="72" s="1"/>
  <c r="AF15" i="72"/>
  <c r="AF14" i="72"/>
  <c r="AH13" i="3" s="1"/>
  <c r="AF13" i="72"/>
  <c r="AF12" i="72"/>
  <c r="I6" i="72"/>
  <c r="B6" i="72"/>
  <c r="B4" i="72"/>
  <c r="B8" i="72" s="1"/>
  <c r="G2" i="72"/>
  <c r="G1" i="72"/>
  <c r="E59" i="39" l="1"/>
  <c r="G20" i="6"/>
  <c r="D22" i="73"/>
  <c r="D23" i="73"/>
  <c r="J51" i="73"/>
  <c r="P62" i="73"/>
  <c r="B7" i="72"/>
  <c r="I7" i="72"/>
  <c r="B9" i="72"/>
  <c r="B3" i="69"/>
  <c r="C7" i="69" s="1"/>
  <c r="G4" i="72" l="1"/>
  <c r="G3" i="72"/>
  <c r="G5" i="72"/>
  <c r="C5" i="69"/>
  <c r="C6" i="69"/>
  <c r="G6" i="72" l="1"/>
  <c r="G7" i="72" s="1"/>
  <c r="C13" i="46"/>
  <c r="L37" i="46"/>
  <c r="P37" i="46" s="1"/>
  <c r="Q36" i="46"/>
  <c r="P36" i="46"/>
  <c r="O36" i="46"/>
  <c r="N36" i="46"/>
  <c r="M36"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M37" i="46" l="1"/>
  <c r="Q37" i="46"/>
  <c r="O37" i="46"/>
  <c r="S5" i="46"/>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0" i="70"/>
  <c r="AA30" i="70"/>
  <c r="Z30" i="70"/>
  <c r="AB29" i="70"/>
  <c r="AA29" i="70"/>
  <c r="Z29" i="70"/>
  <c r="AB28" i="70"/>
  <c r="AA28" i="70"/>
  <c r="Z28" i="70"/>
  <c r="AB27" i="70"/>
  <c r="AA27" i="70"/>
  <c r="Z27" i="70"/>
  <c r="AB26" i="70"/>
  <c r="AA26" i="70"/>
  <c r="Z26" i="70"/>
  <c r="AB25" i="70"/>
  <c r="AA25" i="70"/>
  <c r="Z25" i="70"/>
  <c r="AB24" i="70"/>
  <c r="AA24" i="70"/>
  <c r="Z24" i="70"/>
  <c r="AB23" i="70"/>
  <c r="AA23" i="70"/>
  <c r="Z23" i="70"/>
  <c r="AB22" i="70"/>
  <c r="AA22" i="70"/>
  <c r="Z22" i="70"/>
  <c r="AD13" i="70"/>
  <c r="AC13" i="70"/>
  <c r="AB13" i="70"/>
  <c r="AA13" i="70"/>
  <c r="Z13" i="70"/>
  <c r="Y13" i="70"/>
  <c r="AD12" i="70"/>
  <c r="AC12" i="70"/>
  <c r="AB12" i="70"/>
  <c r="AA12" i="70"/>
  <c r="Z12" i="70"/>
  <c r="Y12" i="70"/>
  <c r="AD11" i="70"/>
  <c r="AC11" i="70"/>
  <c r="AB11" i="70"/>
  <c r="AA11" i="70"/>
  <c r="Z11" i="70"/>
  <c r="Y11" i="70"/>
  <c r="AC10" i="70"/>
  <c r="AB10" i="70"/>
  <c r="AA10" i="70"/>
  <c r="AD10" i="70" s="1"/>
  <c r="Z10" i="70"/>
  <c r="Y10" i="70"/>
  <c r="AC9" i="70"/>
  <c r="AB9" i="70"/>
  <c r="AA9" i="70"/>
  <c r="AD9" i="70" s="1"/>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13" i="70"/>
  <c r="N30" i="70"/>
  <c r="M30" i="70"/>
  <c r="P30" i="70" s="1"/>
  <c r="L30" i="70"/>
  <c r="I30" i="70"/>
  <c r="AD30" i="70" s="1"/>
  <c r="N29" i="70"/>
  <c r="U29" i="70" s="1"/>
  <c r="M29" i="70"/>
  <c r="P29" i="70" s="1"/>
  <c r="L29" i="70"/>
  <c r="S29" i="70" s="1"/>
  <c r="I29" i="70"/>
  <c r="AD29" i="70" s="1"/>
  <c r="N28" i="70"/>
  <c r="U28" i="70" s="1"/>
  <c r="M28" i="70"/>
  <c r="P28" i="70" s="1"/>
  <c r="L28" i="70"/>
  <c r="S28" i="70" s="1"/>
  <c r="I28" i="70"/>
  <c r="AD28" i="70" s="1"/>
  <c r="N27" i="70"/>
  <c r="U27" i="70" s="1"/>
  <c r="M27" i="70"/>
  <c r="P27" i="70" s="1"/>
  <c r="L27" i="70"/>
  <c r="S27" i="70" s="1"/>
  <c r="I27" i="70"/>
  <c r="AD27" i="70" s="1"/>
  <c r="N26" i="70"/>
  <c r="U26" i="70" s="1"/>
  <c r="M26" i="70"/>
  <c r="P26" i="70" s="1"/>
  <c r="L26" i="70"/>
  <c r="S26" i="70" s="1"/>
  <c r="I26" i="70"/>
  <c r="AD26" i="70" s="1"/>
  <c r="N25" i="70"/>
  <c r="U25" i="70" s="1"/>
  <c r="M25" i="70"/>
  <c r="P25" i="70" s="1"/>
  <c r="L25" i="70"/>
  <c r="S25" i="70" s="1"/>
  <c r="I25" i="70"/>
  <c r="AD25" i="70" s="1"/>
  <c r="N24" i="70"/>
  <c r="M24" i="70"/>
  <c r="P24" i="70" s="1"/>
  <c r="L24" i="70"/>
  <c r="S24" i="70" s="1"/>
  <c r="I24" i="70"/>
  <c r="AD24" i="70" s="1"/>
  <c r="N23" i="70"/>
  <c r="M23" i="70"/>
  <c r="P23" i="70" s="1"/>
  <c r="L23" i="70"/>
  <c r="I23" i="70"/>
  <c r="AD23" i="70" s="1"/>
  <c r="N22" i="70"/>
  <c r="M22" i="70"/>
  <c r="P22" i="70" s="1"/>
  <c r="L22" i="70"/>
  <c r="I22" i="70"/>
  <c r="AD22" i="70" s="1"/>
  <c r="N20" i="70"/>
  <c r="M20" i="70"/>
  <c r="P20" i="70" s="1"/>
  <c r="L20" i="70"/>
  <c r="G20" i="70"/>
  <c r="F20" i="70"/>
  <c r="I20" i="70" s="1"/>
  <c r="E20" i="70"/>
  <c r="O13" i="70"/>
  <c r="N13" i="70"/>
  <c r="M13" i="70"/>
  <c r="P13" i="70" s="1"/>
  <c r="L13" i="70"/>
  <c r="K13" i="70"/>
  <c r="I13" i="70"/>
  <c r="P12" i="70"/>
  <c r="O12" i="70"/>
  <c r="V12" i="70" s="1"/>
  <c r="N12" i="70"/>
  <c r="U12" i="70" s="1"/>
  <c r="M12" i="70"/>
  <c r="T12" i="70" s="1"/>
  <c r="W12" i="70" s="1"/>
  <c r="L12" i="70"/>
  <c r="S12" i="70" s="1"/>
  <c r="K12" i="70"/>
  <c r="R12" i="70" s="1"/>
  <c r="I12" i="70"/>
  <c r="O11" i="70"/>
  <c r="V11" i="70" s="1"/>
  <c r="N11" i="70"/>
  <c r="U11" i="70" s="1"/>
  <c r="M11" i="70"/>
  <c r="P11" i="70" s="1"/>
  <c r="L11" i="70"/>
  <c r="S11" i="70" s="1"/>
  <c r="K11" i="70"/>
  <c r="R11" i="70" s="1"/>
  <c r="I11" i="70"/>
  <c r="O10" i="70"/>
  <c r="V10" i="70" s="1"/>
  <c r="N10" i="70"/>
  <c r="U10" i="70" s="1"/>
  <c r="M10" i="70"/>
  <c r="T10" i="70" s="1"/>
  <c r="W10" i="70" s="1"/>
  <c r="L10" i="70"/>
  <c r="S10" i="70" s="1"/>
  <c r="K10" i="70"/>
  <c r="R10" i="70" s="1"/>
  <c r="I10" i="70"/>
  <c r="O9" i="70"/>
  <c r="V9" i="70" s="1"/>
  <c r="N9" i="70"/>
  <c r="U9" i="70" s="1"/>
  <c r="M9" i="70"/>
  <c r="P9" i="70" s="1"/>
  <c r="L9" i="70"/>
  <c r="S9" i="70" s="1"/>
  <c r="K9" i="70"/>
  <c r="R9" i="70" s="1"/>
  <c r="I9" i="70"/>
  <c r="O8" i="70"/>
  <c r="N8" i="70"/>
  <c r="M8" i="70"/>
  <c r="P8" i="70" s="1"/>
  <c r="L8" i="70"/>
  <c r="K8" i="70"/>
  <c r="I8" i="70"/>
  <c r="O7" i="70"/>
  <c r="N7" i="70"/>
  <c r="M7" i="70"/>
  <c r="P7" i="70" s="1"/>
  <c r="L7" i="70"/>
  <c r="K7" i="70"/>
  <c r="R7" i="70" s="1"/>
  <c r="I7" i="70"/>
  <c r="O6" i="70"/>
  <c r="N6" i="70"/>
  <c r="M6" i="70"/>
  <c r="P6" i="70" s="1"/>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U7" i="70" l="1"/>
  <c r="U8" i="70"/>
  <c r="L3" i="70"/>
  <c r="U22" i="70"/>
  <c r="T20" i="70"/>
  <c r="W20" i="70" s="1"/>
  <c r="Z20" i="70"/>
  <c r="AB20" i="70"/>
  <c r="AA20" i="70"/>
  <c r="AD20" i="70" s="1"/>
  <c r="T9" i="70"/>
  <c r="W9" i="70" s="1"/>
  <c r="T11" i="70"/>
  <c r="W11" i="70" s="1"/>
  <c r="T25" i="70"/>
  <c r="W25" i="70" s="1"/>
  <c r="T26" i="70"/>
  <c r="W26" i="70" s="1"/>
  <c r="T28" i="70"/>
  <c r="W28" i="70" s="1"/>
  <c r="V7" i="70"/>
  <c r="R8" i="70"/>
  <c r="T8" i="70"/>
  <c r="W8" i="70" s="1"/>
  <c r="V8" i="70"/>
  <c r="P10" i="70"/>
  <c r="T27" i="70"/>
  <c r="W27" i="70" s="1"/>
  <c r="T29" i="70"/>
  <c r="W29" i="70" s="1"/>
  <c r="Y3" i="70"/>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c r="B89" i="59"/>
  <c r="F88" i="59"/>
  <c r="F87" i="59" s="1"/>
  <c r="B88" i="59"/>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c r="B68" i="59"/>
  <c r="N68" i="59" s="1"/>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P38" i="59"/>
  <c r="AA38" i="59" s="1"/>
  <c r="O38" i="59"/>
  <c r="C39" i="59"/>
  <c r="C40"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Y34" i="59" s="1"/>
  <c r="Z34" i="59" s="1"/>
  <c r="N34" i="59"/>
  <c r="D34" i="59"/>
  <c r="Q33" i="59"/>
  <c r="P33" i="59"/>
  <c r="O33" i="59"/>
  <c r="N33" i="59"/>
  <c r="Q32" i="59"/>
  <c r="P32" i="59"/>
  <c r="O32" i="59"/>
  <c r="N32" i="59"/>
  <c r="Q31" i="59"/>
  <c r="P31" i="59"/>
  <c r="O31" i="59"/>
  <c r="N31" i="59"/>
  <c r="Q30" i="59"/>
  <c r="AB30" i="59" s="1"/>
  <c r="P30" i="59"/>
  <c r="AA30" i="59" s="1"/>
  <c r="O30" i="59"/>
  <c r="C31" i="59"/>
  <c r="C32" i="59" s="1"/>
  <c r="N30" i="59"/>
  <c r="B31" i="59"/>
  <c r="B32" i="59" s="1"/>
  <c r="B33" i="59" s="1"/>
  <c r="S33" i="59" s="1"/>
  <c r="D30" i="59"/>
  <c r="X3" i="59"/>
  <c r="X27" i="59"/>
  <c r="X29" i="59"/>
  <c r="AA26" i="59"/>
  <c r="AA28" i="59"/>
  <c r="Y26" i="59"/>
  <c r="Z26" i="59" s="1"/>
  <c r="Y27" i="59"/>
  <c r="Z27" i="59" s="1"/>
  <c r="Y28" i="59"/>
  <c r="Z28" i="59" s="1"/>
  <c r="Y29" i="59"/>
  <c r="Z29" i="59" s="1"/>
  <c r="AB29" i="59"/>
  <c r="AB26" i="59"/>
  <c r="AB28" i="59"/>
  <c r="E31" i="59"/>
  <c r="E32" i="59" s="1"/>
  <c r="E33" i="59" s="1"/>
  <c r="U33" i="59" s="1"/>
  <c r="B52" i="59"/>
  <c r="B53" i="59" s="1"/>
  <c r="S53" i="59" s="1"/>
  <c r="S69" i="59"/>
  <c r="AA40" i="59"/>
  <c r="F44" i="59"/>
  <c r="F45" i="59" s="1"/>
  <c r="V45" i="59" s="1"/>
  <c r="F56" i="59"/>
  <c r="F57" i="59" s="1"/>
  <c r="V57" i="59" s="1"/>
  <c r="F64" i="59"/>
  <c r="F65" i="59" s="1"/>
  <c r="V65" i="59" s="1"/>
  <c r="D31" i="59"/>
  <c r="D39" i="59"/>
  <c r="C52" i="59"/>
  <c r="C53" i="59" s="1"/>
  <c r="B67" i="59"/>
  <c r="N66" i="59" s="1"/>
  <c r="T69" i="59"/>
  <c r="D69" i="59"/>
  <c r="P69" i="59"/>
  <c r="U69" i="59"/>
  <c r="Q69" i="59"/>
  <c r="C72" i="59"/>
  <c r="E72" i="59"/>
  <c r="E71" i="59" s="1"/>
  <c r="D73" i="59"/>
  <c r="C76" i="59"/>
  <c r="E76" i="59"/>
  <c r="E75" i="59" s="1"/>
  <c r="D77" i="59"/>
  <c r="C80" i="59"/>
  <c r="E80" i="59"/>
  <c r="E79" i="59" s="1"/>
  <c r="D81" i="59"/>
  <c r="C84" i="59"/>
  <c r="C88" i="59"/>
  <c r="D88" i="59" s="1"/>
  <c r="U16" i="4"/>
  <c r="S16" i="4"/>
  <c r="Q16" i="4"/>
  <c r="O16" i="4"/>
  <c r="M16" i="4"/>
  <c r="K16" i="4"/>
  <c r="C87" i="59"/>
  <c r="D87" i="59" s="1"/>
  <c r="D80" i="59"/>
  <c r="C79" i="59"/>
  <c r="D79" i="59" s="1"/>
  <c r="D72" i="59"/>
  <c r="C71" i="59"/>
  <c r="D71" i="59" s="1"/>
  <c r="D84" i="59"/>
  <c r="C83" i="59"/>
  <c r="D83" i="59" s="1"/>
  <c r="D76" i="59"/>
  <c r="C75" i="59"/>
  <c r="D75" i="59"/>
  <c r="N67" i="59"/>
  <c r="D52"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s="1"/>
  <c r="C22" i="20"/>
  <c r="B100" i="46" s="1"/>
  <c r="S18" i="36"/>
  <c r="S18" i="35"/>
  <c r="S21" i="37"/>
  <c r="S31" i="39"/>
  <c r="C31" i="39"/>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G1" i="73"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H19" i="4"/>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C20" i="20"/>
  <c r="C18" i="20"/>
  <c r="B73" i="46"/>
  <c r="C17" i="20"/>
  <c r="B61" i="46"/>
  <c r="C16" i="20"/>
  <c r="B50" i="46"/>
  <c r="C15" i="20"/>
  <c r="B72" i="46"/>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D77" i="21"/>
  <c r="E77"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c r="F36" i="21"/>
  <c r="S36" i="21" s="1"/>
  <c r="F39" i="21"/>
  <c r="AA39" i="21" s="1"/>
  <c r="J40" i="21"/>
  <c r="W40" i="21"/>
  <c r="H35" i="21"/>
  <c r="AB35" i="21"/>
  <c r="J8" i="21"/>
  <c r="AC8" i="21" s="1"/>
  <c r="J9" i="21"/>
  <c r="AC9" i="21" s="1"/>
  <c r="H8" i="21"/>
  <c r="AB8" i="21" s="1"/>
  <c r="H9" i="21"/>
  <c r="AB9" i="21" s="1"/>
  <c r="H10" i="21"/>
  <c r="U10" i="21" s="1"/>
  <c r="H39" i="21"/>
  <c r="AB39" i="21" s="1"/>
  <c r="J34" i="21"/>
  <c r="W34" i="21" s="1"/>
  <c r="H36" i="21"/>
  <c r="U36" i="21" s="1"/>
  <c r="F35" i="21"/>
  <c r="AA35" i="21"/>
  <c r="J33" i="21"/>
  <c r="W33" i="21" s="1"/>
  <c r="H33" i="21"/>
  <c r="U33" i="21" s="1"/>
  <c r="F33" i="21"/>
  <c r="J10" i="21"/>
  <c r="AC10" i="21" s="1"/>
  <c r="H26" i="21"/>
  <c r="H12" i="21"/>
  <c r="U12" i="21" s="1"/>
  <c r="J26" i="21"/>
  <c r="W26" i="21" s="1"/>
  <c r="F26" i="21"/>
  <c r="AA26" i="21" s="1"/>
  <c r="AB41" i="21"/>
  <c r="S41" i="21"/>
  <c r="AA41" i="21"/>
  <c r="W41" i="21"/>
  <c r="S10" i="39"/>
  <c r="U30" i="37"/>
  <c r="E103" i="37"/>
  <c r="F103" i="37" s="1"/>
  <c r="F39" i="37"/>
  <c r="S39" i="37" s="1"/>
  <c r="W39" i="37"/>
  <c r="F29" i="36"/>
  <c r="AA29" i="36" s="1"/>
  <c r="F16" i="36"/>
  <c r="AA16" i="36" s="1"/>
  <c r="U22" i="36"/>
  <c r="U26" i="36"/>
  <c r="AC31" i="36"/>
  <c r="J33" i="36"/>
  <c r="W33" i="36" s="1"/>
  <c r="U31" i="35"/>
  <c r="W36" i="35"/>
  <c r="S31" i="35"/>
  <c r="W31" i="35"/>
  <c r="U34" i="35"/>
  <c r="F36" i="34"/>
  <c r="S36" i="34" s="1"/>
  <c r="W9" i="34"/>
  <c r="S34" i="34"/>
  <c r="W39" i="34"/>
  <c r="H39" i="33"/>
  <c r="AB39" i="33"/>
  <c r="U33" i="33"/>
  <c r="W38" i="33"/>
  <c r="S40" i="33"/>
  <c r="S33" i="33"/>
  <c r="W33" i="33"/>
  <c r="U38" i="33"/>
  <c r="H39" i="37"/>
  <c r="AB39" i="37" s="1"/>
  <c r="AB27" i="35"/>
  <c r="W10" i="40"/>
  <c r="U11" i="40"/>
  <c r="U36" i="40"/>
  <c r="S40" i="39"/>
  <c r="F11" i="21"/>
  <c r="S11" i="21" s="1"/>
  <c r="AC40" i="21"/>
  <c r="AA38" i="21"/>
  <c r="AC35" i="21"/>
  <c r="C29" i="39"/>
  <c r="C23" i="39"/>
  <c r="U36" i="39"/>
  <c r="H32" i="33"/>
  <c r="AB32" i="33" s="1"/>
  <c r="H11" i="21"/>
  <c r="U11" i="21" s="1"/>
  <c r="J11" i="21"/>
  <c r="W11" i="21" s="1"/>
  <c r="F85" i="40"/>
  <c r="G85" i="40" s="1"/>
  <c r="AA12" i="33"/>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H16" i="35"/>
  <c r="U16" i="35" s="1"/>
  <c r="H33" i="35"/>
  <c r="AB33" i="35" s="1"/>
  <c r="W8" i="35"/>
  <c r="AC8" i="35"/>
  <c r="F35" i="37"/>
  <c r="E101"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s="1"/>
  <c r="U9" i="34"/>
  <c r="J28" i="34"/>
  <c r="W28" i="34" s="1"/>
  <c r="S38" i="33"/>
  <c r="E113" i="33"/>
  <c r="F36" i="33"/>
  <c r="S36" i="33" s="1"/>
  <c r="F19" i="33"/>
  <c r="S19" i="33" s="1"/>
  <c r="J19" i="33"/>
  <c r="S10" i="21"/>
  <c r="W40" i="33"/>
  <c r="F125" i="21"/>
  <c r="G125" i="21" s="1"/>
  <c r="AB30" i="36"/>
  <c r="AC34"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J28" i="21"/>
  <c r="AC28" i="21" s="1"/>
  <c r="F30" i="21"/>
  <c r="S30" i="21" s="1"/>
  <c r="J44" i="21"/>
  <c r="AC44" i="21" s="1"/>
  <c r="H44" i="21"/>
  <c r="U44" i="21" s="1"/>
  <c r="F44" i="21"/>
  <c r="AA44" i="21" s="1"/>
  <c r="H46" i="2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U45" i="21" s="1"/>
  <c r="F27" i="33"/>
  <c r="S27" i="33" s="1"/>
  <c r="F13" i="33"/>
  <c r="S13" i="33" s="1"/>
  <c r="J29" i="33"/>
  <c r="W29" i="33" s="1"/>
  <c r="J31" i="33"/>
  <c r="AC31" i="33" s="1"/>
  <c r="H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S46" i="33"/>
  <c r="U36" i="37"/>
  <c r="AC13" i="36"/>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S27" i="37"/>
  <c r="U39" i="37"/>
  <c r="AC8" i="37"/>
  <c r="AC36" i="34"/>
  <c r="AB8" i="34"/>
  <c r="AC37" i="33"/>
  <c r="AA13" i="33"/>
  <c r="AC45" i="33"/>
  <c r="AC33" i="21"/>
  <c r="S39" i="33"/>
  <c r="F43" i="33"/>
  <c r="AA43" i="33" s="1"/>
  <c r="AA23" i="37"/>
  <c r="AB44" i="33"/>
  <c r="G107" i="37"/>
  <c r="H107" i="37" s="1"/>
  <c r="I107" i="37" s="1"/>
  <c r="J107" i="37" s="1"/>
  <c r="K107" i="37" s="1"/>
  <c r="L107" i="37" s="1"/>
  <c r="M107" i="37" s="1"/>
  <c r="AA9" i="21"/>
  <c r="F37" i="21"/>
  <c r="S37" i="21" s="1"/>
  <c r="J37" i="21"/>
  <c r="W37" i="21" s="1"/>
  <c r="H19" i="34"/>
  <c r="AB19" i="34"/>
  <c r="J10" i="37"/>
  <c r="AC10" i="37" s="1"/>
  <c r="F36" i="35"/>
  <c r="S36" i="35" s="1"/>
  <c r="J9" i="37"/>
  <c r="W9" i="37" s="1"/>
  <c r="H9" i="37"/>
  <c r="U9" i="37" s="1"/>
  <c r="F9" i="37"/>
  <c r="S9" i="37" s="1"/>
  <c r="F11" i="37"/>
  <c r="S11" i="37" s="1"/>
  <c r="J12" i="37"/>
  <c r="AC12" i="37" s="1"/>
  <c r="H12" i="37"/>
  <c r="F12" i="37"/>
  <c r="AA12" i="37" s="1"/>
  <c r="H15" i="37"/>
  <c r="U15" i="37" s="1"/>
  <c r="E94" i="37"/>
  <c r="F94" i="37" s="1"/>
  <c r="F31" i="37"/>
  <c r="S31" i="37" s="1"/>
  <c r="G94" i="37"/>
  <c r="H94" i="37" s="1"/>
  <c r="I94" i="37" s="1"/>
  <c r="J94" i="37" s="1"/>
  <c r="K94" i="37" s="1"/>
  <c r="L94" i="37" s="1"/>
  <c r="M94" i="37" s="1"/>
  <c r="H31" i="37"/>
  <c r="AB31" i="37"/>
  <c r="J15" i="37"/>
  <c r="W15" i="37"/>
  <c r="J11" i="37"/>
  <c r="W11" i="37" s="1"/>
  <c r="U31" i="37"/>
  <c r="E89" i="40"/>
  <c r="F21" i="40"/>
  <c r="S21" i="40" s="1"/>
  <c r="F89" i="40"/>
  <c r="G89"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AZ118" i="3" s="1"/>
  <c r="BL119" i="3"/>
  <c r="AZ119" i="3" s="1"/>
  <c r="G120" i="3"/>
  <c r="BA122" i="3"/>
  <c r="AZ122" i="3" s="1"/>
  <c r="BL123" i="3"/>
  <c r="AZ123" i="3" s="1"/>
  <c r="G124" i="3"/>
  <c r="BA126" i="3"/>
  <c r="AZ126" i="3" s="1"/>
  <c r="BL127" i="3"/>
  <c r="AZ127" i="3" s="1"/>
  <c r="G128" i="3"/>
  <c r="BA130" i="3"/>
  <c r="AZ130" i="3" s="1"/>
  <c r="BL131" i="3"/>
  <c r="G132" i="3"/>
  <c r="BA134" i="3"/>
  <c r="BL135" i="3"/>
  <c r="AZ135" i="3" s="1"/>
  <c r="G136" i="3"/>
  <c r="BA138" i="3"/>
  <c r="BL139" i="3"/>
  <c r="AZ139" i="3" s="1"/>
  <c r="G140" i="3"/>
  <c r="BA142" i="3"/>
  <c r="BL143" i="3"/>
  <c r="G144" i="3"/>
  <c r="BA146" i="3"/>
  <c r="AZ146" i="3" s="1"/>
  <c r="BL147" i="3"/>
  <c r="G148" i="3"/>
  <c r="BA150" i="3"/>
  <c r="AZ150" i="3" s="1"/>
  <c r="BL151" i="3"/>
  <c r="AZ151" i="3" s="1"/>
  <c r="BA153" i="3"/>
  <c r="AZ153" i="3" s="1"/>
  <c r="BL154" i="3"/>
  <c r="G155" i="3"/>
  <c r="BA157" i="3"/>
  <c r="AZ157" i="3" s="1"/>
  <c r="BL158" i="3"/>
  <c r="G159" i="3"/>
  <c r="BA161" i="3"/>
  <c r="BL162" i="3"/>
  <c r="AZ162" i="3" s="1"/>
  <c r="G163" i="3"/>
  <c r="BA165" i="3"/>
  <c r="BL166" i="3"/>
  <c r="G167" i="3"/>
  <c r="BA169" i="3"/>
  <c r="AZ169" i="3" s="1"/>
  <c r="BL170" i="3"/>
  <c r="G171" i="3"/>
  <c r="BA173" i="3"/>
  <c r="AZ173" i="3" s="1"/>
  <c r="BL174" i="3"/>
  <c r="AZ174" i="3" s="1"/>
  <c r="G175" i="3"/>
  <c r="BA178" i="3"/>
  <c r="AZ178" i="3" s="1"/>
  <c r="BL179" i="3"/>
  <c r="G180" i="3"/>
  <c r="AZ23" i="3"/>
  <c r="AZ27" i="3"/>
  <c r="AZ39" i="3"/>
  <c r="AZ43" i="3"/>
  <c r="AZ55" i="3"/>
  <c r="G537" i="3"/>
  <c r="BL181" i="3"/>
  <c r="G182" i="3"/>
  <c r="BA184" i="3"/>
  <c r="AZ184" i="3" s="1"/>
  <c r="BL185" i="3"/>
  <c r="G186" i="3"/>
  <c r="BA188" i="3"/>
  <c r="BL189" i="3"/>
  <c r="G190" i="3"/>
  <c r="BA192" i="3"/>
  <c r="AZ192" i="3" s="1"/>
  <c r="BL193" i="3"/>
  <c r="AZ193" i="3" s="1"/>
  <c r="G194" i="3"/>
  <c r="BA196" i="3"/>
  <c r="BL197" i="3"/>
  <c r="G198" i="3"/>
  <c r="BA200" i="3"/>
  <c r="AZ200" i="3" s="1"/>
  <c r="BL201" i="3"/>
  <c r="AZ201" i="3" s="1"/>
  <c r="AZ66" i="3"/>
  <c r="AZ74" i="3"/>
  <c r="AZ185" i="3"/>
  <c r="AZ84" i="3"/>
  <c r="AZ90" i="3"/>
  <c r="AZ94" i="3"/>
  <c r="AZ106" i="3"/>
  <c r="AZ110" i="3"/>
  <c r="G491" i="3"/>
  <c r="BA298" i="3"/>
  <c r="AZ298" i="3"/>
  <c r="BA299" i="3"/>
  <c r="AZ299" i="3"/>
  <c r="BL299" i="3"/>
  <c r="G300" i="3"/>
  <c r="G303" i="3"/>
  <c r="BL304" i="3"/>
  <c r="BA306" i="3"/>
  <c r="BA307" i="3"/>
  <c r="BL307" i="3"/>
  <c r="AZ307" i="3" s="1"/>
  <c r="G308" i="3"/>
  <c r="G319" i="3"/>
  <c r="BL320" i="3"/>
  <c r="BA322" i="3"/>
  <c r="AZ322" i="3" s="1"/>
  <c r="BA323" i="3"/>
  <c r="BL323" i="3"/>
  <c r="G324" i="3"/>
  <c r="G327" i="3"/>
  <c r="BL328" i="3"/>
  <c r="BA330" i="3"/>
  <c r="BA331" i="3"/>
  <c r="BL331" i="3"/>
  <c r="AZ331" i="3" s="1"/>
  <c r="G332" i="3"/>
  <c r="G335" i="3"/>
  <c r="BL336" i="3"/>
  <c r="BA338" i="3"/>
  <c r="AZ338" i="3" s="1"/>
  <c r="BA339" i="3"/>
  <c r="BL339" i="3"/>
  <c r="G340" i="3"/>
  <c r="G343" i="3"/>
  <c r="BL344" i="3"/>
  <c r="BA346" i="3"/>
  <c r="AZ346" i="3" s="1"/>
  <c r="BA347" i="3"/>
  <c r="BL347" i="3"/>
  <c r="G348" i="3"/>
  <c r="G351" i="3"/>
  <c r="BL352" i="3"/>
  <c r="BA354" i="3"/>
  <c r="BA355" i="3"/>
  <c r="BL355" i="3"/>
  <c r="G356" i="3"/>
  <c r="AZ143" i="3"/>
  <c r="BA358" i="3"/>
  <c r="BA359" i="3"/>
  <c r="BL359" i="3"/>
  <c r="G360" i="3"/>
  <c r="G361" i="3"/>
  <c r="BL362" i="3"/>
  <c r="BA364" i="3"/>
  <c r="BA365" i="3"/>
  <c r="AZ365" i="3" s="1"/>
  <c r="BL365" i="3"/>
  <c r="G366" i="3"/>
  <c r="G369" i="3"/>
  <c r="BL370" i="3"/>
  <c r="BA372" i="3"/>
  <c r="AZ372" i="3" s="1"/>
  <c r="BA373" i="3"/>
  <c r="BL373" i="3"/>
  <c r="G374" i="3"/>
  <c r="G377" i="3"/>
  <c r="BL378" i="3"/>
  <c r="BA380" i="3"/>
  <c r="AZ380" i="3" s="1"/>
  <c r="BA381" i="3"/>
  <c r="AZ381" i="3" s="1"/>
  <c r="BL381" i="3"/>
  <c r="G382" i="3"/>
  <c r="G385" i="3"/>
  <c r="AZ154" i="3"/>
  <c r="AZ166" i="3"/>
  <c r="AZ179" i="3"/>
  <c r="G523" i="3"/>
  <c r="BL297" i="3"/>
  <c r="G298" i="3"/>
  <c r="BA300" i="3"/>
  <c r="AZ300" i="3" s="1"/>
  <c r="BL301" i="3"/>
  <c r="G302" i="3"/>
  <c r="BA304" i="3"/>
  <c r="BL305" i="3"/>
  <c r="AZ305" i="3" s="1"/>
  <c r="G306" i="3"/>
  <c r="BA308" i="3"/>
  <c r="AZ308" i="3" s="1"/>
  <c r="BL309" i="3"/>
  <c r="G310" i="3"/>
  <c r="BA310" i="3"/>
  <c r="BL311" i="3"/>
  <c r="G312" i="3"/>
  <c r="BA312" i="3"/>
  <c r="BL313" i="3"/>
  <c r="G314" i="3"/>
  <c r="BA314" i="3"/>
  <c r="BL315" i="3"/>
  <c r="G316" i="3"/>
  <c r="BA316" i="3"/>
  <c r="AZ316" i="3" s="1"/>
  <c r="BL317" i="3"/>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AZ209" i="3"/>
  <c r="AZ213" i="3"/>
  <c r="AZ217" i="3"/>
  <c r="AZ221" i="3"/>
  <c r="AZ225" i="3"/>
  <c r="AZ229" i="3"/>
  <c r="AZ233" i="3"/>
  <c r="AZ237" i="3"/>
  <c r="AZ341" i="3"/>
  <c r="G368" i="3"/>
  <c r="BA370" i="3"/>
  <c r="BL371" i="3"/>
  <c r="G372" i="3"/>
  <c r="BA374" i="3"/>
  <c r="AZ374" i="3" s="1"/>
  <c r="BL375" i="3"/>
  <c r="G376" i="3"/>
  <c r="BA378" i="3"/>
  <c r="BL379" i="3"/>
  <c r="AZ379" i="3" s="1"/>
  <c r="G380" i="3"/>
  <c r="BA382" i="3"/>
  <c r="BL383" i="3"/>
  <c r="AZ383" i="3" s="1"/>
  <c r="G384" i="3"/>
  <c r="AZ311" i="3"/>
  <c r="AZ347" i="3"/>
  <c r="F37" i="46"/>
  <c r="AB16" i="35"/>
  <c r="AA43" i="21"/>
  <c r="U43" i="21"/>
  <c r="AA13" i="40"/>
  <c r="F77" i="40"/>
  <c r="G77" i="40" s="1"/>
  <c r="H77" i="40" s="1"/>
  <c r="I77" i="40" s="1"/>
  <c r="J77" i="40" s="1"/>
  <c r="K77" i="40" s="1"/>
  <c r="L77" i="40" s="1"/>
  <c r="M77" i="40" s="1"/>
  <c r="BH5" i="3"/>
  <c r="R16" i="4"/>
  <c r="D3" i="35"/>
  <c r="G4" i="4"/>
  <c r="S37" i="34"/>
  <c r="J16" i="35"/>
  <c r="W16" i="35" s="1"/>
  <c r="U42" i="21"/>
  <c r="AC26" i="36"/>
  <c r="W25" i="35"/>
  <c r="AZ354" i="3"/>
  <c r="H13" i="39"/>
  <c r="AB13" i="39" s="1"/>
  <c r="F13" i="39"/>
  <c r="J13" i="39"/>
  <c r="AC13" i="39" s="1"/>
  <c r="H11" i="37"/>
  <c r="AB11" i="37" s="1"/>
  <c r="W37" i="37"/>
  <c r="AA30" i="33"/>
  <c r="AA36" i="37"/>
  <c r="S42" i="33"/>
  <c r="U32" i="33"/>
  <c r="AB17" i="37"/>
  <c r="AZ488" i="3"/>
  <c r="AC29" i="33"/>
  <c r="AA45" i="33"/>
  <c r="AC11"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W9" i="21"/>
  <c r="J32" i="21"/>
  <c r="AC32" i="21" s="1"/>
  <c r="AC5" i="3"/>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F10" i="33"/>
  <c r="AA10" i="33" s="1"/>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AC45" i="21"/>
  <c r="S28" i="33"/>
  <c r="AA44" i="34"/>
  <c r="AB29" i="35"/>
  <c r="U29" i="35"/>
  <c r="AC19" i="33"/>
  <c r="W19" i="33"/>
  <c r="U43" i="34"/>
  <c r="AB43" i="34"/>
  <c r="AC34" i="37"/>
  <c r="S35" i="37"/>
  <c r="AA35" i="37"/>
  <c r="AA32" i="21"/>
  <c r="U38" i="21"/>
  <c r="BL571" i="3"/>
  <c r="BA571" i="3"/>
  <c r="AZ571" i="3" s="1"/>
  <c r="BL570" i="3"/>
  <c r="F42" i="21"/>
  <c r="AA42" i="21" s="1"/>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BL499" i="3"/>
  <c r="BA499" i="3"/>
  <c r="AZ499" i="3" s="1"/>
  <c r="BL498" i="3"/>
  <c r="AZ498" i="3" s="1"/>
  <c r="BL497" i="3"/>
  <c r="BA497" i="3"/>
  <c r="BL496" i="3"/>
  <c r="BA496" i="3"/>
  <c r="BA495" i="3"/>
  <c r="AZ495" i="3" s="1"/>
  <c r="BL494" i="3"/>
  <c r="BA494" i="3"/>
  <c r="AZ494" i="3" s="1"/>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s="1"/>
  <c r="F41" i="40"/>
  <c r="AA41" i="40" s="1"/>
  <c r="J41" i="40"/>
  <c r="W41" i="40" s="1"/>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F72" i="46"/>
  <c r="H74" i="46" s="1"/>
  <c r="AZ32" i="3"/>
  <c r="AZ48" i="3"/>
  <c r="AZ71" i="3"/>
  <c r="AZ79" i="3"/>
  <c r="AZ99" i="3"/>
  <c r="J13" i="40"/>
  <c r="W13" i="40" s="1"/>
  <c r="AC14" i="40"/>
  <c r="S33" i="40"/>
  <c r="S47" i="39"/>
  <c r="AC41" i="40"/>
  <c r="U41" i="40"/>
  <c r="J23" i="40"/>
  <c r="AC23" i="40" s="1"/>
  <c r="F23" i="40"/>
  <c r="S23" i="40" s="1"/>
  <c r="AC15" i="40"/>
  <c r="AB16" i="39"/>
  <c r="W14" i="39"/>
  <c r="U23" i="35"/>
  <c r="AB23" i="35"/>
  <c r="H20" i="35"/>
  <c r="U20" i="35" s="1"/>
  <c r="F20" i="35"/>
  <c r="S20" i="35" s="1"/>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U39" i="39"/>
  <c r="J29" i="39"/>
  <c r="AC29" i="39" s="1"/>
  <c r="AB21" i="39"/>
  <c r="U21" i="39"/>
  <c r="AB33" i="36"/>
  <c r="AA11" i="36"/>
  <c r="G99" i="37"/>
  <c r="F33" i="37"/>
  <c r="AB19" i="39"/>
  <c r="U46" i="34"/>
  <c r="AC30" i="34"/>
  <c r="AA14" i="34"/>
  <c r="W12" i="34"/>
  <c r="U29" i="33"/>
  <c r="AC13" i="33"/>
  <c r="U17" i="34"/>
  <c r="AA11" i="34"/>
  <c r="W32" i="33"/>
  <c r="H15" i="33"/>
  <c r="U15" i="33" s="1"/>
  <c r="AA11" i="33"/>
  <c r="AA40" i="21"/>
  <c r="U17" i="21"/>
  <c r="S13" i="39"/>
  <c r="AA13" i="39"/>
  <c r="U16" i="40"/>
  <c r="W34" i="40"/>
  <c r="AB34" i="40"/>
  <c r="U42"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A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W23" i="40"/>
  <c r="B11" i="1"/>
  <c r="E11" i="1" s="1"/>
  <c r="K11" i="1"/>
  <c r="M11" i="1" s="1"/>
  <c r="B9" i="1"/>
  <c r="E9" i="1" s="1"/>
  <c r="B7" i="1"/>
  <c r="E7" i="1" s="1"/>
  <c r="AP6" i="1"/>
  <c r="M20" i="44"/>
  <c r="AC25" i="36"/>
  <c r="S8" i="36"/>
  <c r="AA26" i="36"/>
  <c r="AA28" i="36"/>
  <c r="U25" i="36"/>
  <c r="H20" i="36"/>
  <c r="U20" i="36"/>
  <c r="F68" i="36"/>
  <c r="G68" i="36"/>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U35" i="21"/>
  <c r="W43" i="21"/>
  <c r="AA37" i="21"/>
  <c r="AB37" i="21"/>
  <c r="W28" i="21"/>
  <c r="AC46" i="21"/>
  <c r="AC26" i="21"/>
  <c r="F85" i="21"/>
  <c r="G85" i="21"/>
  <c r="J23" i="21"/>
  <c r="W23" i="21" s="1"/>
  <c r="F23" i="21"/>
  <c r="S23" i="21" s="1"/>
  <c r="H23" i="21"/>
  <c r="AB23" i="21" s="1"/>
  <c r="F15" i="21"/>
  <c r="S15" i="21" s="1"/>
  <c r="F77" i="21"/>
  <c r="G77" i="21" s="1"/>
  <c r="J15" i="21"/>
  <c r="W15" i="21" s="1"/>
  <c r="H15" i="21"/>
  <c r="AB15" i="21" s="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W13" i="39"/>
  <c r="S11" i="39"/>
  <c r="AB45" i="39"/>
  <c r="AA21" i="39"/>
  <c r="AC38" i="39"/>
  <c r="S29" i="39"/>
  <c r="S14" i="39"/>
  <c r="AB15" i="39"/>
  <c r="U11" i="39"/>
  <c r="AB38" i="39"/>
  <c r="U31" i="39"/>
  <c r="AB31" i="39"/>
  <c r="S38" i="39"/>
  <c r="S22" i="31"/>
  <c r="D18" i="9"/>
  <c r="M44" i="9" s="1"/>
  <c r="M43" i="9"/>
  <c r="D96" i="9"/>
  <c r="M18" i="15"/>
  <c r="A18" i="64"/>
  <c r="B74" i="63" s="1"/>
  <c r="C53" i="10"/>
  <c r="A25" i="64" s="1"/>
  <c r="A18" i="51"/>
  <c r="B14" i="63" s="1"/>
  <c r="BA16" i="3"/>
  <c r="BA17" i="3"/>
  <c r="AZ17" i="3" s="1"/>
  <c r="K1" i="12"/>
  <c r="I4" i="6"/>
  <c r="G3" i="46" s="1"/>
  <c r="Z7" i="46" s="1"/>
  <c r="AZ15" i="3"/>
  <c r="BK5" i="3"/>
  <c r="BO5" i="3"/>
  <c r="BP5" i="3"/>
  <c r="BN5" i="3"/>
  <c r="BL18" i="3"/>
  <c r="AZ18" i="3" s="1"/>
  <c r="BC5" i="3"/>
  <c r="BD5" i="3"/>
  <c r="BR5" i="3"/>
  <c r="BS5" i="3"/>
  <c r="BQ5" i="3"/>
  <c r="BL16" i="3"/>
  <c r="BM5" i="3"/>
  <c r="G28" i="12"/>
  <c r="D24" i="44"/>
  <c r="D26" i="44"/>
  <c r="F50" i="46"/>
  <c r="H52" i="46" s="1"/>
  <c r="M5" i="46"/>
  <c r="C6" i="46" s="1"/>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S34" i="39"/>
  <c r="W42" i="39"/>
  <c r="W36" i="39"/>
  <c r="AC37" i="39"/>
  <c r="U14" i="39"/>
  <c r="W16" i="39"/>
  <c r="S15" i="39"/>
  <c r="W45" i="39"/>
  <c r="AA44" i="39"/>
  <c r="AA46" i="39"/>
  <c r="W34" i="39"/>
  <c r="W10" i="39"/>
  <c r="W11"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C4" i="4"/>
  <c r="B20" i="55" s="1"/>
  <c r="B70" i="63" s="1"/>
  <c r="G66" i="36"/>
  <c r="J18" i="36"/>
  <c r="W18" i="36" s="1"/>
  <c r="L20" i="6"/>
  <c r="B21" i="55"/>
  <c r="B72" i="63" s="1"/>
  <c r="C45" i="9"/>
  <c r="B7" i="66" s="1"/>
  <c r="N76" i="9"/>
  <c r="C46" i="9"/>
  <c r="K33" i="9" s="1"/>
  <c r="O41" i="9"/>
  <c r="B8" i="66"/>
  <c r="R8" i="54"/>
  <c r="B54" i="63" s="1"/>
  <c r="H61" i="46"/>
  <c r="J21" i="46"/>
  <c r="F38" i="46"/>
  <c r="F41" i="46"/>
  <c r="F40" i="46"/>
  <c r="H117"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c r="C20" i="59" s="1"/>
  <c r="C19" i="59" s="1"/>
  <c r="C18" i="59" s="1"/>
  <c r="B22" i="59"/>
  <c r="B21" i="59" s="1"/>
  <c r="D22" i="59"/>
  <c r="C24" i="46"/>
  <c r="F9" i="15"/>
  <c r="E13" i="67"/>
  <c r="I5" i="65"/>
  <c r="F38" i="15"/>
  <c r="M6" i="15"/>
  <c r="F9" i="67"/>
  <c r="L47" i="15"/>
  <c r="F8" i="67"/>
  <c r="M22" i="15"/>
  <c r="N5" i="65"/>
  <c r="M28" i="15"/>
  <c r="F13" i="67"/>
  <c r="M26" i="15"/>
  <c r="M8" i="15"/>
  <c r="I7" i="65"/>
  <c r="F10" i="67"/>
  <c r="N4" i="65"/>
  <c r="F37" i="15"/>
  <c r="F14" i="67"/>
  <c r="M23" i="15"/>
  <c r="I3" i="65"/>
  <c r="J5" i="65"/>
  <c r="B14" i="67"/>
  <c r="B13" i="67"/>
  <c r="F12" i="67"/>
  <c r="B11" i="67"/>
  <c r="J3" i="65"/>
  <c r="J4" i="65"/>
  <c r="E11" i="67"/>
  <c r="M9" i="15"/>
  <c r="F40" i="15"/>
  <c r="F8" i="15"/>
  <c r="E10" i="67"/>
  <c r="B10" i="67"/>
  <c r="N7" i="65"/>
  <c r="F16" i="15"/>
  <c r="N3" i="65"/>
  <c r="J6" i="65"/>
  <c r="J15" i="15"/>
  <c r="J36" i="15"/>
  <c r="F11" i="67"/>
  <c r="L48" i="15"/>
  <c r="B12" i="67"/>
  <c r="E9" i="67"/>
  <c r="F13" i="15"/>
  <c r="F42" i="15"/>
  <c r="E8" i="67"/>
  <c r="E14" i="67"/>
  <c r="F36" i="15"/>
  <c r="F26" i="15"/>
  <c r="B9" i="67"/>
  <c r="N6" i="65"/>
  <c r="I4" i="65"/>
  <c r="F6" i="15"/>
  <c r="I6" i="65"/>
  <c r="E12" i="67"/>
  <c r="J7" i="65"/>
  <c r="M24" i="15"/>
  <c r="B8" i="67"/>
  <c r="D20" i="59" l="1"/>
  <c r="AC16" i="40"/>
  <c r="AB37" i="34"/>
  <c r="AB14" i="40"/>
  <c r="F72" i="9"/>
  <c r="F32" i="73"/>
  <c r="F59" i="73" s="1"/>
  <c r="F28" i="73"/>
  <c r="C28" i="73" s="1"/>
  <c r="M18" i="73"/>
  <c r="AZ486" i="3"/>
  <c r="AZ489" i="3"/>
  <c r="AZ507" i="3"/>
  <c r="AZ513" i="3"/>
  <c r="AZ529" i="3"/>
  <c r="AZ539" i="3"/>
  <c r="AA36" i="35"/>
  <c r="AB15" i="37"/>
  <c r="AZ378" i="3"/>
  <c r="AZ370" i="3"/>
  <c r="AZ373" i="3"/>
  <c r="AZ355" i="3"/>
  <c r="AZ339" i="3"/>
  <c r="AZ377" i="3"/>
  <c r="AZ363" i="3"/>
  <c r="AZ361" i="3"/>
  <c r="AZ343" i="3"/>
  <c r="AZ327" i="3"/>
  <c r="AZ303" i="3"/>
  <c r="AC41" i="34"/>
  <c r="AZ492" i="3"/>
  <c r="AZ544" i="3"/>
  <c r="AZ557" i="3"/>
  <c r="AZ569" i="3"/>
  <c r="AC28" i="33"/>
  <c r="S38" i="37"/>
  <c r="AA38" i="37"/>
  <c r="AB30" i="33"/>
  <c r="U30" i="33"/>
  <c r="U31" i="33"/>
  <c r="AB31" i="33"/>
  <c r="AC14" i="21"/>
  <c r="W14" i="21"/>
  <c r="AA39" i="37"/>
  <c r="J9" i="33"/>
  <c r="F9" i="33"/>
  <c r="H27" i="33"/>
  <c r="J27" i="33"/>
  <c r="AC24" i="35"/>
  <c r="W24" i="35"/>
  <c r="K34" i="9"/>
  <c r="O40" i="9"/>
  <c r="K31" i="9" s="1"/>
  <c r="K32" i="9" s="1"/>
  <c r="AC18" i="36"/>
  <c r="AZ500" i="3"/>
  <c r="AZ510" i="3"/>
  <c r="AZ538" i="3"/>
  <c r="U31" i="21"/>
  <c r="AB31" i="21"/>
  <c r="AB46" i="21"/>
  <c r="U46" i="21"/>
  <c r="BL572" i="3"/>
  <c r="F12" i="21"/>
  <c r="J12" i="21"/>
  <c r="F14" i="21"/>
  <c r="H14" i="21"/>
  <c r="H28" i="21"/>
  <c r="F28" i="21"/>
  <c r="H30" i="21"/>
  <c r="J30" i="21"/>
  <c r="E81" i="21"/>
  <c r="H19" i="21"/>
  <c r="AB19" i="21" s="1"/>
  <c r="H9" i="33"/>
  <c r="J26" i="33"/>
  <c r="F26" i="33"/>
  <c r="F9" i="1"/>
  <c r="AP9" i="1" s="1"/>
  <c r="A11" i="55"/>
  <c r="B62" i="63" s="1"/>
  <c r="AB40" i="34"/>
  <c r="W8" i="34"/>
  <c r="AB8" i="36"/>
  <c r="AC27" i="35"/>
  <c r="W22" i="36"/>
  <c r="G571" i="3"/>
  <c r="F34" i="35"/>
  <c r="F25" i="37"/>
  <c r="G567" i="3"/>
  <c r="G563" i="3"/>
  <c r="G552" i="3"/>
  <c r="G540" i="3"/>
  <c r="G531" i="3"/>
  <c r="G525" i="3"/>
  <c r="G516" i="3"/>
  <c r="G504" i="3"/>
  <c r="G496" i="3"/>
  <c r="G487" i="3"/>
  <c r="G19" i="3"/>
  <c r="F34" i="15"/>
  <c r="F61" i="15" s="1"/>
  <c r="F34" i="73"/>
  <c r="M20" i="73"/>
  <c r="BL335" i="3"/>
  <c r="G341" i="3"/>
  <c r="BL342" i="3"/>
  <c r="AZ342" i="3" s="1"/>
  <c r="BL348" i="3"/>
  <c r="AZ348" i="3" s="1"/>
  <c r="BA349" i="3"/>
  <c r="BL351" i="3"/>
  <c r="G363" i="3"/>
  <c r="BL364" i="3"/>
  <c r="BA367" i="3"/>
  <c r="AZ367" i="3" s="1"/>
  <c r="BA369" i="3"/>
  <c r="BL369" i="3"/>
  <c r="BA375" i="3"/>
  <c r="G383" i="3"/>
  <c r="BL384" i="3"/>
  <c r="G387" i="3"/>
  <c r="G205" i="3"/>
  <c r="G207" i="3"/>
  <c r="G209" i="3"/>
  <c r="G211" i="3"/>
  <c r="G213" i="3"/>
  <c r="G215" i="3"/>
  <c r="G217" i="3"/>
  <c r="G219" i="3"/>
  <c r="G221" i="3"/>
  <c r="G223" i="3"/>
  <c r="G225" i="3"/>
  <c r="G227" i="3"/>
  <c r="G229" i="3"/>
  <c r="G231" i="3"/>
  <c r="G233" i="3"/>
  <c r="G235" i="3"/>
  <c r="G237"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06" i="3"/>
  <c r="AZ306" i="3" s="1"/>
  <c r="G311" i="3"/>
  <c r="BL312" i="3"/>
  <c r="AZ312" i="3" s="1"/>
  <c r="BA313" i="3"/>
  <c r="BA315" i="3"/>
  <c r="AZ315" i="3" s="1"/>
  <c r="BA318" i="3"/>
  <c r="AZ318" i="3" s="1"/>
  <c r="BL318" i="3"/>
  <c r="BA321" i="3"/>
  <c r="AZ321" i="3" s="1"/>
  <c r="BA325" i="3"/>
  <c r="AZ325" i="3" s="1"/>
  <c r="BL330" i="3"/>
  <c r="AZ330" i="3" s="1"/>
  <c r="BL239" i="3"/>
  <c r="BA241" i="3"/>
  <c r="AZ241" i="3" s="1"/>
  <c r="BL241" i="3"/>
  <c r="BA242" i="3"/>
  <c r="AZ242" i="3" s="1"/>
  <c r="BL242" i="3"/>
  <c r="BA244" i="3"/>
  <c r="AZ244" i="3" s="1"/>
  <c r="BL244" i="3"/>
  <c r="BL246" i="3"/>
  <c r="BA247" i="3"/>
  <c r="AZ247" i="3" s="1"/>
  <c r="BA248" i="3"/>
  <c r="AZ248" i="3" s="1"/>
  <c r="BL248" i="3"/>
  <c r="BL250" i="3"/>
  <c r="BA252" i="3"/>
  <c r="BL252" i="3"/>
  <c r="BL254" i="3"/>
  <c r="BA255" i="3"/>
  <c r="AZ255" i="3" s="1"/>
  <c r="BA256" i="3"/>
  <c r="BL256" i="3"/>
  <c r="BA258" i="3"/>
  <c r="AZ258" i="3" s="1"/>
  <c r="BA259" i="3"/>
  <c r="BL259" i="3"/>
  <c r="BA261" i="3"/>
  <c r="AZ261" i="3" s="1"/>
  <c r="BL261" i="3"/>
  <c r="BA262" i="3"/>
  <c r="AZ262" i="3" s="1"/>
  <c r="BL263" i="3"/>
  <c r="BA265" i="3"/>
  <c r="AZ265" i="3" s="1"/>
  <c r="BL265" i="3"/>
  <c r="BA266" i="3"/>
  <c r="AZ266" i="3" s="1"/>
  <c r="BA267" i="3"/>
  <c r="BL267" i="3"/>
  <c r="BL269" i="3"/>
  <c r="BA270" i="3"/>
  <c r="AZ270" i="3" s="1"/>
  <c r="BA271" i="3"/>
  <c r="BL271" i="3"/>
  <c r="BA272" i="3"/>
  <c r="AZ272" i="3" s="1"/>
  <c r="BL273" i="3"/>
  <c r="BA274" i="3"/>
  <c r="AZ274" i="3" s="1"/>
  <c r="BA275" i="3"/>
  <c r="AZ275" i="3" s="1"/>
  <c r="BL275" i="3"/>
  <c r="BL277" i="3"/>
  <c r="BA278" i="3"/>
  <c r="AZ278" i="3" s="1"/>
  <c r="BA279" i="3"/>
  <c r="AZ279" i="3" s="1"/>
  <c r="BL279" i="3"/>
  <c r="BA280" i="3"/>
  <c r="AZ280" i="3" s="1"/>
  <c r="BL281" i="3"/>
  <c r="BA282" i="3"/>
  <c r="AZ282" i="3" s="1"/>
  <c r="BA283" i="3"/>
  <c r="BL283" i="3"/>
  <c r="BL285" i="3"/>
  <c r="BA286" i="3"/>
  <c r="AZ286" i="3" s="1"/>
  <c r="BA287" i="3"/>
  <c r="BL287" i="3"/>
  <c r="BA288" i="3"/>
  <c r="AZ288" i="3" s="1"/>
  <c r="BL289" i="3"/>
  <c r="BA290" i="3"/>
  <c r="AZ290" i="3" s="1"/>
  <c r="BA291" i="3"/>
  <c r="AZ291" i="3" s="1"/>
  <c r="BL291" i="3"/>
  <c r="BL293" i="3"/>
  <c r="BA295" i="3"/>
  <c r="BL295" i="3"/>
  <c r="BA296" i="3"/>
  <c r="AZ296" i="3" s="1"/>
  <c r="BA113" i="3"/>
  <c r="AZ113" i="3" s="1"/>
  <c r="BL113" i="3"/>
  <c r="G117" i="3"/>
  <c r="G121" i="3"/>
  <c r="G125" i="3"/>
  <c r="G129" i="3"/>
  <c r="G131" i="3"/>
  <c r="BL133" i="3"/>
  <c r="BL134" i="3"/>
  <c r="AZ134" i="3" s="1"/>
  <c r="BA136" i="3"/>
  <c r="AZ136" i="3" s="1"/>
  <c r="BL137" i="3"/>
  <c r="BL138" i="3"/>
  <c r="AZ138" i="3" s="1"/>
  <c r="BL141" i="3"/>
  <c r="BL142" i="3"/>
  <c r="AZ142" i="3" s="1"/>
  <c r="BA144" i="3"/>
  <c r="AZ144" i="3" s="1"/>
  <c r="BA145" i="3"/>
  <c r="BL145" i="3"/>
  <c r="G149" i="3"/>
  <c r="G152" i="3"/>
  <c r="G156" i="3"/>
  <c r="G158" i="3"/>
  <c r="BL160" i="3"/>
  <c r="BL161" i="3"/>
  <c r="AZ161" i="3" s="1"/>
  <c r="BA163" i="3"/>
  <c r="AZ163" i="3" s="1"/>
  <c r="BL164" i="3"/>
  <c r="BL165" i="3"/>
  <c r="AZ165" i="3" s="1"/>
  <c r="P68" i="59"/>
  <c r="E67" i="59"/>
  <c r="D59" i="59"/>
  <c r="C60" i="59"/>
  <c r="BA167" i="3"/>
  <c r="AZ167" i="3" s="1"/>
  <c r="BA168" i="3"/>
  <c r="BL168" i="3"/>
  <c r="G172" i="3"/>
  <c r="G176" i="3"/>
  <c r="G178" i="3"/>
  <c r="BL180" i="3"/>
  <c r="BA181" i="3"/>
  <c r="AZ181" i="3" s="1"/>
  <c r="G184" i="3"/>
  <c r="BA186" i="3"/>
  <c r="BL186" i="3"/>
  <c r="BL188" i="3"/>
  <c r="AZ188" i="3" s="1"/>
  <c r="BA189" i="3"/>
  <c r="AZ189" i="3" s="1"/>
  <c r="G192" i="3"/>
  <c r="BA194" i="3"/>
  <c r="BL194" i="3"/>
  <c r="BL196" i="3"/>
  <c r="AZ196" i="3" s="1"/>
  <c r="BA197" i="3"/>
  <c r="AZ197" i="3" s="1"/>
  <c r="G200" i="3"/>
  <c r="G203" i="3"/>
  <c r="G21" i="3"/>
  <c r="G23" i="3"/>
  <c r="G25" i="3"/>
  <c r="G27" i="3"/>
  <c r="G29" i="3"/>
  <c r="G31" i="3"/>
  <c r="G33" i="3"/>
  <c r="G35" i="3"/>
  <c r="G37" i="3"/>
  <c r="G39" i="3"/>
  <c r="G41" i="3"/>
  <c r="G43" i="3"/>
  <c r="G45" i="3"/>
  <c r="G47" i="3"/>
  <c r="G49" i="3"/>
  <c r="G51" i="3"/>
  <c r="G53" i="3"/>
  <c r="G55" i="3"/>
  <c r="G57" i="3"/>
  <c r="G58" i="3"/>
  <c r="G60" i="3"/>
  <c r="G61" i="3"/>
  <c r="G63" i="3"/>
  <c r="G65" i="3"/>
  <c r="G67" i="3"/>
  <c r="G69" i="3"/>
  <c r="G71" i="3"/>
  <c r="G74" i="3"/>
  <c r="G76" i="3"/>
  <c r="G78" i="3"/>
  <c r="G80" i="3"/>
  <c r="G82" i="3"/>
  <c r="G84" i="3"/>
  <c r="G86" i="3"/>
  <c r="G88" i="3"/>
  <c r="G90" i="3"/>
  <c r="G92" i="3"/>
  <c r="G94" i="3"/>
  <c r="G96" i="3"/>
  <c r="G98" i="3"/>
  <c r="G100" i="3"/>
  <c r="G102" i="3"/>
  <c r="G104" i="3"/>
  <c r="G106" i="3"/>
  <c r="G108" i="3"/>
  <c r="G110" i="3"/>
  <c r="G112" i="3"/>
  <c r="B57" i="46"/>
  <c r="C27" i="40"/>
  <c r="S21" i="34"/>
  <c r="B68" i="46"/>
  <c r="Y31" i="59"/>
  <c r="Z31" i="59" s="1"/>
  <c r="AB31" i="59"/>
  <c r="Y32" i="59"/>
  <c r="Z32" i="59" s="1"/>
  <c r="AB32" i="59"/>
  <c r="Y33" i="59"/>
  <c r="Z33" i="59" s="1"/>
  <c r="AB33" i="59"/>
  <c r="X34" i="59"/>
  <c r="X35" i="59"/>
  <c r="AA35" i="59"/>
  <c r="X36" i="59"/>
  <c r="AA36" i="59"/>
  <c r="X37" i="59"/>
  <c r="AA37" i="59"/>
  <c r="AB38" i="59"/>
  <c r="Y39" i="59"/>
  <c r="Z39" i="59" s="1"/>
  <c r="AB39" i="59"/>
  <c r="F68" i="59"/>
  <c r="AA29" i="35"/>
  <c r="W20" i="35"/>
  <c r="AB20" i="35"/>
  <c r="AA20" i="35"/>
  <c r="S16" i="35"/>
  <c r="W14" i="35"/>
  <c r="AA14" i="35"/>
  <c r="AB14" i="35"/>
  <c r="J26" i="35"/>
  <c r="H26" i="35"/>
  <c r="F26" i="35"/>
  <c r="AA36" i="21"/>
  <c r="AB36" i="21"/>
  <c r="AB34" i="21"/>
  <c r="S34" i="21"/>
  <c r="S42" i="21"/>
  <c r="W42" i="21"/>
  <c r="U39" i="21"/>
  <c r="W32" i="21"/>
  <c r="AB32" i="21"/>
  <c r="AC23" i="21"/>
  <c r="U23" i="21"/>
  <c r="U19" i="21"/>
  <c r="U15" i="21"/>
  <c r="AA15" i="21"/>
  <c r="AA23" i="21"/>
  <c r="S21" i="21"/>
  <c r="W17" i="21"/>
  <c r="AA17" i="21"/>
  <c r="AC15" i="21"/>
  <c r="W8" i="21"/>
  <c r="S8" i="21"/>
  <c r="P75" i="15"/>
  <c r="U41" i="39"/>
  <c r="S41" i="39"/>
  <c r="AB43" i="39"/>
  <c r="U27" i="39"/>
  <c r="S27" i="39"/>
  <c r="W25" i="39"/>
  <c r="AB25" i="39"/>
  <c r="S25" i="39"/>
  <c r="W23" i="39"/>
  <c r="W29" i="39"/>
  <c r="AB29" i="39"/>
  <c r="W27" i="39"/>
  <c r="U23" i="39"/>
  <c r="AC21" i="39"/>
  <c r="AC19" i="39"/>
  <c r="AC17" i="39"/>
  <c r="S17" i="39"/>
  <c r="AB17" i="39"/>
  <c r="AC44" i="39"/>
  <c r="U42" i="39"/>
  <c r="W43" i="39"/>
  <c r="W41" i="39"/>
  <c r="K9" i="1"/>
  <c r="M9" i="1" s="1"/>
  <c r="K7" i="1"/>
  <c r="F3" i="35"/>
  <c r="G1" i="44"/>
  <c r="K1" i="43"/>
  <c r="F29" i="6"/>
  <c r="F30" i="6" s="1"/>
  <c r="F20" i="59"/>
  <c r="F19" i="59" s="1"/>
  <c r="F18" i="59" s="1"/>
  <c r="F17" i="59" s="1"/>
  <c r="V21" i="59"/>
  <c r="B20" i="59"/>
  <c r="B19" i="59" s="1"/>
  <c r="B18" i="59" s="1"/>
  <c r="S21" i="59"/>
  <c r="AB12" i="37"/>
  <c r="U12" i="37"/>
  <c r="AA12" i="21"/>
  <c r="S12" i="21"/>
  <c r="AA28" i="34"/>
  <c r="S28" i="34"/>
  <c r="S31" i="33"/>
  <c r="AA31" i="33"/>
  <c r="U45" i="33"/>
  <c r="AB45" i="33"/>
  <c r="W23" i="35"/>
  <c r="AC23" i="35"/>
  <c r="C17" i="59"/>
  <c r="D18" i="59"/>
  <c r="D19" i="59"/>
  <c r="D21" i="59"/>
  <c r="T21" i="59"/>
  <c r="G29" i="6"/>
  <c r="S17" i="34"/>
  <c r="S23" i="39"/>
  <c r="W40" i="40"/>
  <c r="AZ496" i="3"/>
  <c r="AZ504" i="3"/>
  <c r="AZ506" i="3"/>
  <c r="AZ523" i="3"/>
  <c r="AZ537" i="3"/>
  <c r="AZ548" i="3"/>
  <c r="AZ567" i="3"/>
  <c r="AZ362" i="3"/>
  <c r="AZ352" i="3"/>
  <c r="AZ344" i="3"/>
  <c r="AZ304" i="3"/>
  <c r="AZ359" i="3"/>
  <c r="AZ358" i="3"/>
  <c r="AZ323" i="3"/>
  <c r="U27" i="33"/>
  <c r="AB27" i="33"/>
  <c r="AC23" i="37"/>
  <c r="AZ514" i="3"/>
  <c r="AZ524" i="3"/>
  <c r="AZ532" i="3"/>
  <c r="AZ546" i="3"/>
  <c r="AZ543" i="3"/>
  <c r="AZ502" i="3"/>
  <c r="AZ550" i="3"/>
  <c r="AZ556" i="3"/>
  <c r="S45" i="21"/>
  <c r="AA27" i="33"/>
  <c r="W31" i="34"/>
  <c r="AB13" i="21"/>
  <c r="AB40" i="37"/>
  <c r="W46" i="33"/>
  <c r="W35" i="35"/>
  <c r="H5" i="3"/>
  <c r="BA572" i="3"/>
  <c r="AZ572" i="3" s="1"/>
  <c r="BA570" i="3"/>
  <c r="AZ570" i="3" s="1"/>
  <c r="BE5" i="3"/>
  <c r="B79" i="46"/>
  <c r="B101" i="46"/>
  <c r="J12" i="36"/>
  <c r="H12" i="36"/>
  <c r="J23" i="36"/>
  <c r="H23" i="36"/>
  <c r="F23" i="36"/>
  <c r="AZ526" i="3"/>
  <c r="AZ534" i="3"/>
  <c r="AZ542" i="3"/>
  <c r="E5" i="6"/>
  <c r="D12" i="11" s="1"/>
  <c r="C12" i="11" s="1"/>
  <c r="BF5" i="3"/>
  <c r="B76" i="46"/>
  <c r="B94" i="46"/>
  <c r="B84" i="4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A30" i="51"/>
  <c r="B22" i="63" s="1"/>
  <c r="A30" i="64"/>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BL260" i="3"/>
  <c r="AZ260" i="3" s="1"/>
  <c r="BA263" i="3"/>
  <c r="AZ263" i="3" s="1"/>
  <c r="BL264" i="3"/>
  <c r="AZ264" i="3" s="1"/>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A158" i="3"/>
  <c r="AZ158" i="3" s="1"/>
  <c r="BL159" i="3"/>
  <c r="AZ159" i="3" s="1"/>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AZ204" i="3" s="1"/>
  <c r="BA21" i="3"/>
  <c r="AZ21" i="3" s="1"/>
  <c r="BL22" i="3"/>
  <c r="BL24" i="3"/>
  <c r="AZ24" i="3" s="1"/>
  <c r="BA25" i="3"/>
  <c r="AZ25" i="3" s="1"/>
  <c r="BL26" i="3"/>
  <c r="BA31" i="3"/>
  <c r="AZ31" i="3" s="1"/>
  <c r="BA35" i="3"/>
  <c r="AZ35" i="3" s="1"/>
  <c r="BL36" i="3"/>
  <c r="BA37" i="3"/>
  <c r="AZ37" i="3" s="1"/>
  <c r="BL38" i="3"/>
  <c r="AZ38" i="3" s="1"/>
  <c r="BL40" i="3"/>
  <c r="AZ40" i="3" s="1"/>
  <c r="BA41" i="3"/>
  <c r="AZ41" i="3" s="1"/>
  <c r="BL42" i="3"/>
  <c r="BA47" i="3"/>
  <c r="AZ47" i="3" s="1"/>
  <c r="BA51" i="3"/>
  <c r="AZ51" i="3" s="1"/>
  <c r="BL52" i="3"/>
  <c r="AZ52" i="3" s="1"/>
  <c r="BA53" i="3"/>
  <c r="AZ53" i="3" s="1"/>
  <c r="BL54" i="3"/>
  <c r="BL56" i="3"/>
  <c r="AZ56" i="3" s="1"/>
  <c r="BL59" i="3"/>
  <c r="AZ59" i="3" s="1"/>
  <c r="BA63" i="3"/>
  <c r="AZ63" i="3" s="1"/>
  <c r="BL64" i="3"/>
  <c r="BA65" i="3"/>
  <c r="AZ65" i="3" s="1"/>
  <c r="BL70" i="3"/>
  <c r="AZ70" i="3" s="1"/>
  <c r="BA72" i="3"/>
  <c r="AZ72" i="3" s="1"/>
  <c r="BL73" i="3"/>
  <c r="AZ73" i="3" s="1"/>
  <c r="BA78" i="3"/>
  <c r="AZ78" i="3" s="1"/>
  <c r="BA82" i="3"/>
  <c r="AZ82" i="3" s="1"/>
  <c r="BL83" i="3"/>
  <c r="BA86" i="3"/>
  <c r="AZ86" i="3" s="1"/>
  <c r="BL87" i="3"/>
  <c r="BA88" i="3"/>
  <c r="AZ88" i="3" s="1"/>
  <c r="BL89" i="3"/>
  <c r="BL91" i="3"/>
  <c r="AZ91" i="3" s="1"/>
  <c r="BA92" i="3"/>
  <c r="AZ92" i="3" s="1"/>
  <c r="BL93" i="3"/>
  <c r="AZ93" i="3" s="1"/>
  <c r="BA98" i="3"/>
  <c r="AZ98" i="3" s="1"/>
  <c r="BA102" i="3"/>
  <c r="AZ102" i="3" s="1"/>
  <c r="BL103" i="3"/>
  <c r="BA104" i="3"/>
  <c r="AZ104" i="3" s="1"/>
  <c r="BL105" i="3"/>
  <c r="BL107" i="3"/>
  <c r="AZ107" i="3" s="1"/>
  <c r="BA108" i="3"/>
  <c r="AZ108" i="3" s="1"/>
  <c r="BL109" i="3"/>
  <c r="BA112" i="3"/>
  <c r="AZ112" i="3" s="1"/>
  <c r="D43" i="59"/>
  <c r="C44" i="59"/>
  <c r="C56" i="59"/>
  <c r="D55" i="59"/>
  <c r="C64" i="59"/>
  <c r="D63" i="59"/>
  <c r="BL243" i="3"/>
  <c r="BL245" i="3"/>
  <c r="AZ245" i="3" s="1"/>
  <c r="BA246" i="3"/>
  <c r="AZ246" i="3" s="1"/>
  <c r="BL249" i="3"/>
  <c r="AZ249" i="3" s="1"/>
  <c r="BA250" i="3"/>
  <c r="AZ250" i="3" s="1"/>
  <c r="BL251" i="3"/>
  <c r="BL253" i="3"/>
  <c r="AZ253" i="3" s="1"/>
  <c r="BA254" i="3"/>
  <c r="AZ254" i="3" s="1"/>
  <c r="BL257" i="3"/>
  <c r="AZ257" i="3" s="1"/>
  <c r="AZ294" i="3"/>
  <c r="AZ148" i="3"/>
  <c r="AZ171" i="3"/>
  <c r="AZ22" i="3"/>
  <c r="AZ26" i="3"/>
  <c r="AZ36" i="3"/>
  <c r="AZ42" i="3"/>
  <c r="AZ64" i="3"/>
  <c r="AZ83" i="3"/>
  <c r="AZ87" i="3"/>
  <c r="AZ89" i="3"/>
  <c r="AZ103" i="3"/>
  <c r="AZ105" i="3"/>
  <c r="AZ109" i="3"/>
  <c r="D53" i="59"/>
  <c r="T53" i="59"/>
  <c r="D32" i="59"/>
  <c r="C33" i="59"/>
  <c r="D40" i="59"/>
  <c r="C41" i="59"/>
  <c r="P16" i="4"/>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6" i="59"/>
  <c r="Z6" i="59" s="1"/>
  <c r="Y7" i="59"/>
  <c r="Z7" i="59" s="1"/>
  <c r="Y5" i="59"/>
  <c r="Z5" i="59" s="1"/>
  <c r="Y8" i="59"/>
  <c r="Z8" i="59" s="1"/>
  <c r="Y10" i="59"/>
  <c r="Z10" i="59" s="1"/>
  <c r="Y11" i="59"/>
  <c r="Z11" i="59" s="1"/>
  <c r="X24" i="59"/>
  <c r="U29" i="59"/>
  <c r="E28" i="59"/>
  <c r="E27" i="59" s="1"/>
  <c r="Y25" i="59"/>
  <c r="Z25" i="59" s="1"/>
  <c r="AB25" i="59"/>
  <c r="X19" i="59"/>
  <c r="X18" i="59"/>
  <c r="Y18" i="59"/>
  <c r="Z18" i="59" s="1"/>
  <c r="AB19" i="59"/>
  <c r="X15" i="59"/>
  <c r="X5" i="59"/>
  <c r="X7" i="59"/>
  <c r="X6" i="59"/>
  <c r="X8" i="59"/>
  <c r="X10" i="59"/>
  <c r="X11" i="59"/>
  <c r="AA5" i="59"/>
  <c r="AA6" i="59"/>
  <c r="AA8" i="59"/>
  <c r="AA7" i="59"/>
  <c r="AA10" i="59"/>
  <c r="AB6" i="59"/>
  <c r="AB5" i="59"/>
  <c r="AB7" i="59"/>
  <c r="AB8" i="59"/>
  <c r="AB10" i="59"/>
  <c r="AB11" i="59"/>
  <c r="D29" i="59"/>
  <c r="T29" i="59"/>
  <c r="C28" i="59"/>
  <c r="V29" i="59"/>
  <c r="F28" i="59"/>
  <c r="F27" i="59" s="1"/>
  <c r="X22" i="59"/>
  <c r="AA24" i="59"/>
  <c r="Y24" i="59"/>
  <c r="Z24" i="59" s="1"/>
  <c r="AB24" i="59"/>
  <c r="AA19" i="59"/>
  <c r="AA18" i="59"/>
  <c r="AB18" i="59"/>
  <c r="Y15" i="59"/>
  <c r="Z15" i="59" s="1"/>
  <c r="AB15" i="59"/>
  <c r="D25" i="59"/>
  <c r="K76" i="9"/>
  <c r="AA22" i="59"/>
  <c r="Y19" i="59"/>
  <c r="Z19" i="59" s="1"/>
  <c r="AA16" i="59"/>
  <c r="X17" i="59"/>
  <c r="AB13" i="59"/>
  <c r="AA14" i="59"/>
  <c r="AA12" i="59"/>
  <c r="X12" i="59"/>
  <c r="X14" i="59"/>
  <c r="Y12" i="59"/>
  <c r="Z12" i="59" s="1"/>
  <c r="Y14" i="59"/>
  <c r="Z14" i="59" s="1"/>
  <c r="B29" i="59"/>
  <c r="X25" i="59"/>
  <c r="AB16" i="59"/>
  <c r="AB12" i="59"/>
  <c r="AB14" i="59"/>
  <c r="AA13" i="59"/>
  <c r="AA11" i="59"/>
  <c r="AA15" i="59"/>
  <c r="X13" i="59"/>
  <c r="Y13" i="59"/>
  <c r="Z13" i="59" s="1"/>
  <c r="D65" i="46"/>
  <c r="D50" i="46"/>
  <c r="F36" i="44"/>
  <c r="M22" i="44"/>
  <c r="M20" i="15"/>
  <c r="E29" i="6"/>
  <c r="K15" i="1" s="1"/>
  <c r="BL13" i="3"/>
  <c r="L19" i="6"/>
  <c r="L27" i="6" s="1"/>
  <c r="C7" i="21"/>
  <c r="C7" i="33"/>
  <c r="C58" i="33" s="1"/>
  <c r="D58" i="33" s="1"/>
  <c r="E58" i="33" s="1"/>
  <c r="F58" i="33" s="1"/>
  <c r="C7" i="34"/>
  <c r="C59" i="34" s="1"/>
  <c r="C9" i="39"/>
  <c r="C69" i="39" s="1"/>
  <c r="C9" i="40"/>
  <c r="C64" i="40" s="1"/>
  <c r="N67" i="9"/>
  <c r="D38" i="4"/>
  <c r="C39" i="4" s="1"/>
  <c r="G23" i="46"/>
  <c r="C23" i="46" s="1"/>
  <c r="AP10" i="1"/>
  <c r="C7" i="35"/>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12" i="1"/>
  <c r="P12" i="1" s="1"/>
  <c r="O10" i="1"/>
  <c r="P10" i="1" s="1"/>
  <c r="O9" i="1"/>
  <c r="P9" i="1" s="1"/>
  <c r="O13" i="1"/>
  <c r="P13" i="1" s="1"/>
  <c r="G6" i="1"/>
  <c r="A25" i="51"/>
  <c r="B18" i="63" s="1"/>
  <c r="G10" i="1"/>
  <c r="G13" i="1"/>
  <c r="C95" i="9"/>
  <c r="C92" i="9" s="1"/>
  <c r="C25" i="12"/>
  <c r="C15" i="43"/>
  <c r="C28" i="15"/>
  <c r="D23" i="15"/>
  <c r="L52" i="37"/>
  <c r="M52" i="37" s="1"/>
  <c r="N52" i="37" s="1"/>
  <c r="O52" i="37"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F65" i="15"/>
  <c r="J1" i="65"/>
  <c r="F67" i="15"/>
  <c r="F50" i="15"/>
  <c r="C27" i="15"/>
  <c r="F64" i="15"/>
  <c r="L59" i="15"/>
  <c r="L58" i="15"/>
  <c r="J53" i="15"/>
  <c r="J57" i="15"/>
  <c r="J55" i="15" s="1"/>
  <c r="J58" i="15" s="1"/>
  <c r="Q51" i="15" s="1"/>
  <c r="I54" i="15"/>
  <c r="L56" i="15"/>
  <c r="Q72" i="15"/>
  <c r="F63" i="15"/>
  <c r="C4" i="65"/>
  <c r="B39" i="1" s="1"/>
  <c r="F13" i="73"/>
  <c r="M8" i="73"/>
  <c r="F38" i="73"/>
  <c r="M24" i="73"/>
  <c r="F8" i="73"/>
  <c r="M26" i="73"/>
  <c r="M23" i="73"/>
  <c r="J36" i="73"/>
  <c r="M29" i="73"/>
  <c r="M6" i="73"/>
  <c r="L47" i="73"/>
  <c r="F36" i="73"/>
  <c r="F9" i="44"/>
  <c r="F40" i="44"/>
  <c r="M10" i="44"/>
  <c r="M11" i="44"/>
  <c r="E2" i="65"/>
  <c r="F10" i="44"/>
  <c r="F38" i="44"/>
  <c r="M31" i="44"/>
  <c r="E3" i="65"/>
  <c r="J17" i="44"/>
  <c r="M24" i="44"/>
  <c r="F28" i="44"/>
  <c r="F18" i="44"/>
  <c r="M25" i="44"/>
  <c r="F11" i="44"/>
  <c r="F15" i="44"/>
  <c r="L48" i="44"/>
  <c r="F39" i="44"/>
  <c r="L49" i="44"/>
  <c r="F45" i="44"/>
  <c r="L48" i="73"/>
  <c r="F42" i="73"/>
  <c r="M28" i="73"/>
  <c r="F6" i="73"/>
  <c r="F9" i="73"/>
  <c r="F7" i="73"/>
  <c r="F37" i="73"/>
  <c r="F40" i="73"/>
  <c r="F43" i="73"/>
  <c r="F26" i="73"/>
  <c r="F16" i="73"/>
  <c r="J15" i="73"/>
  <c r="M9" i="73"/>
  <c r="M22" i="73"/>
  <c r="F7" i="15"/>
  <c r="F43" i="15"/>
  <c r="M29" i="15"/>
  <c r="M28" i="44"/>
  <c r="M8" i="44"/>
  <c r="F8" i="44"/>
  <c r="M30" i="44"/>
  <c r="M26" i="44"/>
  <c r="F43" i="44"/>
  <c r="F70" i="15" l="1"/>
  <c r="C6" i="15"/>
  <c r="C32" i="15" s="1"/>
  <c r="F49" i="15"/>
  <c r="M7" i="15"/>
  <c r="M17" i="15" s="1"/>
  <c r="C27" i="73"/>
  <c r="F70" i="73"/>
  <c r="F67" i="73"/>
  <c r="F64" i="73"/>
  <c r="F49" i="73"/>
  <c r="M7" i="73"/>
  <c r="J6" i="73" s="1"/>
  <c r="C6" i="73"/>
  <c r="I54" i="73"/>
  <c r="L56" i="73"/>
  <c r="J57" i="73"/>
  <c r="J55" i="73" s="1"/>
  <c r="J58" i="73" s="1"/>
  <c r="Q51" i="73" s="1"/>
  <c r="J53" i="73"/>
  <c r="F63" i="73"/>
  <c r="L58" i="73"/>
  <c r="L59" i="73"/>
  <c r="F48" i="73"/>
  <c r="Q72" i="73"/>
  <c r="F50" i="73"/>
  <c r="F65" i="73"/>
  <c r="K17" i="4"/>
  <c r="A22" i="51" s="1"/>
  <c r="B16" i="63" s="1"/>
  <c r="C58" i="21"/>
  <c r="D58" i="21" s="1"/>
  <c r="E58" i="21" s="1"/>
  <c r="F58" i="21" s="1"/>
  <c r="G58" i="21" s="1"/>
  <c r="H58" i="21" s="1"/>
  <c r="I58" i="21" s="1"/>
  <c r="J58" i="21" s="1"/>
  <c r="K58" i="21" s="1"/>
  <c r="L58" i="21" s="1"/>
  <c r="M58" i="21" s="1"/>
  <c r="N58" i="21" s="1"/>
  <c r="O58" i="21" s="1"/>
  <c r="G7" i="21"/>
  <c r="I7" i="21"/>
  <c r="E7" i="21"/>
  <c r="M7" i="1"/>
  <c r="D60" i="59"/>
  <c r="C61" i="59"/>
  <c r="P66" i="59"/>
  <c r="P67" i="59"/>
  <c r="AZ145" i="3"/>
  <c r="AZ295" i="3"/>
  <c r="AZ283" i="3"/>
  <c r="AZ267" i="3"/>
  <c r="AZ256" i="3"/>
  <c r="AZ252" i="3"/>
  <c r="F61" i="73"/>
  <c r="AA34" i="35"/>
  <c r="S34" i="35"/>
  <c r="AC26" i="33"/>
  <c r="W26" i="33"/>
  <c r="W30" i="21"/>
  <c r="AC30" i="21"/>
  <c r="AA28" i="21"/>
  <c r="S28" i="21"/>
  <c r="U14" i="21"/>
  <c r="AB14" i="21"/>
  <c r="AC12" i="21"/>
  <c r="W12" i="21"/>
  <c r="AC27" i="33"/>
  <c r="W27" i="33"/>
  <c r="AA9" i="33"/>
  <c r="S9" i="33"/>
  <c r="C48" i="35"/>
  <c r="D48" i="35" s="1"/>
  <c r="E48" i="35" s="1"/>
  <c r="F48" i="35" s="1"/>
  <c r="G48" i="35" s="1"/>
  <c r="H48" i="35" s="1"/>
  <c r="I48" i="35" s="1"/>
  <c r="J48" i="35" s="1"/>
  <c r="K48" i="35" s="1"/>
  <c r="L48" i="35" s="1"/>
  <c r="M48" i="35" s="1"/>
  <c r="N48" i="35" s="1"/>
  <c r="O48" i="35" s="1"/>
  <c r="I7" i="35"/>
  <c r="E7" i="35"/>
  <c r="G7" i="35"/>
  <c r="F67" i="59"/>
  <c r="Q68" i="59"/>
  <c r="AA25" i="37"/>
  <c r="S25" i="37"/>
  <c r="AA26" i="33"/>
  <c r="S26" i="33"/>
  <c r="AB9" i="33"/>
  <c r="U9" i="33"/>
  <c r="F81" i="21"/>
  <c r="G81" i="21" s="1"/>
  <c r="F19" i="21"/>
  <c r="J19" i="21"/>
  <c r="U30" i="21"/>
  <c r="AB30" i="21"/>
  <c r="U28" i="21"/>
  <c r="AB28" i="21"/>
  <c r="AA14" i="21"/>
  <c r="S14" i="21"/>
  <c r="AC9" i="33"/>
  <c r="W9" i="33"/>
  <c r="AB26" i="35"/>
  <c r="U26" i="35"/>
  <c r="AA26" i="35"/>
  <c r="S26" i="35"/>
  <c r="W26" i="35"/>
  <c r="AC26" i="35"/>
  <c r="M11" i="73"/>
  <c r="J10" i="73" s="1"/>
  <c r="F11" i="73"/>
  <c r="C8" i="44"/>
  <c r="C34" i="44" s="1"/>
  <c r="C29" i="44"/>
  <c r="Q73" i="44"/>
  <c r="M9" i="44"/>
  <c r="J8" i="44" s="1"/>
  <c r="J20" i="44" s="1"/>
  <c r="L60" i="44"/>
  <c r="Q76" i="44" s="1"/>
  <c r="L59" i="44"/>
  <c r="Q75" i="44" s="1"/>
  <c r="I55" i="44"/>
  <c r="L57" i="44"/>
  <c r="J54" i="44"/>
  <c r="F1" i="44" s="1"/>
  <c r="J58" i="44"/>
  <c r="J56" i="44" s="1"/>
  <c r="J59" i="44" s="1"/>
  <c r="Q52" i="44" s="1"/>
  <c r="D21" i="12"/>
  <c r="C21" i="12" s="1"/>
  <c r="G30" i="6"/>
  <c r="G31" i="6" s="1"/>
  <c r="E15" i="6"/>
  <c r="E61" i="40" s="1"/>
  <c r="O23" i="46"/>
  <c r="B16" i="59"/>
  <c r="B15" i="59" s="1"/>
  <c r="B14" i="59" s="1"/>
  <c r="B13" i="59" s="1"/>
  <c r="S17" i="59"/>
  <c r="B28" i="59"/>
  <c r="B27" i="59" s="1"/>
  <c r="S29" i="59"/>
  <c r="C36" i="59"/>
  <c r="D35" i="59"/>
  <c r="D44" i="59"/>
  <c r="C45" i="59"/>
  <c r="AA23" i="36"/>
  <c r="S23" i="36"/>
  <c r="AC23" i="36"/>
  <c r="W23" i="36"/>
  <c r="W12" i="36"/>
  <c r="AC12" i="36"/>
  <c r="C16" i="59"/>
  <c r="T17" i="59"/>
  <c r="E16" i="59"/>
  <c r="E15" i="59" s="1"/>
  <c r="E14" i="59" s="1"/>
  <c r="E13" i="59" s="1"/>
  <c r="U17" i="59"/>
  <c r="C27" i="59"/>
  <c r="D27" i="59" s="1"/>
  <c r="D28" i="59"/>
  <c r="C67" i="59"/>
  <c r="D68" i="59"/>
  <c r="O68" i="59"/>
  <c r="D41" i="59"/>
  <c r="T41" i="59"/>
  <c r="D33" i="59"/>
  <c r="T33" i="59"/>
  <c r="D64" i="59"/>
  <c r="C65" i="59"/>
  <c r="D56" i="59"/>
  <c r="C57" i="59"/>
  <c r="AB23" i="36"/>
  <c r="U23" i="36"/>
  <c r="U12" i="36"/>
  <c r="AB12" i="36"/>
  <c r="F16" i="59"/>
  <c r="F15" i="59" s="1"/>
  <c r="F14" i="59" s="1"/>
  <c r="F13" i="59" s="1"/>
  <c r="V17" i="59"/>
  <c r="E83" i="46"/>
  <c r="B81" i="46" s="1"/>
  <c r="D26" i="46"/>
  <c r="C25"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B14" i="66" s="1"/>
  <c r="F21" i="43"/>
  <c r="F33" i="12"/>
  <c r="C34" i="12" s="1"/>
  <c r="D33" i="12" s="1"/>
  <c r="E63" i="39"/>
  <c r="K14" i="1"/>
  <c r="H7" i="34"/>
  <c r="U7" i="34" s="1"/>
  <c r="F7" i="34"/>
  <c r="AA7" i="34" s="1"/>
  <c r="R49" i="34" s="1"/>
  <c r="J7" i="34"/>
  <c r="W7" i="34" s="1"/>
  <c r="G16" i="1"/>
  <c r="J12" i="40" s="1"/>
  <c r="F7" i="21"/>
  <c r="AA7" i="21" s="1"/>
  <c r="H7" i="21"/>
  <c r="AB7" i="21" s="1"/>
  <c r="T48" i="21" s="1"/>
  <c r="G48" i="21" s="1"/>
  <c r="B12" i="59"/>
  <c r="S13" i="59"/>
  <c r="E12" i="59"/>
  <c r="U13" i="59"/>
  <c r="F58" i="15"/>
  <c r="H7" i="35"/>
  <c r="U7" i="35" s="1"/>
  <c r="B40" i="1"/>
  <c r="F24" i="73" s="1"/>
  <c r="E64" i="40"/>
  <c r="D66" i="40"/>
  <c r="AC7" i="33"/>
  <c r="V48" i="33" s="1"/>
  <c r="I48" i="33" s="1"/>
  <c r="W7" i="33"/>
  <c r="S7" i="34"/>
  <c r="J7" i="37"/>
  <c r="D71" i="39"/>
  <c r="E69" i="39"/>
  <c r="H7" i="33"/>
  <c r="F7" i="33"/>
  <c r="J46" i="36"/>
  <c r="J7" i="35"/>
  <c r="F7" i="35"/>
  <c r="H7" i="37"/>
  <c r="F7" i="37"/>
  <c r="M19" i="44"/>
  <c r="F17" i="11"/>
  <c r="C17" i="11" s="1"/>
  <c r="C19" i="11" s="1"/>
  <c r="Q62" i="15"/>
  <c r="Q75" i="15"/>
  <c r="M13" i="44"/>
  <c r="J12" i="44" s="1"/>
  <c r="F11" i="15"/>
  <c r="M11" i="15"/>
  <c r="F13" i="44"/>
  <c r="C12" i="44" s="1"/>
  <c r="C48" i="15"/>
  <c r="M32" i="46"/>
  <c r="P32" i="46"/>
  <c r="O32" i="46"/>
  <c r="N32" i="46"/>
  <c r="F1" i="15"/>
  <c r="Q53" i="15"/>
  <c r="Q61" i="15"/>
  <c r="Q74" i="15"/>
  <c r="J6" i="15"/>
  <c r="J18" i="15" s="1"/>
  <c r="AE6" i="1"/>
  <c r="AE12" i="1"/>
  <c r="AE8" i="1"/>
  <c r="AE10" i="1"/>
  <c r="AE11" i="1"/>
  <c r="C16" i="73"/>
  <c r="C18" i="44"/>
  <c r="F46" i="44"/>
  <c r="C16" i="15"/>
  <c r="AE7" i="1"/>
  <c r="J5" i="73" l="1"/>
  <c r="J26" i="73" s="1"/>
  <c r="W19" i="21"/>
  <c r="AC19" i="21"/>
  <c r="V48" i="21" s="1"/>
  <c r="T61" i="59"/>
  <c r="D61" i="59"/>
  <c r="O7" i="1"/>
  <c r="P7" i="1" s="1"/>
  <c r="Q62" i="73"/>
  <c r="Q75" i="73"/>
  <c r="J18" i="73"/>
  <c r="J19" i="73"/>
  <c r="R48" i="21"/>
  <c r="AA19" i="21"/>
  <c r="S19" i="21"/>
  <c r="Q67" i="59"/>
  <c r="Q66" i="59"/>
  <c r="C48" i="73"/>
  <c r="C60" i="73" s="1"/>
  <c r="Q74" i="73"/>
  <c r="Q61" i="73"/>
  <c r="Q53" i="73"/>
  <c r="F1" i="73"/>
  <c r="C33" i="73"/>
  <c r="C32" i="73"/>
  <c r="W7" i="21"/>
  <c r="J60" i="44"/>
  <c r="J61" i="44" s="1"/>
  <c r="Q50" i="44" s="1"/>
  <c r="Q62" i="44"/>
  <c r="Q63" i="44"/>
  <c r="J7" i="44"/>
  <c r="C24" i="73"/>
  <c r="C52" i="73"/>
  <c r="C10" i="73"/>
  <c r="C5" i="73" s="1"/>
  <c r="J24" i="73"/>
  <c r="Q54" i="44"/>
  <c r="C7" i="44"/>
  <c r="C40" i="44" s="1"/>
  <c r="E66" i="39"/>
  <c r="AB7" i="34"/>
  <c r="T49" i="34" s="1"/>
  <c r="G49" i="34" s="1"/>
  <c r="V13" i="59"/>
  <c r="F12" i="59"/>
  <c r="F11" i="59" s="1"/>
  <c r="D45" i="59"/>
  <c r="T45" i="59"/>
  <c r="D57" i="59"/>
  <c r="T57" i="59"/>
  <c r="D65" i="59"/>
  <c r="T65" i="59"/>
  <c r="D67" i="59"/>
  <c r="O67" i="59"/>
  <c r="O66" i="59"/>
  <c r="D16" i="59"/>
  <c r="C15" i="59"/>
  <c r="D36" i="59"/>
  <c r="C37"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E48" i="21"/>
  <c r="AA7" i="33"/>
  <c r="R48" i="33" s="1"/>
  <c r="S7" i="33"/>
  <c r="F69" i="39"/>
  <c r="E71" i="39"/>
  <c r="G52" i="21"/>
  <c r="H52" i="21" s="1"/>
  <c r="I53" i="34"/>
  <c r="J53" i="34" s="1"/>
  <c r="R50" i="34"/>
  <c r="E49" i="34"/>
  <c r="I52" i="33"/>
  <c r="J52" i="33" s="1"/>
  <c r="E66" i="40"/>
  <c r="F64" i="40"/>
  <c r="J26" i="44"/>
  <c r="C52" i="15"/>
  <c r="C47" i="15" s="1"/>
  <c r="C10" i="15"/>
  <c r="C5" i="15" s="1"/>
  <c r="C38" i="15" s="1"/>
  <c r="C20" i="11"/>
  <c r="C21" i="11" s="1"/>
  <c r="C22" i="11" s="1"/>
  <c r="C23" i="11" s="1"/>
  <c r="B2" i="11" s="1"/>
  <c r="M27" i="73"/>
  <c r="AE9" i="1"/>
  <c r="F41" i="15"/>
  <c r="M27" i="15"/>
  <c r="F41" i="73"/>
  <c r="M29" i="44"/>
  <c r="C47" i="73" l="1"/>
  <c r="C59" i="73" s="1"/>
  <c r="I48" i="21"/>
  <c r="R49" i="21"/>
  <c r="F68" i="73"/>
  <c r="J29" i="73"/>
  <c r="F68" i="15"/>
  <c r="C38" i="73"/>
  <c r="D22" i="12"/>
  <c r="C22" i="12" s="1"/>
  <c r="C20" i="12" s="1"/>
  <c r="D37" i="59"/>
  <c r="T37" i="59"/>
  <c r="D15" i="59"/>
  <c r="C14" i="59"/>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8" i="12" s="1"/>
  <c r="C49" i="21"/>
  <c r="B3" i="21" s="1"/>
  <c r="B2" i="21" s="1"/>
  <c r="C10" i="12" s="1"/>
  <c r="I46" i="37"/>
  <c r="J46" i="37" s="1"/>
  <c r="G52" i="33"/>
  <c r="H52" i="33" s="1"/>
  <c r="G53" i="33"/>
  <c r="H53" i="33" s="1"/>
  <c r="I42" i="35"/>
  <c r="J42" i="35" s="1"/>
  <c r="I43" i="35"/>
  <c r="J43" i="35" s="1"/>
  <c r="G46" i="37"/>
  <c r="H46" i="37" s="1"/>
  <c r="G47" i="37"/>
  <c r="H47" i="37" s="1"/>
  <c r="B3" i="11"/>
  <c r="F7" i="67"/>
  <c r="C65" i="73" l="1"/>
  <c r="K27" i="6"/>
  <c r="I52" i="21"/>
  <c r="J52" i="21" s="1"/>
  <c r="G53" i="21"/>
  <c r="H53" i="21" s="1"/>
  <c r="J59" i="73"/>
  <c r="J60" i="73" s="1"/>
  <c r="Q49" i="73" s="1"/>
  <c r="D14" i="59"/>
  <c r="C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17" i="15"/>
  <c r="C17" i="73"/>
  <c r="F35" i="73"/>
  <c r="M21" i="73"/>
  <c r="J20" i="73" l="1"/>
  <c r="J17" i="73" s="1"/>
  <c r="F62" i="73"/>
  <c r="C61" i="73" s="1"/>
  <c r="C58" i="73" s="1"/>
  <c r="C34" i="73"/>
  <c r="C31" i="73" s="1"/>
  <c r="D30" i="6"/>
  <c r="T13" i="59"/>
  <c r="C12" i="59"/>
  <c r="D13"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73"/>
  <c r="F37" i="44"/>
  <c r="M23" i="44"/>
  <c r="C16" i="44"/>
  <c r="C14" i="15"/>
  <c r="F35" i="15"/>
  <c r="M21" i="15"/>
  <c r="C15" i="73" l="1"/>
  <c r="C18" i="73"/>
  <c r="L57" i="73"/>
  <c r="L60" i="73" s="1"/>
  <c r="C11" i="59"/>
  <c r="D12"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H7" i="36"/>
  <c r="J64" i="40"/>
  <c r="I66" i="40"/>
  <c r="J69" i="39"/>
  <c r="I71" i="39"/>
  <c r="B3" i="67"/>
  <c r="B4" i="67"/>
  <c r="C19" i="73" l="1"/>
  <c r="C20" i="73" s="1"/>
  <c r="C26" i="73" s="1"/>
  <c r="L46" i="73"/>
  <c r="Q58" i="73"/>
  <c r="Q67" i="73"/>
  <c r="F7" i="36"/>
  <c r="S7" i="36" s="1"/>
  <c r="C10" i="59"/>
  <c r="D11"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C23" i="73" l="1"/>
  <c r="C29" i="73" s="1"/>
  <c r="AA7" i="36"/>
  <c r="R36" i="36" s="1"/>
  <c r="E36" i="36" s="1"/>
  <c r="I41" i="36" s="1"/>
  <c r="J41" i="36" s="1"/>
  <c r="C9" i="59"/>
  <c r="D10" i="59"/>
  <c r="E5" i="59"/>
  <c r="U5" i="59" s="1"/>
  <c r="B5" i="59"/>
  <c r="C21" i="43"/>
  <c r="R37" i="36"/>
  <c r="K66" i="40"/>
  <c r="L64" i="40"/>
  <c r="G41" i="36"/>
  <c r="H41" i="36" s="1"/>
  <c r="G40" i="36"/>
  <c r="H40" i="36" s="1"/>
  <c r="I40" i="36"/>
  <c r="J40" i="36" s="1"/>
  <c r="L69" i="39"/>
  <c r="K71" i="39"/>
  <c r="C36" i="73" l="1"/>
  <c r="C56" i="73"/>
  <c r="C63" i="73" s="1"/>
  <c r="C13" i="73"/>
  <c r="J14" i="73"/>
  <c r="Q50" i="73"/>
  <c r="C8" i="59"/>
  <c r="T9" i="59"/>
  <c r="D9" i="59"/>
  <c r="S5" i="59"/>
  <c r="L71" i="39"/>
  <c r="M69" i="39"/>
  <c r="M64" i="40"/>
  <c r="L66" i="40"/>
  <c r="E40" i="36"/>
  <c r="F40" i="36" s="1"/>
  <c r="E41" i="36"/>
  <c r="F41" i="36" s="1"/>
  <c r="C37" i="36"/>
  <c r="B3" i="36" s="1"/>
  <c r="B2" i="36" s="1"/>
  <c r="C36" i="36"/>
  <c r="J13" i="73" l="1"/>
  <c r="J23" i="73" s="1"/>
  <c r="J22" i="73"/>
  <c r="Q71" i="73"/>
  <c r="J35" i="73"/>
  <c r="C37" i="73"/>
  <c r="C30" i="73" s="1"/>
  <c r="C39" i="73" s="1"/>
  <c r="C55" i="73"/>
  <c r="C64" i="73" s="1"/>
  <c r="C57" i="73" s="1"/>
  <c r="C66" i="73" s="1"/>
  <c r="C67" i="73" s="1"/>
  <c r="D8" i="59"/>
  <c r="C7" i="59"/>
  <c r="N64" i="40"/>
  <c r="N66" i="40" s="1"/>
  <c r="M66" i="40"/>
  <c r="N69" i="39"/>
  <c r="N71" i="39" s="1"/>
  <c r="M71" i="39"/>
  <c r="C40" i="73" l="1"/>
  <c r="C46" i="73" s="1"/>
  <c r="Q70" i="73"/>
  <c r="Q69" i="73" s="1"/>
  <c r="C70" i="73"/>
  <c r="J39" i="73"/>
  <c r="J40" i="73" s="1"/>
  <c r="J16" i="73"/>
  <c r="J25" i="73" s="1"/>
  <c r="D7" i="59"/>
  <c r="C6" i="59"/>
  <c r="J9" i="40"/>
  <c r="H9" i="40"/>
  <c r="F9" i="40"/>
  <c r="J9" i="39"/>
  <c r="H9" i="39"/>
  <c r="F9" i="39"/>
  <c r="L51" i="73"/>
  <c r="Q68" i="73" l="1"/>
  <c r="Q66" i="73"/>
  <c r="Q76" i="73" s="1"/>
  <c r="Q48" i="73"/>
  <c r="Q54" i="73" s="1"/>
  <c r="Q57" i="73"/>
  <c r="Q63" i="73" s="1"/>
  <c r="C43" i="73"/>
  <c r="B2" i="73"/>
  <c r="J42" i="73"/>
  <c r="J43" i="73" s="1"/>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3" l="1"/>
  <c r="F8" i="12" s="1"/>
  <c r="F10" i="12"/>
  <c r="D5" i="59"/>
  <c r="T5" i="59"/>
  <c r="M24"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B3" i="39"/>
  <c r="L43" i="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B2" i="35" l="1"/>
  <c r="B3" i="35" l="1"/>
  <c r="E8" i="12" s="1"/>
  <c r="E10" i="12"/>
  <c r="C6" i="12" s="1"/>
  <c r="C24" i="12" l="1"/>
  <c r="C29" i="12"/>
  <c r="C35" i="12" l="1"/>
  <c r="C33" i="12" s="1"/>
  <c r="C28" i="12"/>
  <c r="C26" i="12" s="1"/>
  <c r="C31" i="12" s="1"/>
  <c r="C30" i="12" s="1"/>
  <c r="C36" i="12" l="1"/>
  <c r="B2" i="12" s="1"/>
  <c r="D19" i="9"/>
  <c r="G19" i="9" l="1"/>
  <c r="D27" i="9" s="1"/>
  <c r="D22" i="9"/>
  <c r="L44" i="9"/>
  <c r="B5" i="12"/>
  <c r="B3" i="12"/>
  <c r="B4" i="12"/>
  <c r="D21" i="9"/>
  <c r="D20" i="9"/>
  <c r="G20" i="9" l="1"/>
  <c r="G21" i="9"/>
  <c r="C32" i="9"/>
  <c r="G22" i="9"/>
  <c r="D14" i="66"/>
  <c r="N43" i="9"/>
  <c r="G14" i="66" l="1"/>
  <c r="B6" i="66" s="1"/>
  <c r="E14" i="66"/>
  <c r="B5" i="66"/>
  <c r="F14" i="66"/>
  <c r="C33" i="9"/>
  <c r="C35" i="9"/>
  <c r="F42" i="9" s="1"/>
  <c r="O38" i="9"/>
  <c r="C34" i="9"/>
  <c r="C42" i="9"/>
  <c r="O43" i="9"/>
  <c r="D63" i="9" l="1"/>
  <c r="C44" i="9"/>
  <c r="N68" i="9"/>
  <c r="R5" i="54"/>
  <c r="B48" i="63" s="1"/>
  <c r="K26" i="9"/>
  <c r="K25" i="9"/>
  <c r="N38" i="9"/>
  <c r="K28" i="9" s="1"/>
  <c r="D42" i="9"/>
  <c r="Q5" i="54" s="1"/>
  <c r="B47" i="63" s="1"/>
  <c r="D5" i="66"/>
  <c r="C5" i="66"/>
  <c r="C6" i="66"/>
  <c r="D6" i="66"/>
  <c r="E42" i="9"/>
  <c r="P5" i="54" s="1"/>
  <c r="B46" i="63" s="1"/>
  <c r="M38" i="9"/>
  <c r="K27" i="9" s="1"/>
  <c r="C96" i="9" l="1"/>
  <c r="C91" i="9" s="1"/>
  <c r="D73" i="9"/>
  <c r="N73" i="9" s="1"/>
  <c r="D71" i="9"/>
  <c r="D66" i="9" s="1"/>
  <c r="N72" i="9" s="1"/>
  <c r="C90" i="9"/>
  <c r="C82" i="9"/>
  <c r="C81" i="9" s="1"/>
  <c r="C85" i="9" s="1"/>
  <c r="C86" i="9" s="1"/>
  <c r="D72" i="9" s="1"/>
  <c r="C103" i="9"/>
  <c r="D70" i="9"/>
  <c r="C111" i="9"/>
  <c r="C104" i="9" s="1"/>
  <c r="N69" i="9"/>
  <c r="O39" i="9"/>
  <c r="F44" i="9"/>
  <c r="D44" i="9"/>
  <c r="E44" i="9"/>
  <c r="C97" i="9" l="1"/>
  <c r="R6" i="54"/>
  <c r="B50" i="63" s="1"/>
  <c r="K29" i="9"/>
  <c r="K30" i="9" s="1"/>
  <c r="C113" i="9"/>
  <c r="C98" i="9"/>
  <c r="E98" i="9" s="1"/>
  <c r="E99" i="9" s="1"/>
  <c r="M88" i="9"/>
  <c r="N88" i="9" s="1"/>
  <c r="M85" i="9"/>
  <c r="N85" i="9" s="1"/>
  <c r="M86" i="9"/>
  <c r="N86" i="9" s="1"/>
  <c r="M83" i="9"/>
  <c r="N83" i="9" s="1"/>
  <c r="M84" i="9"/>
  <c r="N84" i="9" s="1"/>
  <c r="M87" i="9"/>
  <c r="N87" i="9" s="1"/>
  <c r="N89" i="9" l="1"/>
  <c r="O89" i="9" s="1"/>
  <c r="C99" i="9"/>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<sst xmlns="http://schemas.openxmlformats.org/spreadsheetml/2006/main" count="8080" uniqueCount="3440">
  <si>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</si>
  <si>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</si>
  <si>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</si>
  <si>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</si>
  <si>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</si>
  <si>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</si>
  <si>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</si>
  <si>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</si>
  <si>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</si>
  <si>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</si>
  <si>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</si>
  <si>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</si>
  <si>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</si>
  <si>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</si>
  <si>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</si>
  <si>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</si>
  <si>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</si>
  <si>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</si>
  <si>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</si>
  <si>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</si>
  <si>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</si>
  <si>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</si>
  <si>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</si>
  <si>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</si>
  <si>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</si>
  <si>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</si>
  <si>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</si>
  <si>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</si>
  <si>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</si>
  <si>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</si>
  <si>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</si>
  <si>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</si>
  <si>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</si>
  <si>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</si>
  <si>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</si>
  <si>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</si>
  <si>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</si>
  <si>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</si>
  <si>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</si>
  <si>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</si>
  <si>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</si>
  <si>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</si>
  <si>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</si>
  <si>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</si>
  <si>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</si>
  <si>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</si>
  <si>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</si>
  <si>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</si>
  <si>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</si>
  <si>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</si>
  <si>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</si>
  <si>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</si>
  <si>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</si>
  <si>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</si>
  <si>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</si>
  <si>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</si>
  <si>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</si>
  <si>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</si>
  <si>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</si>
  <si>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</si>
  <si>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</si>
  <si>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</si>
  <si>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</si>
  <si>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</si>
  <si>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</si>
  <si>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</si>
  <si>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</si>
  <si>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</si>
  <si>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</si>
  <si>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</si>
  <si>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</si>
  <si>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</si>
  <si>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</si>
  <si>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</si>
  <si>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</si>
  <si>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</si>
  <si>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</si>
  <si>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</si>
  <si>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</si>
  <si>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</si>
  <si>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</si>
  <si>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</si>
  <si>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</si>
  <si>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</si>
  <si>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</si>
  <si>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</si>
  <si>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</si>
  <si>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</si>
  <si>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</si>
  <si>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</si>
  <si>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</si>
  <si>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</si>
  <si>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</si>
  <si>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</si>
  <si>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</si>
  <si>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</si>
  <si>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</si>
  <si>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</si>
  <si>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</si>
  <si>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</si>
  <si>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</si>
  <si>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</si>
  <si>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</si>
  <si>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</si>
  <si>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</si>
  <si>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</si>
  <si>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</si>
  <si>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</si>
  <si>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</si>
  <si>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</si>
  <si>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</si>
  <si>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</si>
  <si>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</si>
  <si>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</si>
  <si>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</si>
  <si>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</si>
  <si>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</si>
  <si>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</si>
  <si>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</si>
  <si>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</si>
  <si>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</si>
  <si>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</si>
  <si>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</si>
  <si>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</si>
  <si>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</si>
  <si>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</si>
  <si>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</si>
  <si>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</si>
  <si>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</si>
  <si>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</si>
  <si>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</si>
  <si>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</si>
  <si>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</si>
  <si>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</si>
  <si>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</si>
  <si>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</si>
  <si>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</si>
  <si>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</si>
  <si>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</si>
  <si>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</si>
  <si>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</si>
  <si>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</si>
  <si>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</si>
  <si>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</si>
  <si>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</si>
  <si>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</si>
  <si>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</si>
  <si>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</si>
  <si>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</si>
  <si>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</si>
  <si>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</si>
  <si>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</si>
  <si>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</si>
  <si>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</si>
  <si>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</si>
  <si>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</si>
  <si>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</si>
  <si>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</si>
  <si>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</si>
  <si>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</si>
  <si>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</si>
  <si>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</si>
  <si>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</si>
  <si>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</si>
  <si>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</si>
  <si>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</si>
  <si>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</si>
  <si>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</si>
  <si>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</si>
  <si>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</si>
  <si>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</si>
  <si>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</si>
  <si>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</si>
  <si>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</si>
  <si>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</si>
  <si>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</si>
  <si>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</si>
  <si>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</si>
  <si>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</si>
  <si>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</si>
  <si>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</si>
  <si>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</si>
  <si>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</si>
  <si>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</si>
  <si>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</si>
  <si>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</si>
  <si>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</si>
  <si>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</si>
  <si>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</si>
  <si>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</si>
  <si>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</si>
  <si>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</si>
  <si>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</si>
  <si>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</si>
  <si>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</si>
  <si>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</si>
  <si>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</si>
  <si>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</si>
  <si>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</si>
  <si>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</si>
  <si>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</si>
  <si>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</si>
  <si>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</si>
  <si>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</si>
  <si>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</si>
  <si>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</si>
  <si>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</si>
  <si>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</si>
  <si>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</si>
  <si>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</si>
  <si>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</si>
  <si>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</si>
  <si>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</si>
  <si>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</si>
  <si>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</si>
  <si>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</si>
  <si>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</si>
  <si>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</si>
  <si>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</si>
  <si>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</si>
  <si>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</si>
  <si>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</si>
  <si>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</si>
  <si>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</si>
  <si>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</si>
  <si>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</si>
  <si>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</si>
  <si>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</si>
  <si>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</si>
  <si>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</si>
  <si>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</si>
  <si>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</si>
  <si>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</si>
  <si>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</si>
  <si>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</si>
  <si>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</si>
  <si>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</si>
  <si>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</si>
  <si>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</si>
  <si>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</si>
  <si>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</si>
  <si>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</si>
  <si>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</si>
  <si>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</si>
  <si>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</si>
  <si>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</si>
  <si>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</si>
  <si>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</si>
  <si>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</si>
  <si>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</si>
  <si>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</si>
  <si>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</si>
  <si>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</si>
  <si>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</si>
  <si>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</si>
  <si>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</si>
  <si>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</si>
  <si>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</si>
  <si>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</si>
  <si>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</si>
  <si>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</si>
  <si>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</si>
  <si>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</si>
  <si>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</si>
  <si>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</si>
  <si>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</si>
  <si>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</si>
  <si>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</si>
  <si>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</si>
  <si>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</si>
  <si>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</si>
  <si>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</si>
  <si>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</si>
  <si>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</si>
  <si>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</si>
  <si>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</si>
  <si>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</si>
  <si>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</si>
  <si>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</si>
  <si>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</si>
  <si>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</si>
  <si>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</si>
  <si>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</si>
  <si>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</si>
  <si>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</si>
  <si>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</si>
  <si>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</si>
  <si>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</si>
  <si>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</si>
  <si>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</si>
  <si>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</si>
  <si>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</si>
  <si>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</si>
  <si>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</si>
  <si>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</si>
  <si>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</si>
  <si>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</si>
  <si>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</si>
  <si>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</si>
  <si>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</si>
  <si>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</si>
  <si>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</si>
  <si>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</si>
  <si>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</si>
  <si>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</si>
  <si>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</si>
  <si>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</si>
  <si>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</si>
  <si>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</si>
  <si>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</si>
  <si>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</si>
  <si>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</si>
  <si>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</si>
  <si>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</si>
  <si>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</si>
  <si>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</si>
  <si>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</si>
  <si>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</si>
  <si>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</si>
  <si>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</si>
  <si>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</si>
  <si>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</si>
  <si>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</si>
  <si>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</si>
  <si>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</si>
  <si>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</si>
  <si>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</si>
  <si>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</si>
  <si>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</si>
  <si>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</si>
  <si>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</si>
  <si>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</si>
  <si>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</si>
  <si>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</si>
  <si>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</si>
  <si>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</si>
  <si>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</si>
  <si>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</si>
  <si>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</si>
  <si>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</si>
  <si>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</si>
  <si>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</si>
  <si>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</si>
  <si>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</si>
  <si>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</si>
  <si>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</si>
  <si>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</si>
  <si>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</si>
  <si>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</si>
  <si>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</si>
  <si>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</si>
  <si>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</si>
  <si>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</si>
  <si>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</si>
  <si>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</si>
  <si>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</si>
  <si>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</si>
  <si>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</si>
  <si>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</si>
  <si>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</si>
  <si>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</si>
  <si>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</si>
  <si>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</si>
  <si>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</si>
  <si>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</si>
  <si>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</si>
  <si>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</si>
  <si>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</si>
  <si>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</si>
  <si>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</si>
  <si>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</si>
  <si>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</si>
  <si>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</si>
  <si>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</si>
  <si>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</si>
  <si>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</si>
  <si>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</si>
  <si>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</si>
  <si>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</si>
  <si>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</si>
  <si>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</si>
  <si>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</si>
  <si>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</si>
  <si>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</si>
  <si>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</si>
  <si>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</si>
  <si>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</si>
  <si>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</si>
  <si>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</si>
  <si>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</si>
  <si>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</si>
  <si>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</si>
  <si>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</si>
  <si>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</si>
  <si>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</si>
  <si>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</si>
  <si>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</si>
  <si>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</si>
  <si>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</si>
  <si>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</si>
  <si>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</si>
  <si>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</si>
  <si>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</si>
  <si>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</si>
  <si>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</si>
  <si>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</si>
  <si>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</si>
  <si>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</si>
  <si>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</si>
  <si>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</si>
  <si>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</si>
  <si>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</si>
  <si>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</si>
  <si>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</si>
  <si>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</si>
  <si>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</si>
  <si>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</si>
  <si>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</si>
  <si>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</si>
  <si>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</si>
  <si>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</si>
  <si>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</si>
  <si>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</si>
  <si>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</si>
  <si>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</si>
  <si>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</si>
  <si>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</si>
  <si>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</si>
  <si>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</si>
  <si>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</si>
  <si>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</si>
  <si>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</si>
  <si>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</si>
  <si>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</si>
  <si>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</si>
  <si>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</si>
  <si>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</si>
  <si>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</si>
  <si>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</si>
  <si>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</si>
  <si>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</si>
  <si>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</si>
  <si>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</si>
  <si>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</si>
  <si>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</si>
  <si>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</si>
  <si>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</si>
  <si>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</si>
  <si>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</si>
  <si>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</si>
  <si>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</si>
  <si>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</si>
  <si>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</si>
  <si>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</si>
  <si>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</si>
  <si>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</si>
  <si>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</si>
  <si>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</si>
  <si>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</si>
  <si>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</si>
  <si>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</si>
  <si>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</si>
  <si>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</si>
  <si>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</si>
  <si>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</si>
  <si>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</si>
  <si>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</si>
  <si>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</si>
  <si>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</si>
  <si>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</si>
  <si>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</si>
  <si>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</si>
  <si>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</si>
  <si>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</si>
  <si>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</si>
  <si>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</si>
  <si>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</si>
  <si>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</si>
  <si>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</si>
  <si>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</si>
  <si>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</si>
  <si>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</si>
  <si>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</si>
  <si>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</si>
  <si>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</si>
  <si>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</si>
  <si>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</si>
  <si>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</si>
  <si>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</si>
  <si>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</si>
  <si>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</si>
  <si>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</si>
  <si>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</si>
  <si>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</si>
  <si>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</si>
  <si>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</si>
  <si>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</si>
  <si>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</si>
  <si>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</si>
  <si>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</si>
  <si>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</si>
  <si>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</si>
  <si>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</si>
  <si>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</si>
  <si>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</si>
  <si>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</si>
  <si>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</si>
  <si>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</si>
  <si>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</si>
  <si>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</si>
  <si>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</si>
  <si>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</si>
  <si>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</si>
  <si>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</si>
  <si>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</si>
  <si>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</si>
  <si>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</si>
  <si>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</si>
  <si>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</si>
  <si>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</si>
  <si>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</si>
  <si>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</si>
  <si>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</si>
  <si>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</si>
  <si>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</si>
  <si>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</si>
  <si>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</si>
  <si>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</si>
  <si>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</si>
  <si>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</si>
  <si>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</si>
  <si>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</si>
  <si>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</si>
  <si>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</si>
  <si>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</si>
  <si>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</si>
  <si>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</si>
  <si>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</si>
  <si>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</si>
  <si>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</si>
  <si>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</si>
  <si>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</si>
  <si>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</si>
  <si>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</si>
  <si>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</si>
  <si>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</si>
  <si>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</si>
  <si>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</si>
  <si>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</si>
  <si>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</si>
  <si>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</si>
  <si>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</si>
  <si>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</si>
  <si>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</si>
  <si>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</si>
  <si>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</si>
  <si>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</si>
  <si>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</si>
  <si>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</si>
  <si>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</si>
  <si>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</si>
  <si>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</si>
  <si>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</si>
  <si>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</si>
  <si>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</si>
  <si>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</si>
  <si>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</si>
  <si>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</si>
  <si>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</si>
  <si>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</si>
  <si>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</si>
  <si>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</si>
  <si>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</si>
  <si>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</si>
  <si>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</si>
  <si>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</si>
  <si>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</si>
  <si>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</si>
  <si>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</si>
  <si>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</si>
  <si>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</si>
  <si>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</si>
  <si>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</si>
  <si>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</si>
  <si>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</si>
  <si>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</si>
  <si>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</si>
  <si>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</si>
  <si>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</si>
  <si>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</si>
  <si>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</si>
  <si>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</si>
  <si>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</si>
  <si>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</si>
  <si>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</si>
  <si>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</si>
  <si>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</si>
  <si>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</si>
  <si>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</si>
  <si>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</si>
  <si>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</si>
  <si>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</si>
  <si>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</si>
  <si>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</si>
  <si>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</si>
  <si>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</si>
  <si>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</si>
  <si>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</si>
  <si>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</si>
  <si>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</si>
  <si>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</si>
  <si>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</si>
  <si>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</si>
  <si>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</si>
  <si>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</si>
  <si>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</si>
  <si>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</si>
  <si>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</si>
  <si>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</si>
  <si>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</si>
  <si>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</si>
  <si>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</si>
  <si>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</si>
  <si>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</si>
  <si>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</si>
  <si>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</si>
  <si>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</si>
  <si>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</si>
  <si>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</si>
  <si>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</si>
  <si>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</si>
  <si>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</si>
  <si>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</si>
  <si>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</si>
  <si>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</si>
  <si>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</si>
  <si>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</si>
  <si>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</si>
  <si>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</si>
  <si>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</si>
  <si>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</si>
  <si>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</si>
  <si>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</si>
  <si>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</si>
  <si>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</si>
  <si>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</si>
  <si>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</si>
  <si>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</si>
  <si>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</si>
  <si>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</si>
  <si>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</si>
  <si>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</si>
  <si>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</si>
  <si>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</si>
  <si>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</si>
  <si>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</si>
  <si>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</si>
  <si>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</si>
  <si>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</si>
  <si>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</si>
  <si>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</si>
  <si>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</si>
  <si>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</si>
  <si>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</si>
  <si>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</si>
  <si>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</si>
  <si>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</si>
  <si>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</si>
  <si>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</si>
  <si>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</si>
  <si>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</si>
  <si>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</si>
  <si>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</si>
  <si>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</si>
  <si>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</si>
  <si>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</si>
  <si>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</si>
  <si>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</si>
  <si>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</si>
  <si>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</si>
  <si>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</si>
  <si>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</si>
  <si>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</si>
  <si>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</si>
  <si>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</si>
  <si>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</si>
  <si>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</si>
  <si>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</si>
  <si>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</si>
  <si>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</si>
  <si>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</si>
  <si>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</si>
  <si>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</si>
  <si>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</si>
  <si>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</si>
  <si>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</si>
  <si>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</si>
  <si>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</si>
  <si>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</si>
  <si>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</si>
  <si>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</si>
  <si>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</si>
  <si>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</si>
  <si>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</si>
  <si>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</si>
  <si>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</si>
  <si>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</si>
  <si>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</si>
  <si>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</si>
  <si>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</si>
  <si>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</si>
  <si>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</si>
  <si>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</si>
  <si>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</si>
  <si>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</si>
  <si>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</si>
  <si>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</si>
  <si>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</si>
  <si>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</si>
  <si>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</si>
  <si>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</si>
  <si>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</si>
  <si>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</si>
  <si>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</si>
  <si>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</si>
  <si>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</si>
  <si>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</si>
  <si>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</si>
  <si>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</si>
  <si>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</si>
  <si>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</si>
  <si>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</si>
  <si>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</si>
  <si>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</si>
  <si>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</si>
  <si>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</si>
  <si>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</si>
  <si>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</si>
  <si>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</si>
  <si>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</si>
  <si>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</si>
  <si>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</si>
  <si>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</si>
  <si>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</si>
  <si>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</si>
  <si>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</si>
  <si>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</si>
  <si>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</si>
  <si>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</si>
  <si>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</si>
  <si>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</si>
  <si>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</si>
  <si>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</si>
  <si>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</si>
  <si>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</si>
  <si>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</si>
  <si>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</si>
  <si>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</si>
  <si>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</si>
  <si>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</si>
  <si>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</si>
  <si>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</si>
  <si>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</si>
  <si>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</si>
  <si>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</si>
  <si>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</si>
  <si>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</si>
  <si>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</si>
  <si>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</si>
  <si>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</si>
  <si>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</si>
  <si>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</si>
  <si>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</si>
  <si>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</si>
  <si>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</si>
  <si>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</si>
  <si>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</si>
  <si>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</si>
  <si>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</si>
  <si>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</si>
  <si>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</si>
  <si>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</si>
  <si>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</si>
  <si>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</si>
  <si>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</si>
  <si>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</si>
  <si>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</si>
  <si>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</si>
  <si>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</si>
  <si>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</si>
  <si>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</si>
  <si>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</si>
  <si>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</si>
  <si>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</si>
  <si>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</si>
  <si>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</si>
  <si>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</si>
  <si>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</si>
  <si>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</si>
  <si>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</si>
  <si>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</si>
  <si>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</si>
  <si>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</si>
  <si>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</si>
  <si>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</si>
  <si>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</si>
  <si>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</si>
  <si>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</si>
  <si>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</si>
  <si>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</si>
  <si>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</si>
  <si>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</si>
  <si>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</si>
  <si>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</si>
  <si>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</si>
  <si>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</si>
  <si>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</si>
  <si>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</si>
  <si>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</si>
  <si>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</si>
  <si>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</si>
  <si>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</si>
  <si>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</si>
  <si>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</si>
  <si>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</si>
  <si>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</si>
  <si>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</si>
  <si>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</si>
  <si>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</si>
  <si>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</si>
  <si>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</si>
  <si>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</si>
  <si>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</si>
  <si>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</si>
  <si>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</si>
  <si>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</si>
  <si>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</si>
  <si>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</si>
  <si>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</si>
  <si>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</si>
  <si>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</si>
  <si>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</si>
  <si>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</si>
  <si>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</si>
  <si>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</si>
  <si>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</si>
  <si>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</si>
  <si>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</si>
  <si>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</si>
  <si>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</si>
  <si>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</si>
  <si>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</si>
  <si>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</si>
  <si>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</si>
  <si>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</si>
  <si>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</si>
  <si>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</si>
  <si>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</si>
  <si>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</si>
  <si>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</si>
  <si>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</si>
  <si>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</si>
  <si>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</si>
  <si>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</si>
  <si>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</si>
  <si>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</si>
  <si>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</si>
  <si>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</si>
  <si>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</si>
  <si>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</si>
  <si>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</si>
  <si>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</si>
  <si>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</si>
  <si>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</si>
  <si>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</si>
  <si>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</si>
  <si>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</si>
  <si>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</si>
  <si>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</si>
  <si>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</si>
  <si>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</si>
  <si>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</si>
  <si>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</si>
  <si>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</si>
  <si>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</si>
  <si>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</si>
  <si>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</si>
  <si>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</si>
  <si>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</si>
  <si>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</si>
  <si>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</si>
  <si>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</si>
  <si>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</si>
  <si>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</si>
  <si>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</si>
  <si>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</si>
  <si>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</si>
  <si>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</si>
  <si>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</si>
  <si>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</si>
  <si>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</si>
  <si>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</si>
  <si>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</si>
  <si>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</si>
  <si>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</si>
  <si>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</si>
  <si>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</si>
  <si>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</si>
  <si>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</si>
  <si>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</si>
  <si>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</si>
  <si>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</si>
  <si>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</si>
  <si>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</si>
  <si>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</si>
  <si>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</si>
  <si>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</si>
  <si>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</si>
  <si>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</si>
  <si>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</si>
  <si>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</si>
  <si>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</si>
  <si>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</si>
  <si>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</si>
  <si>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</si>
  <si>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</si>
  <si>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</si>
  <si>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</si>
  <si>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</si>
  <si>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</si>
  <si>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</si>
  <si>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</si>
  <si>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</si>
  <si>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</si>
  <si>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</si>
  <si>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</si>
  <si>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</si>
  <si>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</si>
  <si>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</si>
  <si>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</si>
  <si>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</si>
  <si>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</si>
  <si>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</si>
  <si>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</si>
  <si>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</si>
  <si>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</si>
  <si>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</si>
  <si>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</si>
  <si>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</si>
  <si>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</si>
  <si>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</si>
  <si>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</si>
  <si>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</si>
  <si>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</si>
  <si>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</si>
  <si>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</si>
  <si>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</si>
  <si>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</si>
  <si>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</si>
  <si>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</si>
  <si>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</si>
  <si>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</si>
  <si>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</si>
  <si>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</si>
  <si>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</si>
  <si>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</si>
  <si>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</si>
  <si>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</si>
  <si>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</si>
  <si>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</si>
  <si>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</si>
  <si>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</si>
  <si>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</si>
  <si>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</si>
  <si>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</si>
  <si>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</si>
  <si>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</si>
  <si>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</si>
  <si>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</si>
  <si>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</si>
  <si>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</si>
  <si>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</si>
  <si>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</si>
  <si>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</si>
  <si>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</si>
  <si>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</si>
  <si>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</si>
  <si>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</si>
  <si>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</si>
  <si>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</si>
  <si>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</si>
  <si>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</si>
  <si>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</si>
  <si>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</si>
  <si>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</si>
  <si>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</si>
  <si>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</si>
  <si>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</si>
  <si>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</si>
  <si>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</si>
  <si>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</si>
  <si>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</si>
  <si>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</si>
  <si>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</si>
  <si>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</si>
  <si>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</si>
  <si>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</si>
  <si>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</si>
  <si>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</si>
  <si>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</si>
  <si>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</si>
  <si>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</si>
  <si>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</si>
  <si>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</si>
  <si>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</si>
  <si>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</si>
  <si>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</si>
  <si>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</si>
  <si>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</si>
  <si>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</si>
  <si>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</si>
  <si>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</si>
  <si>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</si>
  <si>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</si>
  <si>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</si>
  <si>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</si>
  <si>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</si>
  <si>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</si>
  <si>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</si>
  <si>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</si>
  <si>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</si>
  <si>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</si>
  <si>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</si>
  <si>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</si>
  <si>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</si>
  <si>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</si>
  <si>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</si>
  <si>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</si>
  <si>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</si>
  <si>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</si>
  <si>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</si>
  <si>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</si>
  <si>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</si>
  <si>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</si>
  <si>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</si>
  <si>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</si>
  <si>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</si>
  <si>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</si>
  <si>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</si>
  <si>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</si>
  <si>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</si>
  <si>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</si>
  <si>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</si>
  <si>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</si>
  <si>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</si>
  <si>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</si>
  <si>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</si>
  <si>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</si>
  <si>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</si>
  <si>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</si>
  <si>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</si>
  <si>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</si>
  <si>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</si>
  <si>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</si>
  <si>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</si>
  <si>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</si>
  <si>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</si>
  <si>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</si>
  <si>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</si>
  <si>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</si>
  <si>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</si>
  <si>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</si>
  <si>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</si>
  <si>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</si>
  <si>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</si>
  <si>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</si>
  <si>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</si>
  <si>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</si>
  <si>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</si>
  <si>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</si>
  <si>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</si>
  <si>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</si>
  <si>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</si>
  <si>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</si>
  <si>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</si>
  <si>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</si>
  <si>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</si>
  <si>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</si>
  <si>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</si>
  <si>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</si>
  <si>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</si>
  <si>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</si>
  <si>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</si>
  <si>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</si>
  <si>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</si>
  <si>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</si>
  <si>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</si>
  <si>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</si>
  <si>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</si>
  <si>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</si>
  <si>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</si>
  <si>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</si>
  <si>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</si>
  <si>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</si>
  <si>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</si>
  <si>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</si>
  <si>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</si>
  <si>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</si>
  <si>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</si>
  <si>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</si>
  <si>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</si>
  <si>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</si>
  <si>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</si>
  <si>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</si>
  <si>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</si>
  <si>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</si>
  <si>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</si>
  <si>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</si>
  <si>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</si>
  <si>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</si>
  <si>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</si>
  <si>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</si>
  <si>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</si>
  <si>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</si>
  <si>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</si>
  <si>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</si>
  <si>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</si>
  <si>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</si>
  <si>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</si>
  <si>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</si>
  <si>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</si>
  <si>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</si>
  <si>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</si>
  <si>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</si>
  <si>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</si>
  <si>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</si>
  <si>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</si>
  <si>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</si>
  <si>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</si>
  <si>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</si>
  <si>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</si>
  <si>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</si>
  <si>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</si>
  <si>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</si>
  <si>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</si>
  <si>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</si>
  <si>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</si>
  <si>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</si>
  <si>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</si>
  <si>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</si>
  <si>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</si>
  <si>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</si>
  <si>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</si>
  <si>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</si>
  <si>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</si>
  <si>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</si>
  <si>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</si>
  <si>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</si>
  <si>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</si>
  <si>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</si>
  <si>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</si>
  <si>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</si>
  <si>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</si>
  <si>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</si>
  <si>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</si>
  <si>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</si>
  <si>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</si>
  <si>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</si>
  <si>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</si>
  <si>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</si>
  <si>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</si>
  <si>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</si>
  <si>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</si>
  <si>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</si>
  <si>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</si>
  <si>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</si>
  <si>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</si>
  <si>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</si>
  <si>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</si>
  <si>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</si>
  <si>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</si>
  <si>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</si>
  <si>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</si>
  <si>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</si>
  <si>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</si>
  <si>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</si>
  <si>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</si>
  <si>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</si>
  <si>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</si>
  <si>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</si>
  <si>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</si>
  <si>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</si>
  <si>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</si>
  <si>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</si>
  <si>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</si>
  <si>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</si>
  <si>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</si>
  <si>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</si>
  <si>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</si>
  <si>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</si>
  <si>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</si>
  <si>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</si>
  <si>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</si>
  <si>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</si>
  <si>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</si>
  <si>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</si>
  <si>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</si>
  <si>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</si>
  <si>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</si>
  <si>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</si>
  <si>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</si>
  <si>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</si>
  <si>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</si>
  <si>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</si>
  <si>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</si>
  <si>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</si>
  <si>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</si>
  <si>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</si>
  <si>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</si>
  <si>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</si>
  <si>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</si>
  <si>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</si>
  <si>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</si>
  <si>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</si>
  <si>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</si>
  <si>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</si>
  <si>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</si>
  <si>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</si>
  <si>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</si>
  <si>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</si>
  <si>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</si>
  <si>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</si>
  <si>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</si>
  <si>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</si>
  <si>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</si>
  <si>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</si>
  <si>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</si>
  <si>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</si>
  <si>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</si>
  <si>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</si>
  <si>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</si>
  <si>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</si>
  <si>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</si>
  <si>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</si>
  <si>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</si>
  <si>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</si>
  <si>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</si>
  <si>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</si>
  <si>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</si>
  <si>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</si>
  <si>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</si>
  <si>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</si>
  <si>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</si>
  <si>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</si>
  <si>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</si>
  <si>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</si>
  <si>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</si>
  <si>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</si>
  <si>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</si>
  <si>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</si>
  <si>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</si>
  <si>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</si>
  <si>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</si>
  <si>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</si>
  <si>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</si>
  <si>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</si>
  <si>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</si>
  <si>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</si>
  <si>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</si>
  <si>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</si>
  <si>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</si>
  <si>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</si>
  <si>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</si>
  <si>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</si>
  <si>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</si>
  <si>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</si>
  <si>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</si>
  <si>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</si>
  <si>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</si>
  <si>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</si>
  <si>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</si>
  <si>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</si>
  <si>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</si>
  <si>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</si>
  <si>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</si>
  <si>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</si>
  <si>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</si>
  <si>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</si>
  <si>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</si>
  <si>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</si>
  <si>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</si>
  <si>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</si>
  <si>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</si>
  <si>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</si>
  <si>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</si>
  <si>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</si>
  <si>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</si>
  <si>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</si>
  <si>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</si>
  <si>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</si>
  <si>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</si>
  <si>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</si>
  <si>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</si>
  <si>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</si>
  <si>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</si>
  <si>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</si>
  <si>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</si>
  <si>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</si>
  <si>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</si>
  <si>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</si>
  <si>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</si>
  <si>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</si>
  <si>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</si>
  <si>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</si>
  <si>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</si>
  <si>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</si>
  <si>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</si>
  <si>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</si>
  <si>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</si>
  <si>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</si>
  <si>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</si>
  <si>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</si>
  <si>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</si>
  <si>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</si>
  <si>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</si>
  <si>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</si>
  <si>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</si>
  <si>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</si>
  <si>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</si>
  <si>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</si>
  <si>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</si>
  <si>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</si>
  <si>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</si>
  <si>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</si>
  <si>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</si>
  <si>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</si>
  <si>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</si>
  <si>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</si>
  <si>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</si>
  <si>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</si>
  <si>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</si>
  <si>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</si>
  <si>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</si>
  <si>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</si>
  <si>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</si>
  <si>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</si>
  <si>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</si>
  <si>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</si>
  <si>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</si>
  <si>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</si>
  <si>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</si>
  <si>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</si>
  <si>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</si>
  <si>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</si>
  <si>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</si>
  <si>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</si>
  <si>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</si>
  <si>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</si>
  <si>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</si>
  <si>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</si>
  <si>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</si>
  <si>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</si>
  <si>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</si>
  <si>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</si>
  <si>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</si>
  <si>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</si>
  <si>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</si>
  <si>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</si>
  <si>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</si>
  <si>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</si>
  <si>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</si>
  <si>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</si>
  <si>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</si>
  <si>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</si>
  <si>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</si>
  <si>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</si>
  <si>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</si>
  <si>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</si>
  <si>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</si>
  <si>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</si>
  <si>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</si>
  <si>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</si>
  <si>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</si>
  <si>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</si>
  <si>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</si>
  <si>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</si>
  <si>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</si>
  <si>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</si>
  <si>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</si>
  <si>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</si>
  <si>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</si>
  <si>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</si>
  <si>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</si>
  <si>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</si>
  <si>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</si>
  <si>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</si>
  <si>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</si>
  <si>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</si>
  <si>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</si>
  <si>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</si>
  <si>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</si>
  <si>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</si>
  <si>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</si>
  <si>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</si>
  <si>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</si>
  <si>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</si>
  <si>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</si>
  <si>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</si>
  <si>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</si>
  <si>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</si>
  <si>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</si>
  <si>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</si>
  <si>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</si>
  <si>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</si>
  <si>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</si>
  <si>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</si>
  <si>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</si>
  <si>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</si>
  <si>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</si>
  <si>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</si>
  <si>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</si>
  <si>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</si>
  <si>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</si>
  <si>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</si>
  <si>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</si>
  <si>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</si>
  <si>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</si>
  <si>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</si>
  <si>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</si>
  <si>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</si>
  <si>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</si>
  <si>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</si>
  <si>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</si>
  <si>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</si>
  <si>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</si>
  <si>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</si>
  <si>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</si>
  <si>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</si>
  <si>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</si>
  <si>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</si>
  <si>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</si>
  <si>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</si>
  <si>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</si>
  <si>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</si>
  <si>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</si>
  <si>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</si>
  <si>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</si>
  <si>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</si>
  <si>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</si>
  <si>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</si>
  <si>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</si>
  <si>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</si>
  <si>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</si>
  <si>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</si>
  <si>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</si>
  <si>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</si>
  <si>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</si>
  <si>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</si>
  <si>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</si>
  <si>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</si>
  <si>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</si>
  <si>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</si>
  <si>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</si>
  <si>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</si>
  <si>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</si>
  <si>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</si>
  <si>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</si>
  <si>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</si>
  <si>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</si>
  <si>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</si>
  <si>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</si>
  <si>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</si>
  <si>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</si>
  <si>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</si>
  <si>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</si>
  <si>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</si>
  <si>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</si>
  <si>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</si>
  <si>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</si>
  <si>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</si>
  <si>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</si>
  <si>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</si>
  <si>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</si>
  <si>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</si>
  <si>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</si>
  <si>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</si>
  <si>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</si>
  <si>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</si>
  <si>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</si>
  <si>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</si>
  <si>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</si>
  <si>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</si>
  <si>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</si>
  <si>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</si>
  <si>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</si>
  <si>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</si>
  <si>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</si>
  <si>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</si>
  <si>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</si>
  <si>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</si>
  <si>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</si>
  <si>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</si>
  <si>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</si>
  <si>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</si>
  <si>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</si>
  <si>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</si>
  <si>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</si>
  <si>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</si>
  <si>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</si>
  <si>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</si>
  <si>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</si>
  <si>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</si>
  <si>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</si>
  <si>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</si>
  <si>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</si>
  <si>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</si>
  <si>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</si>
  <si>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</si>
  <si>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</si>
  <si>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</si>
  <si>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</si>
  <si>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</si>
  <si>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</si>
  <si>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</si>
  <si>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</si>
  <si>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</si>
  <si>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</si>
  <si>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</si>
  <si>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</si>
  <si>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</si>
  <si>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</si>
  <si>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</si>
  <si>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</si>
  <si>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</si>
  <si>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</si>
  <si>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</si>
  <si>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</si>
  <si>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</si>
  <si>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</si>
  <si>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</si>
  <si>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</si>
  <si>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</si>
  <si>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</si>
  <si>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</si>
  <si>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</si>
  <si>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</si>
  <si>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</si>
  <si>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</si>
  <si>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</si>
  <si>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</si>
  <si>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</si>
  <si>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</si>
  <si>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</si>
  <si>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</si>
  <si>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</si>
  <si>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</si>
  <si>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</si>
  <si>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</si>
  <si>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</si>
  <si>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</si>
  <si>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</si>
  <si>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</si>
  <si>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</si>
  <si>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</si>
  <si>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</si>
  <si>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</si>
  <si>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</si>
  <si>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</si>
  <si>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</si>
  <si>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</si>
  <si>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</si>
  <si>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</si>
  <si>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</si>
  <si>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</si>
  <si>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</si>
  <si>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</si>
  <si>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</si>
  <si>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</si>
  <si>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</si>
  <si>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</si>
  <si>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</si>
  <si>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</si>
  <si>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</si>
  <si>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</si>
  <si>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</si>
  <si>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</si>
  <si>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</si>
  <si>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</si>
  <si>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</si>
  <si>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</si>
  <si>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</si>
  <si>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</si>
  <si>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</si>
  <si>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</si>
  <si>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</si>
  <si>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</si>
  <si>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</si>
  <si>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</si>
  <si>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</si>
  <si>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</si>
  <si>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</si>
  <si>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</si>
  <si>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</si>
  <si>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</si>
  <si>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</si>
  <si>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</si>
  <si>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</si>
  <si>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</si>
  <si>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</si>
  <si>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</si>
  <si>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</si>
  <si>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</si>
  <si>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</si>
  <si>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</si>
  <si>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</si>
  <si>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</si>
  <si>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</si>
  <si>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</si>
  <si>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</si>
  <si>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</si>
  <si>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</si>
  <si>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</si>
  <si>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</si>
  <si>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</si>
  <si>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</si>
  <si>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</si>
  <si>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</si>
  <si>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</si>
  <si>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</si>
  <si>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</si>
  <si>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</si>
  <si>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</si>
  <si>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</si>
  <si>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</si>
  <si>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</si>
  <si>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</si>
  <si>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</si>
  <si>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</si>
  <si>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</si>
  <si>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</si>
  <si>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</si>
  <si>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</si>
  <si>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</si>
  <si>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</si>
  <si>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</si>
  <si>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</si>
  <si>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</si>
  <si>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</si>
  <si>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</si>
  <si>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</si>
  <si>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</si>
  <si>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</si>
  <si>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</si>
  <si>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</si>
  <si>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</si>
  <si>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</si>
  <si>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</si>
  <si>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</si>
  <si>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</si>
  <si>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</si>
  <si>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</si>
  <si>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</si>
  <si>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</si>
  <si>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</si>
  <si>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</si>
  <si>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</si>
  <si>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</si>
  <si>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</si>
  <si>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</si>
  <si>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</si>
  <si>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</si>
  <si>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</si>
  <si>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</si>
  <si>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</si>
  <si>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</si>
  <si>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</si>
  <si>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</si>
  <si>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</si>
  <si>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</si>
  <si>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</si>
  <si>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</si>
  <si>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</si>
  <si>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</si>
  <si>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</si>
  <si>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</si>
  <si>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</si>
  <si>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</si>
  <si>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</si>
  <si>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</si>
  <si>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</si>
  <si>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</si>
  <si>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</si>
  <si>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</si>
  <si>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</si>
  <si>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</si>
  <si>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</si>
  <si>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</si>
  <si>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</si>
  <si>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</si>
  <si>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</si>
  <si>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</si>
  <si>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</si>
  <si>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</si>
  <si>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</si>
  <si>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</si>
  <si>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</si>
  <si>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</si>
  <si>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</si>
  <si>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</si>
  <si>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</si>
  <si>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</si>
  <si>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</si>
  <si>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</si>
  <si>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</si>
  <si>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</si>
  <si>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</si>
  <si>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</si>
  <si>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</si>
  <si>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</si>
  <si>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</si>
  <si>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</si>
  <si>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</si>
  <si>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</si>
  <si>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</si>
  <si>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</si>
  <si>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</si>
  <si>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</si>
  <si>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</si>
  <si>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</si>
  <si>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</si>
  <si>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</si>
  <si>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</si>
  <si>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</si>
  <si>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</si>
  <si>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</si>
  <si>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</si>
  <si>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</si>
  <si>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</si>
  <si>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</si>
  <si>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</si>
  <si>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</si>
  <si>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</si>
  <si>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</si>
  <si>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</si>
  <si>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</si>
  <si>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</si>
  <si>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</si>
  <si>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</si>
  <si>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</si>
  <si>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</si>
  <si>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</si>
  <si>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</si>
  <si>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</si>
  <si>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</si>
  <si>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</si>
  <si>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</si>
  <si>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</si>
  <si>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</si>
  <si>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</si>
  <si>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</si>
  <si>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</si>
  <si>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</si>
  <si>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</si>
  <si>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</si>
  <si>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</si>
  <si>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</si>
  <si>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</si>
  <si>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</si>
  <si>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</si>
  <si>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</si>
  <si>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</si>
  <si>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</si>
  <si>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</si>
  <si>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</si>
  <si>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</si>
  <si>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</si>
  <si>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</si>
  <si>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</si>
  <si>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</si>
  <si>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</si>
  <si>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</si>
  <si>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</si>
  <si>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</si>
  <si>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</si>
  <si>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</si>
  <si>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</si>
  <si>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</si>
  <si>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</si>
  <si>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</si>
  <si>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</si>
  <si>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</si>
  <si>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</si>
  <si>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</si>
  <si>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</si>
  <si>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</si>
  <si>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</si>
  <si>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</si>
  <si>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</si>
  <si>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</si>
  <si>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</si>
  <si>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</si>
  <si>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</si>
  <si>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</si>
  <si>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</si>
  <si>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</si>
  <si>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</si>
  <si>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</si>
  <si>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</si>
  <si>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</si>
  <si>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</si>
  <si>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</si>
  <si>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</si>
  <si>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</si>
  <si>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</si>
  <si>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</si>
  <si>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</si>
  <si>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</si>
  <si>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</si>
  <si>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</si>
  <si>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</si>
  <si>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</si>
  <si>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</si>
  <si>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</si>
  <si>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</si>
  <si>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</si>
  <si>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</si>
  <si>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</si>
  <si>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</si>
  <si>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</si>
  <si>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</si>
  <si>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</si>
  <si>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</si>
  <si>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</si>
  <si>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</si>
  <si>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</si>
  <si>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</si>
  <si>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</si>
  <si>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</si>
  <si>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</si>
  <si>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</si>
  <si>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</si>
  <si>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</si>
  <si>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</si>
  <si>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</si>
  <si>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</si>
  <si>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</si>
  <si>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</si>
  <si>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</si>
  <si>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</si>
  <si>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</si>
  <si>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</si>
  <si>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</si>
  <si>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</si>
  <si>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</si>
  <si>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</si>
  <si>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</si>
  <si>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</si>
  <si>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</si>
  <si>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</si>
  <si>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</si>
  <si>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</si>
  <si>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</si>
  <si>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</si>
  <si>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</si>
  <si>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</si>
  <si>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</si>
  <si>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</si>
  <si>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</si>
  <si>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</si>
  <si>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</si>
  <si>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</si>
  <si>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</si>
  <si>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</si>
  <si>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</si>
  <si>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</si>
  <si>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</si>
  <si>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</si>
  <si>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</si>
  <si>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</si>
  <si>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</si>
  <si>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</si>
  <si>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</si>
  <si>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</si>
  <si>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</si>
  <si>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</si>
  <si>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</si>
  <si>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</si>
  <si>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</si>
  <si>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</si>
  <si>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</si>
  <si>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</si>
  <si>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</si>
  <si>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</si>
  <si>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</si>
  <si>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</si>
  <si>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</si>
  <si>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</si>
  <si>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</si>
  <si>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</si>
  <si>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</si>
  <si>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</si>
  <si>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</si>
  <si>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</si>
  <si>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</si>
  <si>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</si>
  <si>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</si>
  <si>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</si>
  <si>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</si>
  <si>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</si>
  <si>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</si>
  <si>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</si>
  <si>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</si>
  <si>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</si>
  <si>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</si>
  <si>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</si>
  <si>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</si>
  <si>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</si>
  <si>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</si>
  <si>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</si>
  <si>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</si>
  <si>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</si>
  <si>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</si>
  <si>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</si>
  <si>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</si>
  <si>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</si>
  <si>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</si>
  <si>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</si>
  <si>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</si>
  <si>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</si>
  <si>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</si>
  <si>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</si>
  <si>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</si>
  <si>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</si>
  <si>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</si>
  <si>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</si>
  <si>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</si>
  <si>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</si>
  <si>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</si>
  <si>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</si>
  <si>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</si>
  <si>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</si>
  <si>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</si>
  <si>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</si>
  <si>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</si>
  <si>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</si>
  <si>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</si>
  <si>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</si>
  <si>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</si>
  <si>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</si>
  <si>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</si>
  <si>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</si>
  <si>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</si>
  <si>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</si>
  <si>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</si>
  <si>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</si>
  <si>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</si>
  <si>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</si>
  <si>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</si>
  <si>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</si>
  <si>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</si>
  <si>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</si>
  <si>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</si>
  <si>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</si>
  <si>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</si>
  <si>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</si>
  <si>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</si>
  <si>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</si>
  <si>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</si>
  <si>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</si>
  <si>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</si>
  <si>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</si>
  <si>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</si>
  <si>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</si>
  <si>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</si>
  <si>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</si>
  <si>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</si>
  <si>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</si>
  <si>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</si>
  <si>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</si>
  <si>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</si>
  <si>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</si>
  <si>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</si>
  <si>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</si>
  <si>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</si>
  <si>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</si>
  <si>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</si>
  <si>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</si>
  <si>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</si>
  <si>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</si>
  <si>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</si>
  <si>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</si>
  <si>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</si>
  <si>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</si>
  <si>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</si>
  <si>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</si>
  <si>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</si>
  <si>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</si>
  <si>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</si>
  <si>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</si>
  <si>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</si>
  <si>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</si>
  <si>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</si>
  <si>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</si>
  <si>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</si>
  <si>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</si>
  <si>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</si>
  <si>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</si>
  <si>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</si>
  <si>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</si>
  <si>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</si>
  <si>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</si>
  <si>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</si>
  <si>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</si>
  <si>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</si>
  <si>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</si>
  <si>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</si>
  <si>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</si>
  <si>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</si>
  <si>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</si>
  <si>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</si>
  <si>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</si>
  <si>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</si>
  <si>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</si>
  <si>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</si>
  <si>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</si>
  <si>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</si>
  <si>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</si>
  <si>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</si>
  <si>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</si>
  <si>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</si>
  <si>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</si>
  <si>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</si>
  <si>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</si>
  <si>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</si>
  <si>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</si>
  <si>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</si>
  <si>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</si>
  <si>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</si>
  <si>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</si>
  <si>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</si>
  <si>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</si>
  <si>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</si>
  <si>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</si>
  <si>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</si>
  <si>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</si>
  <si>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</si>
  <si>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</si>
  <si>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</si>
  <si>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</si>
  <si>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</si>
  <si>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</si>
  <si>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</si>
  <si>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</si>
  <si>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</si>
  <si>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</si>
  <si>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</si>
  <si>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</si>
  <si>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</si>
  <si>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</si>
  <si>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</si>
  <si>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</si>
  <si>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</si>
  <si>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</si>
  <si>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</si>
  <si>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</si>
  <si>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</si>
  <si>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</si>
  <si>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</si>
  <si>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</si>
  <si>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</si>
  <si>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</si>
  <si>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</si>
  <si>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</si>
  <si>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</si>
  <si>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</si>
  <si>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</si>
  <si>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</si>
  <si>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</si>
  <si>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</si>
  <si>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</si>
  <si>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</si>
  <si>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</si>
  <si>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</si>
  <si>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</si>
  <si>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</si>
  <si>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</si>
  <si>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</si>
  <si>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</si>
  <si>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</si>
  <si>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</si>
  <si>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</si>
  <si>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</si>
  <si>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</si>
  <si>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</si>
  <si>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</si>
  <si>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</si>
  <si>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</si>
  <si>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</si>
  <si>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</si>
  <si>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</si>
  <si>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</si>
  <si>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</si>
  <si>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</si>
  <si>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</si>
  <si>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</si>
  <si>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</si>
  <si>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</si>
  <si>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</si>
  <si>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</si>
  <si>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</si>
  <si>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</si>
  <si>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</si>
  <si>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</si>
  <si>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</si>
  <si>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</si>
  <si>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</si>
  <si>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</si>
  <si>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</si>
  <si>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</si>
  <si>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</si>
  <si>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</si>
  <si>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</si>
  <si>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</si>
  <si>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</si>
  <si>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</si>
  <si>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</si>
  <si>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</si>
  <si>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</si>
  <si>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</si>
  <si>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</si>
  <si>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</si>
  <si>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</si>
  <si>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</si>
  <si>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</si>
  <si>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</si>
  <si>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</si>
  <si>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</si>
  <si>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</si>
  <si>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</si>
  <si>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</si>
  <si>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</si>
  <si>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</si>
  <si>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</si>
  <si>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</si>
  <si>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</si>
  <si>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</si>
  <si>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</si>
  <si>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</si>
  <si>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</si>
  <si>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</si>
  <si>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</si>
  <si>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</si>
  <si>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</si>
  <si>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</si>
  <si>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</si>
  <si>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</si>
  <si>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</si>
  <si>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</si>
  <si>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</si>
  <si>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</si>
  <si>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</si>
  <si>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</si>
  <si>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</si>
  <si>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</si>
  <si>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</si>
  <si>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</si>
  <si>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</si>
  <si>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</si>
  <si>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</si>
  <si>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</si>
  <si>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</si>
  <si>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</si>
  <si>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</si>
  <si>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</si>
  <si>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</si>
  <si>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</si>
  <si>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</si>
  <si>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</si>
  <si>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</si>
  <si>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</si>
  <si>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</si>
  <si>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</si>
  <si>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</si>
  <si>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</si>
  <si>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</si>
  <si>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</si>
  <si>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</si>
  <si>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</si>
  <si>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</si>
  <si>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</si>
  <si>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</si>
  <si>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</si>
  <si>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</si>
  <si>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</si>
  <si>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</si>
  <si>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</si>
  <si>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</si>
  <si>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</si>
  <si>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</si>
  <si>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</si>
  <si>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</si>
  <si>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</si>
  <si>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</si>
  <si>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</si>
  <si>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</si>
  <si>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</si>
  <si>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</si>
  <si>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</si>
  <si>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</si>
  <si>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</si>
  <si>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</si>
  <si>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</si>
  <si>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</si>
  <si>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</si>
  <si>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</si>
  <si>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</si>
  <si>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</si>
  <si>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</si>
  <si>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</si>
  <si>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</si>
  <si>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</si>
  <si>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</si>
  <si>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</si>
  <si>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</si>
  <si>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</si>
  <si>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</si>
  <si>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</si>
  <si>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</si>
  <si>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</si>
  <si>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</si>
  <si>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</si>
  <si>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</si>
  <si>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</si>
  <si>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</si>
  <si>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</si>
  <si>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</si>
  <si>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</si>
  <si>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</si>
  <si>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</si>
  <si>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</si>
  <si>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</si>
  <si>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</si>
  <si>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</si>
  <si>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</si>
  <si>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</si>
  <si>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</si>
  <si>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</si>
  <si>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</si>
  <si>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</si>
  <si>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</si>
  <si>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</si>
  <si>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</si>
  <si>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</si>
  <si>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</si>
  <si>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</si>
  <si>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</si>
  <si>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</si>
  <si>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</si>
  <si>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</si>
  <si>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</si>
  <si>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</si>
  <si>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</si>
  <si>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</si>
  <si>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</si>
  <si>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</si>
  <si>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</si>
  <si>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</si>
  <si>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</si>
  <si>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</si>
  <si>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</si>
  <si>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</si>
  <si>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</si>
  <si>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</si>
  <si>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</si>
  <si>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</si>
  <si>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</si>
  <si>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</si>
  <si>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</si>
  <si>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</si>
  <si>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</si>
  <si>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</si>
  <si>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</si>
  <si>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</si>
  <si>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</si>
  <si>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</si>
  <si>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</si>
  <si>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</si>
  <si>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</si>
  <si>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</si>
  <si>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</si>
  <si>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</si>
  <si>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</si>
  <si>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</si>
  <si>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</si>
  <si>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</si>
  <si>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</si>
  <si>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</si>
  <si>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</si>
  <si>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</si>
  <si>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</si>
  <si>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</si>
  <si>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</si>
  <si>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</si>
  <si>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</si>
  <si>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</si>
  <si>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</si>
  <si>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</si>
  <si>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</si>
  <si>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</si>
  <si>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</si>
  <si>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</si>
  <si>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</si>
  <si>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</si>
  <si>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</si>
  <si>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</si>
  <si>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</si>
  <si>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</si>
  <si>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</si>
  <si>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</si>
  <si>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</si>
  <si>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</si>
  <si>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</si>
  <si>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</si>
  <si>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</si>
  <si>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</si>
  <si>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</si>
  <si>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</si>
  <si>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</si>
  <si>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</si>
  <si>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</si>
  <si>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</si>
  <si>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</si>
  <si>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</si>
  <si>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</si>
  <si>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</si>
  <si>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</si>
  <si>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</si>
  <si>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</si>
  <si>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</si>
  <si>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</si>
  <si>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</si>
  <si>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</si>
  <si>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</si>
  <si>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</si>
  <si>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</si>
  <si>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</si>
  <si>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</si>
  <si>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</si>
  <si>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</si>
  <si>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</si>
  <si>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</si>
  <si>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</si>
  <si>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</si>
  <si>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</si>
  <si>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</si>
  <si>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</si>
  <si>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</si>
  <si>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</si>
  <si>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</si>
  <si>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</si>
  <si>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</si>
  <si>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</si>
  <si>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</si>
  <si>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</si>
  <si>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</si>
  <si>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</si>
  <si>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</si>
  <si>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</si>
  <si>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</si>
  <si>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</si>
  <si>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</si>
  <si>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</si>
  <si>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</si>
  <si>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</si>
  <si>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</si>
  <si>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</si>
  <si>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</si>
  <si>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</si>
  <si>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</si>
  <si>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</si>
  <si>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</si>
  <si>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</si>
  <si>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</si>
  <si>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</si>
  <si>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</si>
  <si>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</si>
  <si>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</si>
  <si>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</si>
  <si>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</si>
  <si>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</si>
  <si>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</si>
  <si>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</si>
  <si>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</si>
  <si>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</si>
  <si>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</si>
  <si>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</si>
  <si>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</si>
  <si>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</si>
  <si>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</si>
  <si>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</si>
  <si>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</si>
  <si>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</si>
  <si>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</si>
  <si>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</si>
  <si>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</si>
  <si>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</si>
  <si>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</si>
  <si>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</si>
  <si>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</si>
  <si>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</si>
  <si>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</si>
  <si>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</si>
  <si>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</si>
  <si>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</si>
  <si>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</si>
  <si>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</si>
  <si>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</si>
  <si>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</si>
  <si>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</si>
  <si>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</si>
  <si>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</si>
  <si>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</si>
  <si>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</si>
  <si>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</si>
  <si>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</si>
  <si>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</si>
  <si>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</si>
  <si>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</si>
  <si>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</si>
  <si>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</si>
  <si>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</si>
  <si>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</si>
  <si>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</si>
  <si>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</si>
  <si>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</si>
  <si>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</si>
  <si>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</si>
  <si>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</si>
  <si>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</si>
  <si>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</si>
  <si>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</si>
  <si>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</si>
  <si>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</si>
  <si>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</si>
  <si>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</si>
  <si>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</si>
  <si>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</si>
  <si>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</si>
  <si>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</si>
  <si>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</si>
  <si>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</si>
  <si>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</si>
  <si>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</si>
  <si>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</si>
  <si>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</si>
  <si>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</si>
  <si>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</si>
  <si>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</si>
  <si>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</si>
  <si>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</si>
  <si>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</si>
  <si>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</si>
  <si>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</si>
  <si>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</si>
  <si>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</si>
  <si>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</si>
  <si>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</si>
  <si>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</si>
  <si>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</si>
  <si>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</si>
  <si>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</si>
  <si>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</si>
  <si>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</si>
  <si>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</si>
  <si>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</si>
  <si>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</si>
  <si>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</si>
  <si>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</si>
  <si>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</si>
  <si>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</si>
  <si>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</si>
  <si>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</si>
  <si>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</si>
  <si>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</si>
  <si>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</si>
  <si>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</si>
  <si>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</si>
  <si>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</si>
  <si>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</si>
  <si>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</si>
  <si>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</si>
  <si>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</si>
  <si>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</si>
  <si>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</si>
  <si>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</si>
  <si>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</si>
  <si>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</si>
  <si>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</si>
  <si>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</si>
  <si>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</si>
  <si>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</si>
  <si>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</si>
  <si>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</si>
  <si>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</si>
  <si>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</si>
  <si>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</si>
  <si>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</si>
  <si>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</si>
  <si>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</si>
  <si>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</si>
  <si>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</si>
  <si>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</si>
  <si>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</si>
  <si>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</si>
  <si>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</si>
  <si>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</si>
  <si>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</si>
  <si>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</si>
  <si>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</si>
  <si>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</si>
  <si>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</si>
  <si>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</si>
  <si>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</si>
  <si>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</si>
  <si>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</si>
  <si>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</si>
  <si>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</si>
  <si>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</si>
  <si>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</si>
  <si>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</si>
  <si>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</si>
  <si>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</si>
  <si>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</si>
  <si>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</si>
  <si>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</si>
  <si>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</si>
  <si>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</si>
  <si>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</si>
  <si>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</si>
  <si>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</si>
  <si>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</si>
  <si>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</si>
  <si>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</si>
  <si>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</si>
  <si>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</si>
  <si>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</si>
  <si>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</si>
  <si>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</si>
  <si>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</si>
  <si>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</si>
  <si>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</si>
  <si>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</si>
  <si>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</si>
  <si>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</si>
  <si>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</si>
  <si>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</si>
  <si>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</si>
  <si>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</si>
  <si>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</si>
  <si>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</si>
  <si>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</si>
  <si>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</si>
  <si>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</si>
  <si>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</si>
  <si>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</si>
  <si>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</si>
  <si>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</si>
  <si>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</si>
  <si>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</si>
  <si>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</si>
  <si>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</si>
  <si>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</si>
  <si>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</si>
  <si>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</si>
  <si>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</si>
  <si>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</si>
  <si>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</si>
  <si>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</si>
  <si>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</si>
  <si>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</si>
  <si>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</si>
  <si>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</si>
  <si>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</si>
  <si>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</si>
  <si>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</si>
  <si>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</si>
  <si>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</si>
  <si>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</si>
  <si>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</si>
  <si>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</si>
  <si>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</si>
  <si>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</si>
  <si>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</si>
  <si>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</si>
  <si>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</si>
  <si>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</si>
  <si>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</si>
  <si>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</si>
  <si>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</si>
  <si>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</si>
  <si>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</si>
  <si>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</si>
  <si>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</si>
  <si>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</si>
  <si>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</si>
  <si>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</si>
  <si>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</si>
  <si>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</si>
  <si>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</si>
  <si>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</si>
  <si>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</si>
  <si>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</si>
  <si>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</si>
  <si>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</si>
  <si>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</si>
  <si>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</si>
  <si>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</si>
  <si>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</si>
  <si>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</si>
  <si>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</si>
  <si>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</si>
  <si>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</si>
  <si>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</si>
  <si>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</si>
  <si>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</si>
  <si>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</si>
  <si>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</si>
  <si>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</si>
  <si>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</si>
  <si>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</si>
  <si>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</si>
  <si>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</si>
  <si>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</si>
  <si>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</si>
  <si>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</si>
  <si>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</si>
  <si>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</si>
  <si>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</si>
  <si>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</si>
  <si>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</si>
  <si>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</si>
  <si>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</si>
  <si>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</si>
  <si>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</si>
  <si>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</si>
  <si>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</si>
  <si>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</si>
  <si>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</si>
  <si>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</si>
  <si>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</si>
  <si>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</si>
  <si>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</si>
  <si>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</si>
  <si>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</si>
  <si>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</si>
  <si>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</si>
  <si>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</si>
  <si>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</si>
  <si>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</si>
  <si>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</si>
  <si>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</si>
  <si>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</si>
  <si>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</si>
  <si>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</si>
  <si>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</si>
  <si>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</si>
  <si>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</si>
  <si>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</si>
  <si>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</si>
  <si>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</si>
  <si>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</si>
  <si>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</si>
  <si>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</si>
  <si>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</si>
  <si>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</si>
  <si>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</si>
  <si>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</si>
  <si>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</si>
  <si>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</si>
  <si>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</si>
  <si>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</si>
  <si>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</si>
  <si>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</si>
  <si>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</si>
  <si>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</si>
  <si>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</si>
  <si>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</si>
  <si>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</si>
  <si>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</si>
  <si>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</si>
  <si>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</si>
  <si>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</si>
  <si>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</si>
  <si>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</si>
  <si>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</si>
  <si>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</si>
  <si>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</si>
  <si>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</si>
  <si>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</si>
  <si>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</si>
  <si>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</si>
  <si>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</si>
  <si>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</si>
  <si>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</si>
  <si>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</si>
  <si>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</si>
  <si>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</si>
  <si>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</si>
  <si>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</si>
  <si>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</si>
  <si>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</si>
  <si>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</si>
  <si>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</si>
  <si>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</si>
  <si>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</si>
  <si>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</si>
  <si>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</si>
  <si>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</si>
  <si>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</si>
  <si>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</si>
  <si>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</si>
  <si>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</si>
  <si>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</si>
  <si>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</si>
  <si>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</si>
  <si>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</si>
  <si>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</si>
  <si>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</si>
  <si>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</si>
  <si>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</si>
  <si>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</si>
  <si>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</si>
  <si>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</si>
  <si>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</si>
  <si>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</si>
  <si>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</si>
  <si>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</si>
  <si>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</si>
  <si>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</si>
  <si>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</si>
  <si>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</si>
  <si>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</si>
  <si>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</si>
  <si>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</si>
  <si>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</si>
  <si>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</si>
  <si>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</si>
  <si>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</si>
  <si>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</si>
  <si>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</si>
  <si>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</si>
  <si>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</si>
  <si>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</si>
  <si>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</si>
  <si>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</si>
  <si>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</si>
  <si>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</si>
  <si>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</si>
  <si>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</si>
  <si>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</si>
  <si>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</si>
  <si>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</si>
  <si>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</si>
  <si>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</si>
  <si>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</si>
  <si>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</si>
  <si>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</si>
  <si>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</si>
  <si>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</si>
  <si>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</si>
  <si>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</si>
  <si>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</si>
  <si>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</si>
  <si>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</si>
  <si>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</si>
  <si>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</si>
  <si>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</si>
  <si>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</si>
  <si>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</si>
  <si>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</si>
  <si>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</si>
  <si>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</si>
  <si>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</si>
  <si>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</si>
  <si>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</si>
  <si>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</si>
  <si>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</si>
  <si>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</si>
  <si>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</si>
  <si>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</si>
  <si>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</si>
  <si>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</si>
  <si>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</si>
  <si>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</si>
  <si>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</si>
  <si>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</si>
  <si>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</si>
  <si>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</si>
  <si>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</si>
  <si>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</si>
  <si>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</si>
  <si>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</si>
  <si>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</si>
  <si>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</si>
  <si>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</si>
  <si>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</si>
  <si>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</si>
  <si>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</si>
  <si>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</si>
  <si>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</si>
  <si>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</si>
  <si>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</si>
  <si>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</si>
  <si>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</si>
  <si>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</si>
  <si>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</si>
  <si>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</si>
  <si>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</si>
  <si>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</si>
  <si>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</si>
  <si>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</si>
  <si>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</si>
  <si>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</si>
  <si>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</si>
  <si>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</si>
  <si>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</si>
  <si>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</si>
  <si>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</si>
  <si>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</si>
  <si>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</si>
  <si>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</si>
  <si>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</si>
  <si>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</si>
  <si>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</si>
  <si>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</si>
  <si>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</si>
  <si>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</si>
  <si>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</si>
  <si>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</si>
  <si>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</si>
  <si>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</si>
  <si>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</si>
  <si>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</si>
  <si>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</si>
  <si>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</si>
  <si>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</si>
  <si>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</si>
  <si>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</si>
  <si>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</si>
  <si>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</si>
  <si>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</si>
  <si>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</si>
  <si>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</si>
  <si>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</si>
  <si>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</si>
  <si>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</si>
  <si>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</si>
  <si>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</si>
  <si>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</si>
  <si>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</si>
  <si>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</si>
  <si>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</si>
  <si>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</si>
  <si>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</si>
  <si>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</si>
  <si>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</si>
  <si>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</si>
  <si>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</si>
  <si>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</si>
  <si>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</si>
  <si>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</si>
  <si>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</si>
  <si>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</si>
  <si>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</si>
  <si>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</si>
  <si>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</si>
  <si>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</si>
  <si>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</si>
  <si>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</si>
  <si>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</si>
  <si>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</si>
  <si>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</si>
  <si>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</si>
  <si>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</si>
  <si>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</si>
  <si>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</si>
  <si>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</si>
  <si>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</si>
  <si>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</si>
  <si>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</si>
  <si>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</si>
  <si>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</si>
  <si>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</si>
  <si>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</si>
  <si>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</si>
  <si>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</si>
  <si>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</si>
  <si>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</si>
  <si>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</si>
  <si>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</si>
  <si>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</si>
  <si>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</si>
  <si>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</si>
  <si>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</si>
  <si>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</si>
  <si>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</si>
  <si>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</si>
  <si>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</si>
  <si>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</si>
  <si>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</si>
  <si>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</si>
  <si>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</si>
  <si>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</si>
  <si>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</si>
  <si>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</si>
  <si>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</si>
  <si>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</si>
  <si>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</si>
  <si>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</si>
  <si>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</si>
  <si>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</si>
  <si>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</si>
  <si>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</si>
  <si>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</si>
  <si>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</si>
  <si>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</si>
  <si>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</si>
  <si>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</si>
  <si>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</si>
  <si>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</si>
  <si>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</si>
  <si>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</si>
  <si>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</si>
  <si>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</si>
  <si>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</si>
  <si>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</si>
  <si>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</si>
  <si>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</si>
  <si>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</si>
  <si>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</si>
  <si>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</si>
  <si>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</si>
  <si>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</si>
  <si>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</si>
  <si>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</si>
  <si>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</si>
  <si>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</si>
  <si>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</si>
  <si>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</si>
  <si>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</si>
  <si>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</si>
  <si>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</si>
  <si>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</si>
  <si>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</si>
  <si>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</si>
  <si>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</si>
  <si>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</si>
  <si>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</si>
  <si>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</si>
  <si>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</si>
  <si>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</si>
  <si>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</si>
  <si>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</si>
  <si>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</si>
  <si>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</si>
  <si>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</si>
  <si>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</si>
  <si>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</si>
  <si>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</si>
  <si>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</si>
  <si>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</si>
  <si>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</si>
  <si>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</si>
  <si>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</si>
  <si>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</si>
  <si>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</si>
  <si>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</si>
  <si>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</si>
  <si>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</si>
  <si>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</si>
  <si>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</si>
  <si>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</si>
  <si>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</si>
  <si>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</si>
  <si>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</si>
  <si>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</si>
  <si>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</si>
  <si>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</si>
  <si>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</si>
  <si>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</si>
  <si>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</si>
  <si>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</si>
  <si>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</si>
  <si>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</si>
  <si>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</si>
  <si>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</si>
  <si>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</si>
  <si>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</si>
  <si>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</si>
  <si>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</si>
  <si>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</si>
  <si>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</si>
  <si>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</si>
  <si>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</si>
  <si>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</si>
  <si>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</si>
  <si>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</si>
  <si>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</si>
  <si>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</si>
  <si>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</si>
  <si>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</si>
  <si>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</si>
  <si>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</si>
  <si>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</si>
  <si>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</si>
  <si>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</si>
  <si>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</si>
  <si>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</si>
  <si>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</si>
  <si>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</si>
  <si>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</si>
  <si>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</si>
  <si>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</si>
  <si>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</si>
  <si>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</si>
  <si>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</si>
  <si>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</si>
  <si>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</si>
  <si>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</si>
  <si>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</si>
  <si>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</si>
  <si>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</si>
  <si>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</si>
  <si>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</si>
  <si>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</si>
  <si>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</si>
  <si>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</si>
  <si>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</si>
  <si>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</si>
  <si>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</si>
  <si>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</si>
  <si>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</si>
  <si>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</si>
  <si>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</si>
  <si>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</si>
  <si>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</si>
  <si>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</si>
  <si>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</si>
  <si>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</si>
  <si>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</si>
  <si>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</si>
  <si>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</si>
  <si>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</si>
  <si>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</si>
  <si>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</si>
  <si>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</si>
  <si>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</si>
  <si>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</si>
  <si>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</si>
  <si>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</si>
  <si>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</si>
  <si>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</si>
  <si>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</si>
  <si>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</si>
  <si>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</si>
  <si>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</si>
  <si>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</si>
  <si>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</si>
  <si>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</si>
  <si>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</si>
  <si>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</si>
  <si>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</si>
  <si>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</si>
  <si>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</si>
  <si>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</si>
  <si>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</si>
  <si>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</si>
  <si>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</si>
  <si>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</si>
  <si>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</si>
  <si>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</si>
  <si>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</si>
  <si>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</si>
  <si>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</si>
  <si>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</si>
  <si>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</si>
  <si>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</si>
  <si>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</si>
  <si>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</si>
  <si>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</si>
  <si>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</si>
  <si>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</si>
  <si>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</si>
  <si>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</si>
  <si>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</si>
  <si>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</si>
  <si>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</si>
  <si>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</si>
  <si>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</si>
  <si>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</si>
  <si>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</si>
  <si>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</si>
  <si>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</si>
  <si>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</si>
  <si>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</si>
  <si>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</si>
  <si>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</si>
  <si>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</si>
  <si>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</si>
  <si>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</si>
  <si>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</si>
  <si>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</si>
  <si>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</si>
  <si>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</si>
  <si>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</si>
  <si>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</si>
  <si>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</si>
  <si>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</si>
  <si>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</si>
  <si>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</si>
  <si>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</si>
  <si>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</si>
  <si>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</si>
  <si>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</si>
  <si>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</si>
  <si>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</si>
  <si>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</si>
  <si>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</si>
  <si>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</si>
  <si>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</si>
  <si>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</si>
  <si>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</si>
  <si>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</si>
  <si>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</si>
  <si>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</si>
  <si>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</si>
  <si>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</si>
  <si>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</si>
  <si>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</si>
  <si>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</si>
  <si>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</si>
  <si>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</si>
  <si>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</si>
  <si>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</si>
  <si>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</si>
  <si>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</si>
  <si>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</si>
  <si>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</si>
  <si>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</si>
  <si>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</si>
  <si>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</si>
  <si>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</si>
  <si>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</si>
  <si>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</si>
  <si>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</si>
  <si>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</si>
  <si>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</si>
  <si>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</si>
  <si>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</si>
  <si>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</si>
  <si>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</si>
  <si>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</si>
  <si>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</si>
  <si>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</si>
  <si>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</si>
  <si>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</si>
  <si>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</si>
  <si>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</si>
  <si>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</si>
  <si>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</si>
  <si>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</si>
  <si>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</si>
  <si>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</si>
  <si>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</si>
  <si>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</si>
  <si>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</si>
  <si>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</si>
  <si>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</si>
  <si>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</si>
  <si>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</si>
  <si>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</si>
  <si>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</si>
  <si>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</si>
  <si>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</si>
  <si>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</si>
  <si>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</si>
  <si>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</si>
  <si>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</si>
  <si>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</si>
  <si>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</si>
  <si>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</si>
  <si>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</si>
  <si>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</si>
  <si>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</si>
  <si>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</si>
  <si>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</si>
  <si>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</si>
  <si>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</si>
  <si>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</si>
  <si>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</si>
  <si>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</si>
  <si>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</si>
  <si>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</si>
  <si>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</si>
  <si>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</si>
  <si>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</si>
  <si>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</si>
  <si>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</si>
  <si>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</si>
  <si>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</si>
  <si>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</si>
  <si>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</si>
  <si>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</si>
  <si>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</si>
  <si>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</si>
  <si>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</si>
  <si>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</si>
  <si>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</si>
  <si>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</si>
  <si>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</si>
  <si>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</si>
  <si>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</si>
  <si>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</si>
  <si>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</si>
  <si>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</si>
  <si>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</si>
  <si>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</si>
  <si>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</si>
  <si>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</si>
  <si>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</si>
  <si>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</si>
  <si>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</si>
  <si>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</si>
  <si>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</si>
  <si>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</si>
  <si>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</si>
  <si>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</si>
  <si>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</si>
  <si>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</si>
  <si>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</si>
  <si>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</si>
  <si>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</si>
  <si>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</si>
  <si>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</si>
  <si>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</si>
  <si>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</si>
  <si>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</si>
  <si>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</si>
  <si>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</si>
  <si>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</si>
  <si>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</si>
  <si>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</si>
  <si>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</si>
  <si>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</si>
  <si>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</si>
  <si>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</si>
  <si>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</si>
  <si>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抵押价格</t>
  </si>
  <si>
    <t>企业</t>
  </si>
  <si>
    <t>地下商业</t>
  </si>
  <si>
    <t>地下车库</t>
  </si>
  <si>
    <t>地下仓储</t>
  </si>
  <si>
    <t>已缴纳地价款</t>
    <phoneticPr fontId="224" type="noConversion"/>
  </si>
  <si>
    <t>万元</t>
    <phoneticPr fontId="224" type="noConversion"/>
  </si>
  <si>
    <t>未缴纳地价款</t>
    <phoneticPr fontId="224" type="noConversion"/>
  </si>
  <si>
    <t>土地面积</t>
  </si>
  <si>
    <t>地下商业补缴出让金</t>
  </si>
  <si>
    <t>出让金</t>
  </si>
  <si>
    <t>地下仓储补缴出让金</t>
  </si>
  <si>
    <t>总建筑面积</t>
  </si>
  <si>
    <t>地下车库补缴出让金</t>
  </si>
  <si>
    <t>土地成交楼面单价</t>
  </si>
  <si>
    <t>地面价</t>
  </si>
  <si>
    <t>万元/亩</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</si>
  <si>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</si>
  <si>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</si>
  <si>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</si>
  <si>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</si>
  <si>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</si>
  <si>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</si>
  <si>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</si>
  <si>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</si>
  <si>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</si>
  <si>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</si>
  <si>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</si>
  <si>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</si>
  <si>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</si>
  <si>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</si>
  <si>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</si>
  <si>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</si>
  <si>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</si>
  <si>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</si>
  <si>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</si>
  <si>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</si>
  <si>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</si>
  <si>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</si>
  <si>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</si>
  <si>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</si>
  <si>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25号楼配电室</t>
  </si>
  <si>
    <t>26号配套用房</t>
  </si>
  <si>
    <t>27号开闭站</t>
  </si>
  <si>
    <t>28号配套用房</t>
  </si>
  <si>
    <t>29号配电室</t>
  </si>
  <si>
    <t>物管用房</t>
  </si>
  <si>
    <t>地上设备</t>
  </si>
  <si>
    <t>地上人防</t>
  </si>
  <si>
    <t>地下人防</t>
  </si>
  <si>
    <t>地下设备</t>
  </si>
  <si>
    <t>地下配套</t>
  </si>
  <si>
    <t>地下物管</t>
  </si>
  <si>
    <t>11（-1）</t>
  </si>
  <si>
    <t>9（-1）</t>
  </si>
  <si>
    <t>5（-1）</t>
  </si>
  <si>
    <t>8（-1）</t>
  </si>
  <si>
    <t>1（-1）</t>
  </si>
  <si>
    <t>是</t>
  </si>
  <si>
    <t>地上</t>
  </si>
  <si>
    <t>地下</t>
  </si>
  <si>
    <t>住宅</t>
    <phoneticPr fontId="7" type="noConversion"/>
  </si>
  <si>
    <t>地下商业</t>
    <phoneticPr fontId="7" type="noConversion"/>
  </si>
  <si>
    <t>地下车库</t>
    <phoneticPr fontId="7" type="noConversion"/>
  </si>
  <si>
    <t>地下仓储</t>
    <phoneticPr fontId="7" type="noConversion"/>
  </si>
  <si>
    <t>利息：取LPR加浮动点数</t>
  </si>
  <si>
    <t>不动产收益法商业</t>
  </si>
  <si>
    <t>不动产收益法商业</t>
    <phoneticPr fontId="14" type="noConversion"/>
  </si>
  <si>
    <t>不动产收益法仓储</t>
  </si>
  <si>
    <t>不动产收益法仓储</t>
    <phoneticPr fontId="14" type="noConversion"/>
  </si>
  <si>
    <t>地块名称</t>
  </si>
  <si>
    <t>城市</t>
  </si>
  <si>
    <t>规划用途</t>
  </si>
  <si>
    <t>建设用地面积</t>
  </si>
  <si>
    <t>规划建筑面积</t>
  </si>
  <si>
    <t>出让方式</t>
  </si>
  <si>
    <t>截止时间</t>
  </si>
  <si>
    <t>受让单位</t>
  </si>
  <si>
    <t>起始价</t>
  </si>
  <si>
    <t>成交价</t>
  </si>
  <si>
    <t>成交楼面价</t>
  </si>
  <si>
    <t>溢价率</t>
  </si>
  <si>
    <r>
      <rPr>
        <sz val="10"/>
        <rFont val="宋体"/>
        <family val="3"/>
        <charset val="134"/>
      </rPr>
      <t>北京市顺义区顺义新城第</t>
    </r>
    <r>
      <rPr>
        <sz val="10"/>
        <rFont val="Arial"/>
        <family val="2"/>
      </rPr>
      <t>5</t>
    </r>
    <r>
      <rPr>
        <sz val="10"/>
        <rFont val="宋体"/>
        <family val="3"/>
        <charset val="134"/>
      </rPr>
      <t>街区</t>
    </r>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6033</t>
    </r>
    <r>
      <rPr>
        <sz val="10"/>
        <rFont val="宋体"/>
        <family val="3"/>
        <charset val="134"/>
      </rPr>
      <t>、</t>
    </r>
    <r>
      <rPr>
        <sz val="10"/>
        <rFont val="Arial"/>
        <family val="2"/>
      </rPr>
      <t>6035</t>
    </r>
    <r>
      <rPr>
        <sz val="10"/>
        <rFont val="宋体"/>
        <family val="3"/>
        <charset val="134"/>
      </rPr>
      <t>地块二类居住用地、</t>
    </r>
    <r>
      <rPr>
        <sz val="10"/>
        <rFont val="Arial"/>
        <family val="2"/>
      </rPr>
      <t>6034</t>
    </r>
    <r>
      <rPr>
        <sz val="10"/>
        <rFont val="宋体"/>
        <family val="3"/>
        <charset val="134"/>
      </rPr>
      <t>地块托幼用地</t>
    </r>
  </si>
  <si>
    <r>
      <rPr>
        <sz val="10"/>
        <rFont val="宋体"/>
        <family val="3"/>
        <charset val="134"/>
      </rPr>
      <t>综合用地</t>
    </r>
    <r>
      <rPr>
        <sz val="10"/>
        <rFont val="Arial"/>
        <family val="2"/>
      </rPr>
      <t>(</t>
    </r>
    <r>
      <rPr>
        <sz val="10"/>
        <rFont val="宋体"/>
        <family val="3"/>
        <charset val="134"/>
      </rPr>
      <t>含住宅</t>
    </r>
    <r>
      <rPr>
        <sz val="10"/>
        <rFont val="Arial"/>
        <family val="2"/>
      </rPr>
      <t>)</t>
    </r>
  </si>
  <si>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6035</t>
    </r>
    <r>
      <rPr>
        <sz val="10"/>
        <rFont val="宋体"/>
        <family val="3"/>
        <charset val="134"/>
      </rPr>
      <t>容积率</t>
    </r>
    <r>
      <rPr>
        <sz val="10"/>
        <rFont val="Arial"/>
        <family val="2"/>
      </rPr>
      <t>1.6,6033</t>
    </r>
    <r>
      <rPr>
        <sz val="10"/>
        <rFont val="宋体"/>
        <family val="3"/>
        <charset val="134"/>
      </rPr>
      <t>容积率</t>
    </r>
    <r>
      <rPr>
        <sz val="10"/>
        <rFont val="Arial"/>
        <family val="2"/>
      </rPr>
      <t>1.8</t>
    </r>
  </si>
  <si>
    <t>挂牌</t>
  </si>
  <si>
    <t>2022-09-22</t>
  </si>
  <si>
    <t>北京城建兴顺房地产开发有限公司</t>
  </si>
  <si>
    <r>
      <rPr>
        <sz val="10"/>
        <rFont val="宋体"/>
        <family val="3"/>
        <charset val="134"/>
      </rPr>
      <t>北京市顺义区顺义新城第</t>
    </r>
    <r>
      <rPr>
        <sz val="10"/>
        <rFont val="Arial"/>
        <family val="2"/>
      </rPr>
      <t>1</t>
    </r>
    <r>
      <rPr>
        <sz val="10"/>
        <rFont val="宋体"/>
        <family val="3"/>
        <charset val="134"/>
      </rPr>
      <t>街区</t>
    </r>
    <r>
      <rPr>
        <sz val="10"/>
        <rFont val="Arial"/>
        <family val="2"/>
      </rPr>
      <t>SY00-0001-0320</t>
    </r>
    <r>
      <rPr>
        <sz val="10"/>
        <rFont val="宋体"/>
        <family val="3"/>
        <charset val="134"/>
      </rPr>
      <t>地块</t>
    </r>
    <r>
      <rPr>
        <sz val="10"/>
        <rFont val="Arial"/>
        <family val="2"/>
      </rPr>
      <t>R2</t>
    </r>
    <r>
      <rPr>
        <sz val="10"/>
        <rFont val="宋体"/>
        <family val="3"/>
        <charset val="134"/>
      </rPr>
      <t>二类居住用地</t>
    </r>
  </si>
  <si>
    <t>住宅用地</t>
  </si>
  <si>
    <t>北京盟科置业有限公司、北京天竺房地产开发有限公司</t>
  </si>
  <si>
    <r>
      <rPr>
        <sz val="10"/>
        <rFont val="宋体"/>
        <family val="3"/>
        <charset val="134"/>
      </rPr>
      <t>北京市顺义区顺义新城第</t>
    </r>
    <r>
      <rPr>
        <sz val="10"/>
        <rFont val="Arial"/>
        <family val="2"/>
      </rPr>
      <t>19</t>
    </r>
    <r>
      <rPr>
        <sz val="10"/>
        <rFont val="宋体"/>
        <family val="3"/>
        <charset val="134"/>
      </rPr>
      <t>街区</t>
    </r>
    <r>
      <rPr>
        <sz val="10"/>
        <rFont val="Arial"/>
        <family val="2"/>
      </rPr>
      <t>19-85</t>
    </r>
    <r>
      <rPr>
        <sz val="10"/>
        <rFont val="宋体"/>
        <family val="3"/>
        <charset val="134"/>
      </rPr>
      <t>地块二类居住用地、</t>
    </r>
    <r>
      <rPr>
        <sz val="10"/>
        <rFont val="Arial"/>
        <family val="2"/>
      </rPr>
      <t>19-86</t>
    </r>
    <r>
      <rPr>
        <sz val="10"/>
        <rFont val="宋体"/>
        <family val="3"/>
        <charset val="134"/>
      </rPr>
      <t>地块托幼用地</t>
    </r>
  </si>
  <si>
    <r>
      <rPr>
        <sz val="10"/>
        <rFont val="Arial"/>
        <family val="2"/>
      </rPr>
      <t>19-85</t>
    </r>
    <r>
      <rPr>
        <sz val="10"/>
        <rFont val="宋体"/>
        <family val="3"/>
        <charset val="134"/>
      </rPr>
      <t>地块容积率</t>
    </r>
    <r>
      <rPr>
        <sz val="10"/>
        <rFont val="Arial"/>
        <family val="2"/>
      </rPr>
      <t>1.2,19-86</t>
    </r>
    <r>
      <rPr>
        <sz val="10"/>
        <rFont val="宋体"/>
        <family val="3"/>
        <charset val="134"/>
      </rPr>
      <t>地块容积率</t>
    </r>
    <r>
      <rPr>
        <sz val="10"/>
        <rFont val="Arial"/>
        <family val="2"/>
      </rPr>
      <t>0.8</t>
    </r>
  </si>
  <si>
    <t>2022-05-31</t>
  </si>
  <si>
    <t>北京中海地产有限公司</t>
  </si>
  <si>
    <r>
      <rPr>
        <sz val="10"/>
        <rFont val="宋体"/>
        <family val="3"/>
        <charset val="134"/>
      </rPr>
      <t>北京市顺义区薛大人庄村剩余</t>
    </r>
    <r>
      <rPr>
        <sz val="10"/>
        <rFont val="Arial"/>
        <family val="2"/>
      </rPr>
      <t>2</t>
    </r>
    <r>
      <rPr>
        <sz val="10"/>
        <rFont val="宋体"/>
        <family val="3"/>
        <charset val="134"/>
      </rPr>
      <t>号地块</t>
    </r>
    <r>
      <rPr>
        <sz val="10"/>
        <rFont val="Arial"/>
        <family val="2"/>
      </rPr>
      <t>SY00-0025-6001</t>
    </r>
    <r>
      <rPr>
        <sz val="10"/>
        <rFont val="宋体"/>
        <family val="3"/>
        <charset val="134"/>
      </rPr>
      <t>地块</t>
    </r>
    <r>
      <rPr>
        <sz val="10"/>
        <rFont val="Arial"/>
        <family val="2"/>
      </rPr>
      <t>R2</t>
    </r>
    <r>
      <rPr>
        <sz val="10"/>
        <rFont val="宋体"/>
        <family val="3"/>
        <charset val="134"/>
      </rPr>
      <t>二类居住用地、</t>
    </r>
    <r>
      <rPr>
        <sz val="10"/>
        <rFont val="Arial"/>
        <family val="2"/>
      </rPr>
      <t>SY00-0025-6003</t>
    </r>
    <r>
      <rPr>
        <sz val="10"/>
        <rFont val="宋体"/>
        <family val="3"/>
        <charset val="134"/>
      </rPr>
      <t>地块</t>
    </r>
    <r>
      <rPr>
        <sz val="10"/>
        <rFont val="Arial"/>
        <family val="2"/>
      </rPr>
      <t>A334</t>
    </r>
    <r>
      <rPr>
        <sz val="10"/>
        <rFont val="宋体"/>
        <family val="3"/>
        <charset val="134"/>
      </rPr>
      <t>托幼用地</t>
    </r>
  </si>
  <si>
    <r>
      <rPr>
        <sz val="10"/>
        <rFont val="Arial"/>
        <family val="2"/>
      </rPr>
      <t>sy00-0025-6001</t>
    </r>
    <r>
      <rPr>
        <sz val="10"/>
        <rFont val="宋体"/>
        <family val="3"/>
        <charset val="134"/>
      </rPr>
      <t>地块</t>
    </r>
    <r>
      <rPr>
        <sz val="10"/>
        <rFont val="Arial"/>
        <family val="2"/>
      </rPr>
      <t>:</t>
    </r>
    <r>
      <rPr>
        <sz val="10"/>
        <rFont val="宋体"/>
        <family val="3"/>
        <charset val="134"/>
      </rPr>
      <t>容积率</t>
    </r>
    <r>
      <rPr>
        <sz val="10"/>
        <rFont val="Arial"/>
        <family val="2"/>
      </rPr>
      <t>1.6;sy00-0025-6003</t>
    </r>
    <r>
      <rPr>
        <sz val="10"/>
        <rFont val="宋体"/>
        <family val="3"/>
        <charset val="134"/>
      </rPr>
      <t>地块</t>
    </r>
    <r>
      <rPr>
        <sz val="10"/>
        <rFont val="Arial"/>
        <family val="2"/>
      </rPr>
      <t>:</t>
    </r>
    <r>
      <rPr>
        <sz val="10"/>
        <rFont val="宋体"/>
        <family val="3"/>
        <charset val="134"/>
      </rPr>
      <t>容积率</t>
    </r>
    <r>
      <rPr>
        <sz val="10"/>
        <rFont val="Arial"/>
        <family val="2"/>
      </rPr>
      <t>0.8</t>
    </r>
  </si>
  <si>
    <t>北京懋源宏展房地产开发有限公司、北京懋源置业有限公司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</si>
  <si>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SY00-0013-6050</t>
    </r>
    <r>
      <rPr>
        <sz val="10"/>
        <rFont val="宋体"/>
        <family val="3"/>
        <charset val="134"/>
      </rPr>
      <t>、</t>
    </r>
    <r>
      <rPr>
        <sz val="10"/>
        <rFont val="Arial"/>
        <family val="2"/>
      </rPr>
      <t>6053</t>
    </r>
    <r>
      <rPr>
        <sz val="10"/>
        <rFont val="宋体"/>
        <family val="3"/>
        <charset val="134"/>
      </rPr>
      <t>地块二类居住用地</t>
    </r>
  </si>
  <si>
    <t>2022-02-16</t>
  </si>
  <si>
    <r>
      <rPr>
        <sz val="10"/>
        <rFont val="宋体"/>
        <family val="3"/>
        <charset val="134"/>
      </rPr>
      <t>保利</t>
    </r>
    <r>
      <rPr>
        <sz val="10"/>
        <rFont val="Arial"/>
        <family val="2"/>
      </rPr>
      <t>(</t>
    </r>
    <r>
      <rPr>
        <sz val="10"/>
        <rFont val="宋体"/>
        <family val="3"/>
        <charset val="134"/>
      </rPr>
      <t>北京</t>
    </r>
    <r>
      <rPr>
        <sz val="10"/>
        <rFont val="Arial"/>
        <family val="2"/>
      </rPr>
      <t>)</t>
    </r>
    <r>
      <rPr>
        <sz val="10"/>
        <rFont val="宋体"/>
        <family val="3"/>
        <charset val="134"/>
      </rPr>
      <t>房地产开发有限公司、北京金地兴业房地产有限公司</t>
    </r>
  </si>
  <si>
    <r>
      <rPr>
        <sz val="10"/>
        <rFont val="宋体"/>
        <family val="3"/>
        <charset val="134"/>
      </rPr>
      <t>北京市顺义区顺义新城第</t>
    </r>
    <r>
      <rPr>
        <sz val="10"/>
        <rFont val="Arial"/>
        <family val="2"/>
      </rPr>
      <t>5</t>
    </r>
    <r>
      <rPr>
        <sz val="10"/>
        <rFont val="宋体"/>
        <family val="3"/>
        <charset val="134"/>
      </rPr>
      <t>街区平各庄旧村改造项目</t>
    </r>
    <r>
      <rPr>
        <sz val="10"/>
        <rFont val="Arial"/>
        <family val="2"/>
      </rPr>
      <t>SY00-0005-6046</t>
    </r>
    <r>
      <rPr>
        <sz val="10"/>
        <rFont val="宋体"/>
        <family val="3"/>
        <charset val="134"/>
      </rPr>
      <t>地块</t>
    </r>
    <r>
      <rPr>
        <sz val="10"/>
        <rFont val="Arial"/>
        <family val="2"/>
      </rPr>
      <t>R2</t>
    </r>
    <r>
      <rPr>
        <sz val="10"/>
        <rFont val="宋体"/>
        <family val="3"/>
        <charset val="134"/>
      </rPr>
      <t>二类居住用地、</t>
    </r>
    <r>
      <rPr>
        <sz val="10"/>
        <rFont val="Arial"/>
        <family val="2"/>
      </rPr>
      <t>SY00-0005-6045</t>
    </r>
    <r>
      <rPr>
        <sz val="10"/>
        <rFont val="宋体"/>
        <family val="3"/>
        <charset val="134"/>
      </rPr>
      <t>地块</t>
    </r>
    <r>
      <rPr>
        <sz val="10"/>
        <rFont val="Arial"/>
        <family val="2"/>
      </rPr>
      <t>A334</t>
    </r>
    <r>
      <rPr>
        <sz val="10"/>
        <rFont val="宋体"/>
        <family val="3"/>
        <charset val="134"/>
      </rPr>
      <t>托幼用地</t>
    </r>
    <phoneticPr fontId="224" type="noConversion"/>
  </si>
  <si>
    <r>
      <rPr>
        <sz val="10"/>
        <rFont val="Arial"/>
        <family val="2"/>
      </rPr>
      <t>sy00-0005-6046</t>
    </r>
    <r>
      <rPr>
        <sz val="10"/>
        <rFont val="宋体"/>
        <family val="3"/>
        <charset val="134"/>
      </rPr>
      <t>地块容积率</t>
    </r>
    <r>
      <rPr>
        <sz val="10"/>
        <rFont val="Arial"/>
        <family val="2"/>
      </rPr>
      <t>2.0,sy00-0005-6045</t>
    </r>
    <r>
      <rPr>
        <sz val="10"/>
        <rFont val="宋体"/>
        <family val="3"/>
        <charset val="134"/>
      </rPr>
      <t>地块容积率</t>
    </r>
    <r>
      <rPr>
        <sz val="10"/>
        <rFont val="Arial"/>
        <family val="2"/>
      </rPr>
      <t>0.8</t>
    </r>
  </si>
  <si>
    <t>北京旭科置业有限公司</t>
  </si>
  <si>
    <t>公园和御</t>
  </si>
  <si>
    <r>
      <rPr>
        <sz val="10"/>
        <rFont val="宋体"/>
        <family val="3"/>
        <charset val="134"/>
      </rPr>
      <t>北京市顺义新城第</t>
    </r>
    <r>
      <rPr>
        <sz val="10"/>
        <rFont val="Arial"/>
        <family val="2"/>
      </rPr>
      <t>23</t>
    </r>
    <r>
      <rPr>
        <sz val="10"/>
        <rFont val="宋体"/>
        <family val="3"/>
        <charset val="134"/>
      </rPr>
      <t>街区新国展三期项目</t>
    </r>
    <r>
      <rPr>
        <sz val="10"/>
        <rFont val="Arial"/>
        <family val="2"/>
      </rPr>
      <t>(</t>
    </r>
    <r>
      <rPr>
        <sz val="10"/>
        <rFont val="宋体"/>
        <family val="3"/>
        <charset val="134"/>
      </rPr>
      <t>原</t>
    </r>
    <r>
      <rPr>
        <sz val="10"/>
        <rFont val="Arial"/>
        <family val="2"/>
      </rPr>
      <t>22</t>
    </r>
    <r>
      <rPr>
        <sz val="10"/>
        <rFont val="宋体"/>
        <family val="3"/>
        <charset val="134"/>
      </rPr>
      <t>街区南部</t>
    </r>
    <r>
      <rPr>
        <sz val="10"/>
        <rFont val="Arial"/>
        <family val="2"/>
      </rPr>
      <t>)22-02-007-1</t>
    </r>
    <r>
      <rPr>
        <sz val="10"/>
        <rFont val="宋体"/>
        <family val="3"/>
        <charset val="134"/>
      </rPr>
      <t>、</t>
    </r>
    <r>
      <rPr>
        <sz val="10"/>
        <rFont val="Arial"/>
        <family val="2"/>
      </rPr>
      <t>22-02-007-2</t>
    </r>
    <r>
      <rPr>
        <sz val="10"/>
        <rFont val="宋体"/>
        <family val="3"/>
        <charset val="134"/>
      </rPr>
      <t>地块</t>
    </r>
    <r>
      <rPr>
        <sz val="10"/>
        <rFont val="Arial"/>
        <family val="2"/>
      </rPr>
      <t>R2</t>
    </r>
    <r>
      <rPr>
        <sz val="10"/>
        <rFont val="宋体"/>
        <family val="3"/>
        <charset val="134"/>
      </rPr>
      <t>二类居住用地</t>
    </r>
  </si>
  <si>
    <t>≤2.5</t>
  </si>
  <si>
    <t>2021-02-02</t>
  </si>
  <si>
    <r>
      <rPr>
        <sz val="10"/>
        <rFont val="宋体"/>
        <family val="3"/>
        <charset val="134"/>
      </rPr>
      <t>北京润置商业运营管理有限公司、保利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</si>
  <si>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SY00-0013-6055</t>
    </r>
    <r>
      <rPr>
        <sz val="10"/>
        <rFont val="宋体"/>
        <family val="3"/>
        <charset val="134"/>
      </rPr>
      <t>、</t>
    </r>
    <r>
      <rPr>
        <sz val="10"/>
        <rFont val="Arial"/>
        <family val="2"/>
      </rPr>
      <t>6056</t>
    </r>
    <r>
      <rPr>
        <sz val="10"/>
        <rFont val="宋体"/>
        <family val="3"/>
        <charset val="134"/>
      </rPr>
      <t>地块二类居住用地</t>
    </r>
    <phoneticPr fontId="224" type="noConversion"/>
  </si>
  <si>
    <t>≤1.6</t>
  </si>
  <si>
    <t>2021-01-26</t>
  </si>
  <si>
    <r>
      <rPr>
        <sz val="10"/>
        <rFont val="宋体"/>
        <family val="3"/>
        <charset val="134"/>
      </rPr>
      <t>北京宏远泰业科技有限公司、保利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</si>
  <si>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t>和锦华宸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</si>
  <si>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SY00-0013-6060</t>
    </r>
    <r>
      <rPr>
        <sz val="10"/>
        <rFont val="宋体"/>
        <family val="3"/>
        <charset val="134"/>
      </rPr>
      <t>、</t>
    </r>
    <r>
      <rPr>
        <sz val="10"/>
        <rFont val="Arial"/>
        <family val="2"/>
      </rPr>
      <t>6066</t>
    </r>
    <r>
      <rPr>
        <sz val="10"/>
        <rFont val="宋体"/>
        <family val="3"/>
        <charset val="134"/>
      </rPr>
      <t>、</t>
    </r>
    <r>
      <rPr>
        <sz val="10"/>
        <rFont val="Arial"/>
        <family val="2"/>
      </rPr>
      <t>6067</t>
    </r>
    <r>
      <rPr>
        <sz val="10"/>
        <rFont val="宋体"/>
        <family val="3"/>
        <charset val="134"/>
      </rPr>
      <t>地块二类居住用地、</t>
    </r>
    <r>
      <rPr>
        <sz val="10"/>
        <rFont val="Arial"/>
        <family val="2"/>
      </rPr>
      <t>6058</t>
    </r>
    <r>
      <rPr>
        <sz val="10"/>
        <rFont val="宋体"/>
        <family val="3"/>
        <charset val="134"/>
      </rPr>
      <t>地块商业用地、</t>
    </r>
    <r>
      <rPr>
        <sz val="10"/>
        <rFont val="Arial"/>
        <family val="2"/>
      </rPr>
      <t>6063</t>
    </r>
    <r>
      <rPr>
        <sz val="10"/>
        <rFont val="宋体"/>
        <family val="3"/>
        <charset val="134"/>
      </rPr>
      <t>地块综合性商业金融服务业用地、</t>
    </r>
    <r>
      <rPr>
        <sz val="10"/>
        <rFont val="Arial"/>
        <family val="2"/>
      </rPr>
      <t>6065</t>
    </r>
    <r>
      <rPr>
        <sz val="10"/>
        <rFont val="宋体"/>
        <family val="3"/>
        <charset val="134"/>
      </rPr>
      <t>地块托幼用地</t>
    </r>
  </si>
  <si>
    <r>
      <rPr>
        <sz val="10"/>
        <rFont val="Arial"/>
        <family val="2"/>
      </rPr>
      <t>sy00-0013-6060</t>
    </r>
    <r>
      <rPr>
        <sz val="10"/>
        <rFont val="宋体"/>
        <family val="3"/>
        <charset val="134"/>
      </rPr>
      <t>、</t>
    </r>
    <r>
      <rPr>
        <sz val="10"/>
        <rFont val="Arial"/>
        <family val="2"/>
      </rPr>
      <t>6063≤2;sy00-0013-6066</t>
    </r>
    <r>
      <rPr>
        <sz val="10"/>
        <rFont val="宋体"/>
        <family val="3"/>
        <charset val="134"/>
      </rPr>
      <t>、</t>
    </r>
    <r>
      <rPr>
        <sz val="10"/>
        <rFont val="Arial"/>
        <family val="2"/>
      </rPr>
      <t>6067≤1.6;sy00-0013-6058≤2.5;sy00-0013-6065≤0.8</t>
    </r>
  </si>
  <si>
    <r>
      <rPr>
        <sz val="10"/>
        <rFont val="宋体"/>
        <family val="3"/>
        <charset val="134"/>
      </rPr>
      <t>中建地产</t>
    </r>
    <r>
      <rPr>
        <sz val="10"/>
        <rFont val="Arial"/>
        <family val="2"/>
      </rPr>
      <t>(</t>
    </r>
    <r>
      <rPr>
        <sz val="10"/>
        <rFont val="宋体"/>
        <family val="3"/>
        <charset val="134"/>
      </rPr>
      <t>苏州</t>
    </r>
    <r>
      <rPr>
        <sz val="10"/>
        <rFont val="Arial"/>
        <family val="2"/>
      </rPr>
      <t>)</t>
    </r>
    <r>
      <rPr>
        <sz val="10"/>
        <rFont val="宋体"/>
        <family val="3"/>
        <charset val="134"/>
      </rPr>
      <t>有限公司</t>
    </r>
  </si>
  <si>
    <r>
      <rPr>
        <sz val="10"/>
        <rFont val="宋体"/>
        <family val="3"/>
        <charset val="134"/>
      </rPr>
      <t>北京市顺义区仁和镇临河村棚户区改造土地开发</t>
    </r>
    <r>
      <rPr>
        <sz val="10"/>
        <rFont val="Arial"/>
        <family val="2"/>
      </rPr>
      <t>C</t>
    </r>
    <r>
      <rPr>
        <sz val="10"/>
        <rFont val="宋体"/>
        <family val="3"/>
        <charset val="134"/>
      </rPr>
      <t>片区</t>
    </r>
    <r>
      <rPr>
        <sz val="10"/>
        <rFont val="Arial"/>
        <family val="2"/>
      </rPr>
      <t>SY00-0007-6057</t>
    </r>
    <r>
      <rPr>
        <sz val="10"/>
        <rFont val="宋体"/>
        <family val="3"/>
        <charset val="134"/>
      </rPr>
      <t>等地块二类居住用地、商业用地、其他类多功能用地、公交场站设施用地和社区卫生服务中心用地</t>
    </r>
  </si>
  <si>
    <r>
      <rPr>
        <sz val="10"/>
        <rFont val="Arial"/>
        <family val="2"/>
      </rPr>
      <t>r2≤1.6,</t>
    </r>
    <r>
      <rPr>
        <sz val="10"/>
        <rFont val="宋体"/>
        <family val="3"/>
        <charset val="134"/>
      </rPr>
      <t>商业、多功能</t>
    </r>
    <r>
      <rPr>
        <sz val="10"/>
        <rFont val="Arial"/>
        <family val="2"/>
      </rPr>
      <t>≤2.5,</t>
    </r>
    <r>
      <rPr>
        <sz val="10"/>
        <rFont val="宋体"/>
        <family val="3"/>
        <charset val="134"/>
      </rPr>
      <t>公交场站</t>
    </r>
    <r>
      <rPr>
        <sz val="10"/>
        <rFont val="Arial"/>
        <family val="2"/>
      </rPr>
      <t>≤0.6,</t>
    </r>
    <r>
      <rPr>
        <sz val="10"/>
        <rFont val="宋体"/>
        <family val="3"/>
        <charset val="134"/>
      </rPr>
      <t>社区卫生</t>
    </r>
    <r>
      <rPr>
        <sz val="10"/>
        <rFont val="Arial"/>
        <family val="2"/>
      </rPr>
      <t>≤0.8</t>
    </r>
  </si>
  <si>
    <t>2020-08-27</t>
  </si>
  <si>
    <t>北京昌清科技发展有限公司、北京城建投资发展股份有限公司、北京首都开发股份有限公司</t>
  </si>
  <si>
    <t>公园都会</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</si>
  <si>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SY00-0007-6080</t>
    </r>
    <r>
      <rPr>
        <sz val="10"/>
        <rFont val="宋体"/>
        <family val="3"/>
        <charset val="134"/>
      </rPr>
      <t>、</t>
    </r>
    <r>
      <rPr>
        <sz val="10"/>
        <rFont val="Arial"/>
        <family val="2"/>
      </rPr>
      <t>6081</t>
    </r>
    <r>
      <rPr>
        <sz val="10"/>
        <rFont val="宋体"/>
        <family val="3"/>
        <charset val="134"/>
      </rPr>
      <t>、</t>
    </r>
    <r>
      <rPr>
        <sz val="10"/>
        <rFont val="Arial"/>
        <family val="2"/>
      </rPr>
      <t>6082</t>
    </r>
    <r>
      <rPr>
        <sz val="10"/>
        <rFont val="宋体"/>
        <family val="3"/>
        <charset val="134"/>
      </rPr>
      <t>、</t>
    </r>
    <r>
      <rPr>
        <sz val="10"/>
        <rFont val="Arial"/>
        <family val="2"/>
      </rPr>
      <t>6084</t>
    </r>
    <r>
      <rPr>
        <sz val="10"/>
        <rFont val="宋体"/>
        <family val="3"/>
        <charset val="134"/>
      </rPr>
      <t>、</t>
    </r>
    <r>
      <rPr>
        <sz val="10"/>
        <rFont val="Arial"/>
        <family val="2"/>
      </rPr>
      <t>6086</t>
    </r>
    <r>
      <rPr>
        <sz val="10"/>
        <rFont val="宋体"/>
        <family val="3"/>
        <charset val="134"/>
      </rPr>
      <t>地块二类居住用地、商业用地</t>
    </r>
  </si>
  <si>
    <r>
      <rPr>
        <sz val="10"/>
        <rFont val="Arial"/>
        <family val="2"/>
      </rPr>
      <t>r2≤1.6,</t>
    </r>
    <r>
      <rPr>
        <sz val="10"/>
        <rFont val="宋体"/>
        <family val="3"/>
        <charset val="134"/>
      </rPr>
      <t>商业</t>
    </r>
    <r>
      <rPr>
        <sz val="10"/>
        <rFont val="Arial"/>
        <family val="2"/>
      </rPr>
      <t>≤2.5</t>
    </r>
  </si>
  <si>
    <t>深圳市创欣志企业管理有限公司</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</si>
  <si>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SY00-0007-6072</t>
    </r>
    <r>
      <rPr>
        <sz val="10"/>
        <rFont val="宋体"/>
        <family val="3"/>
        <charset val="134"/>
      </rPr>
      <t>、</t>
    </r>
    <r>
      <rPr>
        <sz val="10"/>
        <rFont val="Arial"/>
        <family val="2"/>
      </rPr>
      <t>6073</t>
    </r>
    <r>
      <rPr>
        <sz val="10"/>
        <rFont val="宋体"/>
        <family val="3"/>
        <charset val="134"/>
      </rPr>
      <t>、</t>
    </r>
    <r>
      <rPr>
        <sz val="10"/>
        <rFont val="Arial"/>
        <family val="2"/>
      </rPr>
      <t>6075</t>
    </r>
    <r>
      <rPr>
        <sz val="10"/>
        <rFont val="宋体"/>
        <family val="3"/>
        <charset val="134"/>
      </rPr>
      <t>、</t>
    </r>
    <r>
      <rPr>
        <sz val="10"/>
        <rFont val="Arial"/>
        <family val="2"/>
      </rPr>
      <t>6076</t>
    </r>
    <r>
      <rPr>
        <sz val="10"/>
        <rFont val="宋体"/>
        <family val="3"/>
        <charset val="134"/>
      </rPr>
      <t>、</t>
    </r>
    <r>
      <rPr>
        <sz val="10"/>
        <rFont val="Arial"/>
        <family val="2"/>
      </rPr>
      <t>6078</t>
    </r>
    <r>
      <rPr>
        <sz val="10"/>
        <rFont val="宋体"/>
        <family val="3"/>
        <charset val="134"/>
      </rPr>
      <t>地块二类居住用地、托幼用地</t>
    </r>
    <phoneticPr fontId="224" type="noConversion"/>
  </si>
  <si>
    <r>
      <rPr>
        <sz val="10"/>
        <rFont val="Arial"/>
        <family val="2"/>
      </rPr>
      <t>r2≤1.6,</t>
    </r>
    <r>
      <rPr>
        <sz val="10"/>
        <rFont val="宋体"/>
        <family val="3"/>
        <charset val="134"/>
      </rPr>
      <t>幼托</t>
    </r>
    <r>
      <rPr>
        <sz val="10"/>
        <rFont val="Arial"/>
        <family val="2"/>
      </rPr>
      <t>≤0.8</t>
    </r>
  </si>
  <si>
    <t>北京路劲隽御房地产开发有限公司</t>
  </si>
  <si>
    <t>路劲御和府</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</si>
  <si>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SY00-0013-6039</t>
    </r>
    <r>
      <rPr>
        <sz val="10"/>
        <rFont val="宋体"/>
        <family val="3"/>
        <charset val="134"/>
      </rPr>
      <t>等地块二类居住用地、康复护理用地和医院用地</t>
    </r>
  </si>
  <si>
    <r>
      <rPr>
        <sz val="10"/>
        <rFont val="Arial"/>
        <family val="2"/>
      </rPr>
      <t>r2</t>
    </r>
    <r>
      <rPr>
        <sz val="10"/>
        <rFont val="宋体"/>
        <family val="3"/>
        <charset val="134"/>
      </rPr>
      <t>、医院</t>
    </r>
    <r>
      <rPr>
        <sz val="10"/>
        <rFont val="Arial"/>
        <family val="2"/>
      </rPr>
      <t>≤1.6,</t>
    </r>
    <r>
      <rPr>
        <sz val="10"/>
        <rFont val="宋体"/>
        <family val="3"/>
        <charset val="134"/>
      </rPr>
      <t>康复</t>
    </r>
    <r>
      <rPr>
        <sz val="10"/>
        <rFont val="Arial"/>
        <family val="2"/>
      </rPr>
      <t>≤0.8</t>
    </r>
  </si>
  <si>
    <t>2020-05-09</t>
  </si>
  <si>
    <t>中建一局集团房地产开发有限公司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</si>
  <si>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SY00-0013-6028</t>
    </r>
    <r>
      <rPr>
        <sz val="10"/>
        <rFont val="宋体"/>
        <family val="3"/>
        <charset val="134"/>
      </rPr>
      <t>等地块二类居住用地、托幼用地、文化活动用地和综合性商业金融服务业用地</t>
    </r>
  </si>
  <si>
    <r>
      <rPr>
        <sz val="10"/>
        <rFont val="Arial"/>
        <family val="2"/>
      </rPr>
      <t>r2≤1.6,</t>
    </r>
    <r>
      <rPr>
        <sz val="10"/>
        <rFont val="宋体"/>
        <family val="3"/>
        <charset val="134"/>
      </rPr>
      <t>幼托</t>
    </r>
    <r>
      <rPr>
        <sz val="10"/>
        <rFont val="Arial"/>
        <family val="2"/>
      </rPr>
      <t>≤0.8,</t>
    </r>
    <r>
      <rPr>
        <sz val="10"/>
        <rFont val="宋体"/>
        <family val="3"/>
        <charset val="134"/>
      </rPr>
      <t>文化活动</t>
    </r>
    <r>
      <rPr>
        <sz val="10"/>
        <rFont val="Arial"/>
        <family val="2"/>
      </rPr>
      <t>≤1.2,</t>
    </r>
    <r>
      <rPr>
        <sz val="10"/>
        <rFont val="宋体"/>
        <family val="3"/>
        <charset val="134"/>
      </rPr>
      <t>商业金融</t>
    </r>
    <r>
      <rPr>
        <sz val="10"/>
        <rFont val="Arial"/>
        <family val="2"/>
      </rPr>
      <t>≤1.8</t>
    </r>
  </si>
  <si>
    <t>北京恒世投资有限公司</t>
  </si>
  <si>
    <t>正常</t>
  </si>
  <si>
    <t>住宅</t>
    <phoneticPr fontId="26" type="noConversion"/>
  </si>
  <si>
    <t>规则</t>
  </si>
  <si>
    <t>较规则</t>
  </si>
  <si>
    <t>较不规则</t>
  </si>
  <si>
    <t>不规则</t>
  </si>
  <si>
    <t>七通</t>
  </si>
  <si>
    <t>六通</t>
  </si>
  <si>
    <t>五通</t>
  </si>
  <si>
    <t>四通</t>
  </si>
  <si>
    <t>三通</t>
  </si>
  <si>
    <t>较好</t>
  </si>
  <si>
    <t>较适宜</t>
  </si>
  <si>
    <t>较好</t>
    <phoneticPr fontId="26" type="noConversion"/>
  </si>
  <si>
    <t>一般</t>
  </si>
  <si>
    <t>楼面地价</t>
  </si>
  <si>
    <t>比较法-住宅、综合</t>
  </si>
  <si>
    <t>剩余法-待开发</t>
  </si>
  <si>
    <t>扣减地下补缴出让金之后</t>
  </si>
  <si>
    <t>和锦华宸</t>
    <phoneticPr fontId="224" type="noConversion"/>
  </si>
  <si>
    <t>路劲御和府</t>
    <phoneticPr fontId="224" type="noConversion"/>
  </si>
  <si>
    <t>万/个</t>
  </si>
  <si>
    <t>㎡</t>
  </si>
  <si>
    <t>土地（套用方法）</t>
  </si>
  <si>
    <t>押一</t>
  </si>
  <si>
    <t>钢混</t>
  </si>
  <si>
    <t>自定义</t>
  </si>
  <si>
    <t>住宅</t>
    <phoneticPr fontId="21" type="noConversion"/>
  </si>
  <si>
    <t>小高层</t>
  </si>
  <si>
    <t>高层住宅</t>
  </si>
  <si>
    <t>钢混</t>
    <phoneticPr fontId="21" type="noConversion"/>
  </si>
  <si>
    <t>精装</t>
  </si>
  <si>
    <t>精装</t>
    <phoneticPr fontId="21" type="noConversion"/>
  </si>
  <si>
    <t>七通</t>
    <phoneticPr fontId="21" type="noConversion"/>
  </si>
  <si>
    <t>普装</t>
    <phoneticPr fontId="21" type="noConversion"/>
  </si>
  <si>
    <t>简装</t>
    <phoneticPr fontId="21" type="noConversion"/>
  </si>
  <si>
    <t>毛坯</t>
    <phoneticPr fontId="21" type="noConversion"/>
  </si>
  <si>
    <t>售价</t>
  </si>
  <si>
    <t>地下车库</t>
    <phoneticPr fontId="27" type="noConversion"/>
  </si>
  <si>
    <t>和锦华宸</t>
    <phoneticPr fontId="3" type="noConversion"/>
  </si>
  <si>
    <t>公园都会</t>
    <phoneticPr fontId="3" type="noConversion"/>
  </si>
  <si>
    <t>中建宸庐</t>
    <phoneticPr fontId="3" type="noConversion"/>
  </si>
  <si>
    <t>精装修</t>
  </si>
  <si>
    <t>精装修</t>
    <phoneticPr fontId="27" type="noConversion"/>
  </si>
  <si>
    <t>元/车位</t>
  </si>
  <si>
    <t>是</t>
    <phoneticPr fontId="27" type="noConversion"/>
  </si>
  <si>
    <t>加契税印花税</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</si>
</sst>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0_ ;[Red]\-0\ "/>
    <numFmt numFmtId="192" formatCode="yyyy/m/d;@"/>
    <numFmt numFmtId="193" formatCode="0.0000_);[Red]\(0.0000\)"/>
    <numFmt numFmtId="194"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color theme="1"/>
      <name val="华文细黑"/>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4" fontId="141" fillId="0" borderId="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79" fontId="72" fillId="0" borderId="2" xfId="0" applyNumberFormat="1" applyFont="1" applyBorder="1" applyAlignment="1" applyProtection="1">
      <alignment horizontal="center" vertical="center" wrapText="1"/>
      <protection locked="0"/>
    </xf>
    <xf numFmtId="179"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6"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6" fontId="72" fillId="5" borderId="6" xfId="0" applyNumberFormat="1" applyFont="1" applyFill="1" applyBorder="1" applyAlignment="1" applyProtection="1">
      <alignment horizontal="center" vertical="center" wrapText="1"/>
    </xf>
    <xf numFmtId="176" fontId="72" fillId="5" borderId="7" xfId="0" applyNumberFormat="1" applyFont="1" applyFill="1" applyBorder="1" applyAlignment="1" applyProtection="1">
      <alignment horizontal="center" vertical="center" wrapText="1"/>
    </xf>
    <xf numFmtId="176" fontId="72" fillId="5" borderId="8" xfId="0" applyNumberFormat="1" applyFont="1" applyFill="1" applyBorder="1" applyAlignment="1" applyProtection="1">
      <alignment horizontal="center" vertical="center" wrapText="1"/>
    </xf>
    <xf numFmtId="176" fontId="72" fillId="5" borderId="9"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5" borderId="5" xfId="0" applyNumberFormat="1" applyFont="1" applyFill="1" applyBorder="1" applyAlignment="1" applyProtection="1">
      <alignment horizontal="center" vertical="center" wrapText="1"/>
    </xf>
    <xf numFmtId="176" fontId="72" fillId="5" borderId="11" xfId="0" applyNumberFormat="1"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79"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79" fontId="72" fillId="5" borderId="8" xfId="0" applyNumberFormat="1" applyFont="1" applyFill="1" applyBorder="1" applyAlignment="1" applyProtection="1">
      <alignment horizontal="center" vertical="center"/>
    </xf>
    <xf numFmtId="179"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79"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79"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79"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79"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79" fontId="72" fillId="5" borderId="20" xfId="0" applyNumberFormat="1" applyFont="1" applyFill="1" applyBorder="1" applyAlignment="1" applyProtection="1">
      <alignment horizontal="center" vertical="center" wrapText="1"/>
    </xf>
    <xf numFmtId="179" fontId="72" fillId="5" borderId="21" xfId="0" applyNumberFormat="1" applyFont="1" applyFill="1" applyBorder="1" applyAlignment="1" applyProtection="1">
      <alignment horizontal="center" vertical="center" wrapText="1"/>
    </xf>
    <xf numFmtId="179"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79" fontId="72" fillId="5" borderId="2" xfId="0" applyNumberFormat="1" applyFont="1" applyFill="1" applyBorder="1" applyAlignment="1" applyProtection="1">
      <alignment horizontal="center" vertical="center"/>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6" fontId="67" fillId="5" borderId="2" xfId="0" applyNumberFormat="1" applyFont="1" applyFill="1" applyBorder="1" applyAlignment="1" applyProtection="1">
      <alignment horizontal="center" vertical="center" wrapText="1"/>
    </xf>
    <xf numFmtId="176" fontId="67" fillId="0" borderId="21" xfId="0" applyNumberFormat="1" applyFont="1" applyFill="1" applyBorder="1" applyAlignment="1" applyProtection="1">
      <alignment horizontal="center" vertical="center" wrapText="1"/>
      <protection locked="0"/>
    </xf>
    <xf numFmtId="176" fontId="67" fillId="5" borderId="21" xfId="0" applyNumberFormat="1" applyFont="1" applyFill="1" applyBorder="1" applyAlignment="1" applyProtection="1">
      <alignment horizontal="center" vertical="center" wrapText="1"/>
    </xf>
    <xf numFmtId="176" fontId="67" fillId="5" borderId="10" xfId="0" applyNumberFormat="1" applyFont="1" applyFill="1" applyBorder="1" applyAlignment="1" applyProtection="1">
      <alignment horizontal="center" vertical="center" wrapText="1"/>
    </xf>
    <xf numFmtId="176" fontId="67" fillId="0" borderId="2" xfId="0" applyNumberFormat="1" applyFont="1" applyBorder="1" applyAlignment="1" applyProtection="1">
      <alignment vertical="center" wrapText="1"/>
      <protection locked="0"/>
    </xf>
    <xf numFmtId="176" fontId="67" fillId="0" borderId="2" xfId="0" applyNumberFormat="1" applyFont="1" applyBorder="1" applyAlignment="1" applyProtection="1">
      <alignment horizontal="center" vertical="center" wrapText="1"/>
      <protection locked="0"/>
    </xf>
    <xf numFmtId="176"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6" fontId="67" fillId="5" borderId="12" xfId="0" applyNumberFormat="1" applyFont="1" applyFill="1" applyBorder="1" applyAlignment="1" applyProtection="1">
      <alignment horizontal="center" vertical="center" wrapText="1"/>
    </xf>
    <xf numFmtId="176"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6"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6"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6"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6"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6"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6" fontId="79" fillId="5" borderId="29" xfId="2" applyNumberFormat="1" applyFont="1" applyFill="1" applyBorder="1" applyAlignment="1" applyProtection="1">
      <alignment horizontal="center" vertical="center"/>
    </xf>
    <xf numFmtId="176"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6"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79"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6"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7" fontId="67" fillId="0" borderId="9" xfId="2" applyNumberFormat="1" applyFont="1" applyFill="1" applyBorder="1" applyAlignment="1" applyProtection="1">
      <alignment vertical="center"/>
      <protection locked="0"/>
    </xf>
    <xf numFmtId="176"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0"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79"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7"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79"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7" fontId="67" fillId="2" borderId="5" xfId="2" applyNumberFormat="1" applyFont="1" applyFill="1" applyBorder="1" applyAlignment="1" applyProtection="1">
      <alignment vertical="center"/>
      <protection locked="0"/>
    </xf>
    <xf numFmtId="179" fontId="80" fillId="5" borderId="2" xfId="2" applyNumberFormat="1" applyFont="1" applyFill="1" applyBorder="1" applyAlignment="1" applyProtection="1">
      <alignment horizontal="center" vertical="center"/>
    </xf>
    <xf numFmtId="180" fontId="80" fillId="5" borderId="2" xfId="2" applyNumberFormat="1" applyFont="1" applyFill="1" applyBorder="1" applyAlignment="1" applyProtection="1">
      <alignment horizontal="center" vertical="center"/>
    </xf>
    <xf numFmtId="181"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79"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1" fontId="67" fillId="0" borderId="2" xfId="0" applyNumberFormat="1" applyFont="1" applyBorder="1" applyAlignment="1" applyProtection="1">
      <alignment vertical="center"/>
      <protection locked="0"/>
    </xf>
    <xf numFmtId="181"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1"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7"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1"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6"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79"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6" fontId="80" fillId="5" borderId="1" xfId="2" applyNumberFormat="1" applyFont="1" applyFill="1" applyBorder="1" applyAlignment="1" applyProtection="1">
      <alignment vertical="center" wrapText="1"/>
    </xf>
    <xf numFmtId="176" fontId="80" fillId="0" borderId="7" xfId="2" applyNumberFormat="1" applyFont="1" applyFill="1" applyBorder="1" applyAlignment="1" applyProtection="1">
      <alignment horizontal="center" vertical="center"/>
      <protection locked="0"/>
    </xf>
    <xf numFmtId="176" fontId="80" fillId="5" borderId="11" xfId="2" applyNumberFormat="1" applyFont="1" applyFill="1" applyBorder="1" applyAlignment="1" applyProtection="1">
      <alignment vertical="center" wrapText="1"/>
    </xf>
    <xf numFmtId="176" fontId="67" fillId="0" borderId="12" xfId="2" applyNumberFormat="1" applyFont="1" applyFill="1" applyBorder="1" applyAlignment="1" applyProtection="1">
      <alignment horizontal="center" vertical="center"/>
      <protection locked="0"/>
    </xf>
    <xf numFmtId="176" fontId="67" fillId="5" borderId="11" xfId="2" applyNumberFormat="1" applyFont="1" applyFill="1" applyBorder="1" applyAlignment="1" applyProtection="1">
      <alignment vertical="center" wrapText="1"/>
    </xf>
    <xf numFmtId="176" fontId="80" fillId="5" borderId="12" xfId="2" applyNumberFormat="1" applyFont="1" applyFill="1" applyBorder="1" applyAlignment="1" applyProtection="1">
      <alignment horizontal="center" vertical="center"/>
    </xf>
    <xf numFmtId="176" fontId="80" fillId="5" borderId="43" xfId="2" applyNumberFormat="1" applyFont="1" applyFill="1" applyBorder="1" applyAlignment="1" applyProtection="1">
      <alignment vertical="center" wrapText="1"/>
    </xf>
    <xf numFmtId="176"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1" fontId="72" fillId="0" borderId="12" xfId="0" applyNumberFormat="1" applyFont="1" applyFill="1" applyBorder="1" applyAlignment="1" applyProtection="1">
      <alignment horizontal="center" vertical="center"/>
      <protection locked="0"/>
    </xf>
    <xf numFmtId="181"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1"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2"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8"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79"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1"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7"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7"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7"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7"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7"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7"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89"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1"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89"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7"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4" fontId="72" fillId="6" borderId="2" xfId="0" applyNumberFormat="1" applyFont="1" applyFill="1" applyBorder="1" applyAlignment="1" applyProtection="1">
      <alignment horizontal="center" vertical="center" wrapText="1"/>
      <protection locked="0"/>
    </xf>
    <xf numFmtId="184"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4" fontId="72" fillId="0" borderId="2" xfId="0" applyNumberFormat="1" applyFont="1" applyFill="1" applyBorder="1" applyAlignment="1" applyProtection="1">
      <alignment horizontal="center"/>
      <protection locked="0"/>
    </xf>
    <xf numFmtId="184" fontId="72" fillId="0" borderId="12" xfId="0" applyNumberFormat="1" applyFont="1" applyFill="1" applyBorder="1" applyAlignment="1" applyProtection="1">
      <alignment horizontal="center"/>
      <protection locked="0"/>
    </xf>
    <xf numFmtId="176" fontId="148" fillId="5" borderId="2" xfId="0" applyNumberFormat="1" applyFont="1" applyFill="1" applyBorder="1" applyAlignment="1" applyProtection="1">
      <alignment horizontal="center" vertical="center"/>
    </xf>
    <xf numFmtId="176"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4"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7" fontId="72" fillId="5" borderId="2" xfId="0" applyNumberFormat="1" applyFont="1" applyFill="1" applyBorder="1" applyAlignment="1" applyProtection="1">
      <alignment horizontal="center" vertical="center"/>
    </xf>
    <xf numFmtId="179" fontId="72" fillId="5" borderId="2" xfId="2" applyNumberFormat="1" applyFont="1" applyFill="1" applyBorder="1" applyAlignment="1" applyProtection="1">
      <alignment horizontal="center"/>
    </xf>
    <xf numFmtId="181"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7" fontId="71" fillId="5" borderId="2" xfId="2" applyNumberFormat="1" applyFont="1" applyFill="1" applyBorder="1" applyAlignment="1" applyProtection="1">
      <alignment horizontal="center"/>
    </xf>
    <xf numFmtId="0" fontId="71" fillId="5" borderId="2" xfId="2" applyFont="1" applyFill="1" applyBorder="1" applyAlignment="1" applyProtection="1"/>
    <xf numFmtId="177"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7" fontId="71" fillId="5" borderId="2" xfId="2" applyNumberFormat="1" applyFont="1" applyFill="1" applyBorder="1" applyAlignment="1" applyProtection="1">
      <alignment vertical="center"/>
    </xf>
    <xf numFmtId="177" fontId="71" fillId="5" borderId="8" xfId="2" applyNumberFormat="1" applyFont="1" applyFill="1" applyBorder="1" applyAlignment="1" applyProtection="1">
      <alignment vertical="center"/>
    </xf>
    <xf numFmtId="177"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77"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7"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5" fontId="71" fillId="5" borderId="2" xfId="0" applyNumberFormat="1" applyFont="1" applyFill="1" applyBorder="1" applyAlignment="1" applyProtection="1">
      <alignment horizontal="right" vertical="center"/>
    </xf>
    <xf numFmtId="177"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5" fontId="152" fillId="5" borderId="2" xfId="0" applyNumberFormat="1" applyFont="1" applyFill="1" applyBorder="1" applyAlignment="1" applyProtection="1">
      <alignment horizontal="center" vertical="center"/>
    </xf>
    <xf numFmtId="177"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7" fontId="97" fillId="5" borderId="14" xfId="0" applyNumberFormat="1" applyFont="1" applyFill="1" applyBorder="1" applyAlignment="1" applyProtection="1">
      <alignment horizontal="center" vertical="center"/>
    </xf>
    <xf numFmtId="177"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4"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7"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3"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3"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3"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4" fontId="79" fillId="5" borderId="56" xfId="0" applyNumberFormat="1" applyFont="1" applyFill="1" applyBorder="1" applyAlignment="1" applyProtection="1">
      <alignment vertical="center" wrapText="1"/>
    </xf>
    <xf numFmtId="184"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4"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1" fontId="80" fillId="5" borderId="5" xfId="0" applyNumberFormat="1" applyFont="1" applyFill="1" applyBorder="1" applyAlignment="1" applyProtection="1">
      <alignment horizontal="center" vertical="center"/>
    </xf>
    <xf numFmtId="181"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6"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4"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7"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79"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79"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7"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7"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7"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7"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177"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7"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79"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7" fontId="91" fillId="5" borderId="44" xfId="2" applyNumberFormat="1" applyFont="1" applyFill="1" applyBorder="1" applyAlignment="1" applyProtection="1">
      <alignment horizontal="center" vertical="center"/>
    </xf>
    <xf numFmtId="179"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7"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1"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1"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1"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79"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1" fontId="72" fillId="5" borderId="51" xfId="0" applyNumberFormat="1" applyFont="1" applyFill="1" applyBorder="1" applyAlignment="1" applyProtection="1">
      <alignment horizontal="center" vertical="center"/>
    </xf>
    <xf numFmtId="181" fontId="81" fillId="5" borderId="10"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79"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79"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1"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4"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1"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1"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1"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7" fontId="67" fillId="5" borderId="57" xfId="0" applyNumberFormat="1" applyFont="1" applyFill="1" applyBorder="1" applyAlignment="1" applyProtection="1">
      <alignment horizontal="center" vertical="center" wrapText="1"/>
    </xf>
    <xf numFmtId="187"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79"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79"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6" fontId="67" fillId="5" borderId="43" xfId="0" applyNumberFormat="1" applyFont="1" applyFill="1" applyBorder="1" applyAlignment="1" applyProtection="1">
      <alignment vertical="center"/>
    </xf>
    <xf numFmtId="176"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79" fontId="39" fillId="5" borderId="2" xfId="5" applyNumberFormat="1" applyFont="1" applyFill="1" applyBorder="1" applyAlignment="1" applyProtection="1">
      <alignment horizontal="center" vertical="center" wrapText="1"/>
    </xf>
    <xf numFmtId="179" fontId="141" fillId="0" borderId="0" xfId="5" applyNumberFormat="1" applyProtection="1">
      <alignment vertical="center"/>
    </xf>
    <xf numFmtId="0" fontId="93" fillId="5" borderId="10" xfId="3" applyFont="1" applyFill="1" applyBorder="1" applyAlignment="1" applyProtection="1">
      <alignment horizontal="right" vertical="center"/>
    </xf>
    <xf numFmtId="179" fontId="80" fillId="5" borderId="2" xfId="3" applyNumberFormat="1" applyFont="1" applyFill="1" applyBorder="1" applyAlignment="1" applyProtection="1">
      <alignment horizontal="center" vertical="center" wrapText="1"/>
    </xf>
    <xf numFmtId="177"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5"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5"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4"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xf>
    <xf numFmtId="177"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6"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79" fontId="72" fillId="5" borderId="0" xfId="0" applyNumberFormat="1" applyFont="1" applyFill="1" applyBorder="1" applyAlignment="1" applyProtection="1">
      <alignment horizontal="center" vertical="center" wrapText="1"/>
    </xf>
    <xf numFmtId="179" fontId="75" fillId="5" borderId="0" xfId="0" applyNumberFormat="1" applyFont="1" applyFill="1" applyBorder="1" applyAlignment="1" applyProtection="1">
      <alignment horizontal="center" vertical="center" wrapText="1"/>
    </xf>
    <xf numFmtId="176"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79"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79"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79"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7"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7" fontId="80" fillId="3" borderId="9" xfId="0" applyNumberFormat="1" applyFont="1" applyFill="1" applyBorder="1" applyAlignment="1" applyProtection="1">
      <alignment horizontal="center" vertical="center"/>
    </xf>
    <xf numFmtId="187" fontId="80" fillId="3" borderId="2" xfId="0" applyNumberFormat="1" applyFont="1" applyFill="1" applyBorder="1" applyAlignment="1" applyProtection="1">
      <alignment horizontal="center" vertical="center" wrapText="1"/>
    </xf>
    <xf numFmtId="187" fontId="80" fillId="0" borderId="0" xfId="0" applyNumberFormat="1" applyFont="1" applyFill="1" applyAlignment="1" applyProtection="1">
      <alignment horizontal="center" vertical="center"/>
    </xf>
    <xf numFmtId="181"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6"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79" fontId="71" fillId="5" borderId="47" xfId="0" applyNumberFormat="1" applyFont="1" applyFill="1" applyBorder="1" applyAlignment="1" applyProtection="1">
      <alignment vertical="center"/>
    </xf>
    <xf numFmtId="179" fontId="71" fillId="5" borderId="44" xfId="0" applyNumberFormat="1" applyFont="1" applyFill="1" applyBorder="1" applyAlignment="1" applyProtection="1">
      <alignment vertical="center"/>
    </xf>
    <xf numFmtId="179"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5" fontId="82" fillId="5" borderId="3" xfId="3" applyNumberFormat="1" applyFont="1" applyFill="1" applyBorder="1" applyAlignment="1" applyProtection="1">
      <alignment horizontal="center" vertical="center" wrapText="1"/>
    </xf>
    <xf numFmtId="185"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6"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6"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1"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7"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7" fontId="80" fillId="8" borderId="0" xfId="0" applyNumberFormat="1" applyFont="1" applyFill="1" applyAlignment="1" applyProtection="1">
      <alignment horizontal="center" vertical="center"/>
    </xf>
    <xf numFmtId="181" fontId="80" fillId="8" borderId="0" xfId="0" applyNumberFormat="1" applyFont="1" applyFill="1" applyAlignment="1" applyProtection="1">
      <alignment horizontal="center" vertical="center"/>
    </xf>
    <xf numFmtId="177"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7" fontId="80" fillId="5" borderId="16" xfId="0" applyNumberFormat="1" applyFont="1" applyFill="1" applyBorder="1" applyAlignment="1" applyProtection="1">
      <alignment horizontal="center" vertical="center"/>
    </xf>
    <xf numFmtId="187"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7" fontId="80" fillId="5" borderId="9" xfId="0" applyNumberFormat="1" applyFont="1" applyFill="1" applyBorder="1" applyAlignment="1" applyProtection="1">
      <alignment horizontal="center" vertical="center"/>
    </xf>
    <xf numFmtId="187"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4"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4" fontId="148" fillId="0" borderId="44" xfId="0" applyNumberFormat="1" applyFont="1" applyFill="1" applyBorder="1" applyAlignment="1" applyProtection="1">
      <alignment horizontal="center"/>
      <protection locked="0"/>
    </xf>
    <xf numFmtId="184" fontId="72" fillId="0" borderId="44" xfId="0" applyNumberFormat="1" applyFont="1" applyFill="1" applyBorder="1" applyAlignment="1" applyProtection="1">
      <alignment horizontal="center"/>
      <protection locked="0"/>
    </xf>
    <xf numFmtId="184" fontId="72" fillId="0" borderId="46" xfId="0" applyNumberFormat="1" applyFont="1" applyFill="1" applyBorder="1" applyAlignment="1" applyProtection="1">
      <alignment horizontal="center"/>
      <protection locked="0"/>
    </xf>
    <xf numFmtId="177" fontId="72" fillId="5" borderId="44" xfId="0" applyNumberFormat="1" applyFont="1" applyFill="1" applyBorder="1" applyAlignment="1" applyProtection="1">
      <alignment horizontal="center" vertical="center" wrapText="1"/>
    </xf>
    <xf numFmtId="185"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7" fontId="74" fillId="6" borderId="2" xfId="2" applyNumberFormat="1" applyFont="1" applyFill="1" applyBorder="1" applyAlignment="1" applyProtection="1">
      <alignment horizontal="center" vertical="center"/>
      <protection locked="0"/>
    </xf>
    <xf numFmtId="179"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3" fontId="182" fillId="0" borderId="12" xfId="0" applyNumberFormat="1" applyFont="1" applyFill="1" applyBorder="1" applyAlignment="1" applyProtection="1">
      <alignment horizontal="left" vertical="center" shrinkToFit="1"/>
      <protection locked="0"/>
    </xf>
    <xf numFmtId="183"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79"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3"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8"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5"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8" fontId="102" fillId="5" borderId="12" xfId="0" applyNumberFormat="1" applyFont="1" applyFill="1" applyBorder="1" applyAlignment="1" applyProtection="1">
      <alignment horizontal="center" vertical="center"/>
    </xf>
    <xf numFmtId="178"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8"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7"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6"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79"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79"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79"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8"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79"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7"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4"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1"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1"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7" fontId="80" fillId="5" borderId="0" xfId="0" applyNumberFormat="1" applyFont="1" applyFill="1" applyAlignment="1" applyProtection="1">
      <alignment horizontal="center" vertical="center"/>
      <protection locked="0"/>
    </xf>
    <xf numFmtId="181" fontId="80" fillId="5" borderId="0" xfId="0" applyNumberFormat="1" applyFont="1" applyFill="1" applyAlignment="1" applyProtection="1">
      <alignment horizontal="center" vertical="center"/>
      <protection locked="0"/>
    </xf>
    <xf numFmtId="176" fontId="80" fillId="5" borderId="0" xfId="0" applyNumberFormat="1" applyFont="1" applyFill="1" applyAlignment="1" applyProtection="1">
      <alignment horizontal="center" vertical="center"/>
      <protection locked="0"/>
    </xf>
    <xf numFmtId="187" fontId="101" fillId="5" borderId="0" xfId="0" applyNumberFormat="1" applyFont="1" applyFill="1" applyAlignment="1" applyProtection="1">
      <alignment horizontal="center" vertical="center"/>
      <protection locked="0"/>
    </xf>
    <xf numFmtId="181"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7" fontId="80" fillId="8" borderId="0" xfId="0" applyNumberFormat="1" applyFont="1" applyFill="1" applyAlignment="1" applyProtection="1">
      <alignment horizontal="center" vertical="center"/>
      <protection locked="0"/>
    </xf>
    <xf numFmtId="181"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7" fontId="80" fillId="0" borderId="0" xfId="0" applyNumberFormat="1" applyFont="1" applyFill="1" applyAlignment="1" applyProtection="1">
      <alignment horizontal="center" vertical="center"/>
      <protection locked="0"/>
    </xf>
    <xf numFmtId="181"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7" fontId="93" fillId="5" borderId="0" xfId="0" applyNumberFormat="1" applyFont="1" applyFill="1" applyBorder="1" applyAlignment="1" applyProtection="1">
      <alignment horizontal="center" vertical="center"/>
      <protection locked="0"/>
    </xf>
    <xf numFmtId="181"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7" fontId="80" fillId="5" borderId="0" xfId="0" applyNumberFormat="1" applyFont="1" applyFill="1" applyBorder="1" applyAlignment="1" applyProtection="1">
      <alignment horizontal="center"/>
      <protection locked="0"/>
    </xf>
    <xf numFmtId="181"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6" fontId="67" fillId="5" borderId="2" xfId="0" applyNumberFormat="1" applyFont="1" applyFill="1" applyBorder="1" applyProtection="1">
      <alignment vertical="center"/>
    </xf>
    <xf numFmtId="177" fontId="126" fillId="5" borderId="11" xfId="2" applyNumberFormat="1" applyFont="1" applyFill="1" applyBorder="1" applyAlignment="1" applyProtection="1">
      <alignment horizontal="left" vertical="center"/>
    </xf>
    <xf numFmtId="177"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7" fontId="67" fillId="5" borderId="2" xfId="2" applyNumberFormat="1" applyFont="1" applyFill="1" applyBorder="1" applyAlignment="1" applyProtection="1">
      <alignment vertical="center"/>
    </xf>
    <xf numFmtId="177" fontId="67" fillId="5" borderId="5" xfId="2" applyNumberFormat="1" applyFont="1" applyFill="1" applyBorder="1" applyAlignment="1" applyProtection="1">
      <alignment vertical="center"/>
    </xf>
    <xf numFmtId="177" fontId="67" fillId="5" borderId="11" xfId="2"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1" fontId="76" fillId="5" borderId="2" xfId="0" applyNumberFormat="1" applyFont="1" applyFill="1" applyBorder="1" applyAlignment="1" applyProtection="1">
      <alignment horizontal="center" vertical="center"/>
    </xf>
    <xf numFmtId="179" fontId="67" fillId="5" borderId="43" xfId="2" applyNumberFormat="1" applyFont="1" applyFill="1" applyBorder="1" applyAlignment="1" applyProtection="1">
      <alignment horizontal="center" vertical="center"/>
    </xf>
    <xf numFmtId="177"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7"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1" fontId="67" fillId="5" borderId="2" xfId="0" applyNumberFormat="1" applyFont="1" applyFill="1" applyBorder="1" applyAlignment="1" applyProtection="1">
      <alignment vertical="center"/>
    </xf>
    <xf numFmtId="181" fontId="67" fillId="5" borderId="5" xfId="0" applyNumberFormat="1" applyFont="1" applyFill="1" applyBorder="1" applyAlignment="1" applyProtection="1">
      <alignment vertical="center"/>
    </xf>
    <xf numFmtId="181" fontId="67" fillId="5" borderId="12" xfId="0" applyNumberFormat="1" applyFont="1" applyFill="1" applyBorder="1" applyAlignment="1" applyProtection="1">
      <alignment vertical="center"/>
    </xf>
    <xf numFmtId="181" fontId="67" fillId="5" borderId="2" xfId="0" applyNumberFormat="1" applyFont="1" applyFill="1" applyBorder="1" applyAlignment="1" applyProtection="1">
      <alignment horizontal="center" vertical="center"/>
    </xf>
    <xf numFmtId="181"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horizontal="center" vertical="center"/>
    </xf>
    <xf numFmtId="181"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7"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1"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1"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79"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1"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1"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1"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1"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1" fontId="81" fillId="5" borderId="90" xfId="0" applyNumberFormat="1" applyFont="1" applyFill="1" applyBorder="1" applyAlignment="1" applyProtection="1">
      <alignment horizontal="center" vertical="center"/>
    </xf>
    <xf numFmtId="181"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5"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7" fontId="67" fillId="0" borderId="67" xfId="0" applyNumberFormat="1" applyFont="1" applyFill="1" applyBorder="1" applyAlignment="1" applyProtection="1">
      <alignment horizontal="center" vertical="center" wrapText="1"/>
      <protection locked="0"/>
    </xf>
    <xf numFmtId="178"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6"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8"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8"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7"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4"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4" fontId="72" fillId="0" borderId="2" xfId="0" applyNumberFormat="1" applyFont="1" applyFill="1" applyBorder="1" applyAlignment="1" applyProtection="1">
      <alignment horizontal="center" vertical="center"/>
      <protection locked="0"/>
    </xf>
    <xf numFmtId="184"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4" fontId="72" fillId="0" borderId="44" xfId="0" applyNumberFormat="1" applyFont="1" applyFill="1" applyBorder="1" applyAlignment="1" applyProtection="1">
      <alignment horizontal="center" vertical="center"/>
      <protection locked="0"/>
    </xf>
    <xf numFmtId="184"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1"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7"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79"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7"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5" fontId="72" fillId="5" borderId="9" xfId="0"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7" fontId="72" fillId="5" borderId="56" xfId="2" applyNumberFormat="1" applyFont="1" applyFill="1" applyBorder="1" applyAlignment="1" applyProtection="1">
      <alignment vertical="center"/>
    </xf>
    <xf numFmtId="184"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3"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3"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79"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4" fontId="148" fillId="5" borderId="2" xfId="3" applyNumberFormat="1" applyFont="1" applyFill="1" applyBorder="1" applyAlignment="1" applyProtection="1">
      <alignment horizontal="center" vertical="center"/>
    </xf>
    <xf numFmtId="177" fontId="154" fillId="5" borderId="2" xfId="3" applyNumberFormat="1" applyFont="1" applyFill="1" applyBorder="1" applyAlignment="1" applyProtection="1">
      <alignment horizontal="center" vertical="center"/>
    </xf>
    <xf numFmtId="185"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7"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4"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1"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1"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1"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7"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1" fontId="102" fillId="5" borderId="6" xfId="0" applyNumberFormat="1" applyFont="1" applyFill="1" applyBorder="1" applyAlignment="1" applyProtection="1">
      <alignment horizontal="center" vertical="center"/>
    </xf>
    <xf numFmtId="181"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1"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4"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7"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4" fontId="153" fillId="11" borderId="120" xfId="13" applyNumberFormat="1" applyFont="1" applyFill="1" applyBorder="1" applyAlignment="1" applyProtection="1">
      <alignment horizontal="left" vertical="center" wrapText="1"/>
    </xf>
    <xf numFmtId="184" fontId="153" fillId="11" borderId="127" xfId="13" applyNumberFormat="1" applyFont="1" applyFill="1" applyBorder="1" applyAlignment="1" applyProtection="1">
      <alignment horizontal="left" vertical="center" wrapText="1"/>
    </xf>
    <xf numFmtId="181" fontId="148" fillId="0" borderId="122" xfId="10" applyNumberFormat="1" applyFont="1" applyBorder="1" applyAlignment="1">
      <alignment horizontal="left" vertical="center"/>
    </xf>
    <xf numFmtId="181"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4" fontId="153" fillId="11" borderId="120" xfId="13" applyNumberFormat="1" applyFont="1" applyFill="1" applyBorder="1" applyAlignment="1">
      <alignment horizontal="left" vertical="center" wrapText="1"/>
    </xf>
    <xf numFmtId="184"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4" fontId="153" fillId="11" borderId="120" xfId="10" applyNumberFormat="1" applyFont="1" applyFill="1" applyBorder="1" applyAlignment="1">
      <alignment horizontal="left" vertical="center" wrapText="1"/>
    </xf>
    <xf numFmtId="184"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4" fontId="153" fillId="11" borderId="124" xfId="10" applyNumberFormat="1" applyFont="1" applyFill="1" applyBorder="1" applyAlignment="1">
      <alignment horizontal="left" vertical="center" wrapText="1"/>
    </xf>
    <xf numFmtId="184"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4"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7"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4" fontId="153" fillId="11" borderId="130" xfId="10" applyNumberFormat="1" applyFont="1" applyFill="1" applyBorder="1" applyAlignment="1">
      <alignment horizontal="left" vertical="center" wrapText="1"/>
    </xf>
    <xf numFmtId="184" fontId="153" fillId="11" borderId="134" xfId="10" applyNumberFormat="1" applyFont="1" applyFill="1" applyBorder="1" applyAlignment="1">
      <alignment horizontal="left" vertical="center" wrapText="1"/>
    </xf>
    <xf numFmtId="184" fontId="148" fillId="13" borderId="0" xfId="10" applyNumberFormat="1" applyFont="1" applyFill="1" applyAlignment="1">
      <alignment horizontal="left" vertical="center"/>
    </xf>
    <xf numFmtId="184"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7"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8"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8"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0" fontId="148" fillId="0" borderId="0" xfId="10" applyNumberFormat="1" applyFont="1" applyAlignment="1">
      <alignment horizontal="left" vertical="center"/>
    </xf>
    <xf numFmtId="180" fontId="148" fillId="0" borderId="122" xfId="10" applyNumberFormat="1" applyFont="1" applyBorder="1" applyAlignment="1">
      <alignment horizontal="left" vertical="center"/>
    </xf>
    <xf numFmtId="177"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0"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8"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0" fontId="154" fillId="0" borderId="0" xfId="10" applyNumberFormat="1" applyFont="1" applyAlignment="1">
      <alignment horizontal="left" vertical="center"/>
    </xf>
    <xf numFmtId="180"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1" fontId="79" fillId="16" borderId="48" xfId="0" applyNumberFormat="1" applyFont="1" applyFill="1" applyBorder="1" applyAlignment="1" applyProtection="1">
      <alignment horizontal="left" vertical="center" wrapText="1"/>
      <protection locked="0"/>
    </xf>
    <xf numFmtId="176"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1"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6"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3" fontId="269" fillId="0" borderId="2" xfId="7" applyNumberFormat="1" applyFont="1" applyFill="1" applyBorder="1" applyAlignment="1">
      <alignment horizontal="left" vertical="center"/>
    </xf>
    <xf numFmtId="19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3"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3"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79"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79"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79"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79" fontId="149" fillId="12" borderId="0" xfId="0" applyNumberFormat="1" applyFont="1" applyFill="1" applyAlignment="1" applyProtection="1">
      <alignment vertical="center"/>
    </xf>
    <xf numFmtId="181"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4"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1"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7" fontId="80" fillId="12" borderId="0" xfId="0" applyNumberFormat="1" applyFont="1" applyFill="1" applyAlignment="1" applyProtection="1">
      <alignment horizontal="center" vertical="center"/>
      <protection locked="0"/>
    </xf>
    <xf numFmtId="187"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7"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7" fontId="97" fillId="5" borderId="19" xfId="0" applyNumberFormat="1" applyFont="1" applyFill="1" applyBorder="1" applyAlignment="1" applyProtection="1">
      <protection locked="0"/>
    </xf>
    <xf numFmtId="177"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7"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7"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79"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4" fontId="81" fillId="5" borderId="10" xfId="0" applyNumberFormat="1" applyFont="1" applyFill="1" applyBorder="1" applyAlignment="1" applyProtection="1">
      <alignment horizontal="center"/>
    </xf>
    <xf numFmtId="185" fontId="152" fillId="5" borderId="10" xfId="0" applyNumberFormat="1" applyFont="1" applyFill="1" applyBorder="1" applyAlignment="1" applyProtection="1">
      <alignment horizontal="center" vertical="center"/>
    </xf>
    <xf numFmtId="177"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4" fontId="81" fillId="5" borderId="83" xfId="0" applyNumberFormat="1" applyFont="1" applyFill="1" applyBorder="1" applyAlignment="1" applyProtection="1">
      <alignment horizontal="center"/>
    </xf>
    <xf numFmtId="185" fontId="152" fillId="5" borderId="83" xfId="0" applyNumberFormat="1" applyFont="1" applyFill="1" applyBorder="1" applyAlignment="1" applyProtection="1">
      <alignment horizontal="center" vertical="center"/>
    </xf>
    <xf numFmtId="177"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4"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4"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4"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7" fontId="148" fillId="0" borderId="2" xfId="2" applyNumberFormat="1" applyFont="1" applyBorder="1" applyAlignment="1" applyProtection="1">
      <alignment horizontal="left" vertical="center"/>
      <protection locked="0" hidden="1"/>
    </xf>
    <xf numFmtId="177" fontId="148" fillId="0" borderId="12" xfId="2" applyNumberFormat="1" applyFont="1" applyBorder="1" applyAlignment="1" applyProtection="1">
      <alignment horizontal="left" vertical="center"/>
      <protection locked="0" hidden="1"/>
    </xf>
    <xf numFmtId="177"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4"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4" fontId="91" fillId="5" borderId="63" xfId="6" applyNumberFormat="1" applyFont="1" applyFill="1" applyBorder="1" applyAlignment="1">
      <alignment horizontal="left" vertical="center"/>
    </xf>
    <xf numFmtId="184"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7"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4"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1"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4" fontId="82" fillId="5" borderId="2" xfId="6" applyNumberFormat="1" applyFont="1" applyFill="1" applyBorder="1" applyAlignment="1">
      <alignment horizontal="left" vertical="center"/>
    </xf>
    <xf numFmtId="181"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6" fontId="82" fillId="0" borderId="2" xfId="6" applyNumberFormat="1" applyFont="1" applyFill="1" applyBorder="1" applyAlignment="1" applyProtection="1">
      <alignment horizontal="left" vertical="center"/>
      <protection locked="0"/>
    </xf>
    <xf numFmtId="181"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7" fontId="91" fillId="5" borderId="2" xfId="6" applyNumberFormat="1" applyFont="1" applyFill="1" applyBorder="1" applyAlignment="1" applyProtection="1">
      <alignment horizontal="left" vertical="center"/>
      <protection locked="0"/>
    </xf>
    <xf numFmtId="177" fontId="82" fillId="0" borderId="12" xfId="6" applyNumberFormat="1" applyFont="1" applyFill="1" applyBorder="1" applyAlignment="1" applyProtection="1">
      <alignment horizontal="left" vertical="center"/>
      <protection locked="0"/>
    </xf>
    <xf numFmtId="184" fontId="82" fillId="0" borderId="2" xfId="6" applyNumberFormat="1" applyFont="1" applyFill="1" applyBorder="1" applyAlignment="1" applyProtection="1">
      <alignment horizontal="left" vertical="center"/>
      <protection locked="0"/>
    </xf>
    <xf numFmtId="181"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4" fontId="91" fillId="5" borderId="44" xfId="6" applyNumberFormat="1" applyFont="1" applyFill="1" applyBorder="1" applyAlignment="1">
      <alignment horizontal="left" vertical="center"/>
    </xf>
    <xf numFmtId="181"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4" fontId="91" fillId="5" borderId="19" xfId="6" applyNumberFormat="1" applyFont="1" applyFill="1" applyBorder="1" applyAlignment="1">
      <alignment horizontal="left" vertical="center"/>
    </xf>
    <xf numFmtId="181"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7"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4" fontId="82" fillId="5" borderId="5" xfId="6" applyNumberFormat="1" applyFont="1" applyFill="1" applyBorder="1" applyAlignment="1">
      <alignment horizontal="left" vertical="center"/>
    </xf>
    <xf numFmtId="184" fontId="82" fillId="5" borderId="157" xfId="6" applyNumberFormat="1" applyFont="1" applyFill="1" applyBorder="1" applyAlignment="1">
      <alignment horizontal="left" vertical="center"/>
    </xf>
    <xf numFmtId="184"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4" fontId="82" fillId="5" borderId="5" xfId="6" applyNumberFormat="1" applyFont="1" applyFill="1" applyBorder="1" applyAlignment="1">
      <alignment horizontal="right" vertical="center"/>
    </xf>
    <xf numFmtId="181" fontId="82" fillId="0" borderId="157" xfId="6" applyNumberFormat="1" applyFont="1" applyFill="1" applyBorder="1" applyAlignment="1" applyProtection="1">
      <alignment horizontal="right" vertical="center"/>
      <protection locked="0"/>
    </xf>
    <xf numFmtId="181"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1"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1"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1" fontId="82" fillId="5" borderId="157" xfId="6" applyNumberFormat="1" applyFont="1" applyFill="1" applyBorder="1" applyAlignment="1">
      <alignment horizontal="right" vertical="center"/>
    </xf>
    <xf numFmtId="181"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7"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1" fontId="82" fillId="0" borderId="5" xfId="6" applyNumberFormat="1" applyFont="1" applyFill="1" applyBorder="1" applyAlignment="1" applyProtection="1">
      <alignment horizontal="left" vertical="center"/>
      <protection locked="0"/>
    </xf>
    <xf numFmtId="181" fontId="82" fillId="0" borderId="157" xfId="6" applyNumberFormat="1" applyFont="1" applyFill="1" applyBorder="1" applyAlignment="1" applyProtection="1">
      <alignment horizontal="left" vertical="center"/>
      <protection locked="0"/>
    </xf>
    <xf numFmtId="181" fontId="82" fillId="0" borderId="9" xfId="6" applyNumberFormat="1" applyFont="1" applyFill="1" applyBorder="1" applyAlignment="1" applyProtection="1">
      <alignment horizontal="left" vertical="center"/>
      <protection locked="0"/>
    </xf>
    <xf numFmtId="176"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6" fontId="82" fillId="0" borderId="45" xfId="6" applyNumberFormat="1" applyFont="1" applyFill="1" applyBorder="1" applyAlignment="1" applyProtection="1">
      <alignment horizontal="left" vertical="center"/>
      <protection locked="0"/>
    </xf>
    <xf numFmtId="176" fontId="82" fillId="0" borderId="158" xfId="6" applyNumberFormat="1" applyFont="1" applyFill="1" applyBorder="1" applyAlignment="1" applyProtection="1">
      <alignment horizontal="left" vertical="center"/>
      <protection locked="0"/>
    </xf>
    <xf numFmtId="176" fontId="82" fillId="0" borderId="47" xfId="6" applyNumberFormat="1" applyFont="1" applyFill="1" applyBorder="1" applyAlignment="1" applyProtection="1">
      <alignment horizontal="left" vertical="center"/>
      <protection locked="0"/>
    </xf>
    <xf numFmtId="176"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4"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4"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8" fontId="0" fillId="5" borderId="6" xfId="0" applyNumberFormat="1" applyFill="1" applyBorder="1" applyAlignment="1" applyProtection="1">
      <alignment horizontal="left" vertical="center"/>
    </xf>
    <xf numFmtId="178" fontId="0" fillId="5" borderId="29" xfId="0" applyNumberFormat="1" applyFill="1" applyBorder="1" applyAlignment="1" applyProtection="1">
      <alignment horizontal="left" vertical="center"/>
    </xf>
    <xf numFmtId="178"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5" xfId="0" applyNumberFormat="1" applyFill="1" applyBorder="1" applyAlignment="1" applyProtection="1">
      <alignment horizontal="left" vertical="center"/>
    </xf>
    <xf numFmtId="178"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 xfId="0" applyNumberFormat="1" applyFill="1" applyBorder="1" applyAlignment="1" applyProtection="1">
      <alignment horizontal="left" vertical="center"/>
    </xf>
    <xf numFmtId="178"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8" fontId="0" fillId="5" borderId="45" xfId="0" applyNumberForma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3"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7"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6"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5"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3" fontId="74" fillId="0" borderId="2" xfId="0" applyNumberFormat="1" applyFont="1" applyFill="1" applyBorder="1" applyAlignment="1" applyProtection="1">
      <alignment horizontal="center" vertical="center" shrinkToFit="1"/>
      <protection locked="0"/>
    </xf>
    <xf numFmtId="0" fontId="297" fillId="0" borderId="0" xfId="1" applyFont="1" applyAlignment="1">
      <alignment horizontal="left" vertical="center"/>
    </xf>
    <xf numFmtId="2" fontId="297" fillId="0" borderId="0" xfId="1" applyNumberFormat="1" applyFont="1" applyAlignment="1">
      <alignment horizontal="left" vertical="center"/>
    </xf>
    <xf numFmtId="0" fontId="297" fillId="6" borderId="0" xfId="1" applyFont="1" applyFill="1" applyAlignment="1">
      <alignment horizontal="left" vertical="center"/>
    </xf>
    <xf numFmtId="0" fontId="123" fillId="0" borderId="0" xfId="1" applyFont="1" applyFill="1" applyBorder="1" applyAlignment="1">
      <alignment horizontal="left" vertical="center"/>
    </xf>
    <xf numFmtId="0" fontId="82" fillId="0" borderId="0" xfId="1" applyFont="1" applyFill="1" applyBorder="1" applyAlignment="1">
      <alignment horizontal="left" vertical="center"/>
    </xf>
    <xf numFmtId="0" fontId="123" fillId="7" borderId="0" xfId="1" applyFont="1" applyFill="1" applyBorder="1" applyAlignment="1">
      <alignment horizontal="left" vertical="center"/>
    </xf>
    <xf numFmtId="0" fontId="82" fillId="7" borderId="0" xfId="1" applyFont="1" applyFill="1" applyBorder="1" applyAlignment="1">
      <alignment horizontal="left" vertical="center"/>
    </xf>
    <xf numFmtId="0" fontId="123" fillId="9" borderId="0" xfId="1" applyFont="1" applyFill="1" applyBorder="1" applyAlignment="1">
      <alignment horizontal="left" vertical="center"/>
    </xf>
    <xf numFmtId="0" fontId="82" fillId="9" borderId="0" xfId="1" applyFont="1" applyFill="1" applyBorder="1" applyAlignment="1">
      <alignment horizontal="left" vertical="center"/>
    </xf>
    <xf numFmtId="0" fontId="123" fillId="6" borderId="0" xfId="1" applyFont="1" applyFill="1" applyBorder="1" applyAlignment="1">
      <alignment horizontal="left" vertical="center"/>
    </xf>
    <xf numFmtId="0" fontId="82" fillId="6" borderId="0" xfId="1" applyFont="1" applyFill="1" applyBorder="1" applyAlignment="1">
      <alignment horizontal="left" vertical="center"/>
    </xf>
    <xf numFmtId="0" fontId="140" fillId="0" borderId="6" xfId="0" applyNumberFormat="1" applyFont="1" applyFill="1" applyBorder="1" applyAlignment="1" applyProtection="1">
      <alignment horizontal="center" vertical="center" wrapText="1"/>
      <protection locked="0"/>
    </xf>
    <xf numFmtId="177" fontId="67" fillId="0" borderId="2"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298" fillId="0" borderId="74" xfId="0" applyNumberFormat="1" applyFont="1" applyFill="1" applyBorder="1" applyAlignment="1" applyProtection="1">
      <alignment horizontal="center" vertical="center" wrapText="1"/>
      <protection locked="0"/>
    </xf>
    <xf numFmtId="0" fontId="198" fillId="0" borderId="2" xfId="0" applyFont="1" applyFill="1" applyBorder="1" applyAlignment="1" applyProtection="1">
      <alignment horizontal="center" vertical="center"/>
      <protection locked="0"/>
    </xf>
    <xf numFmtId="0" fontId="208" fillId="12" borderId="0" xfId="0" applyFont="1" applyFill="1" applyAlignment="1" applyProtection="1">
      <alignment horizontal="center" vertical="center"/>
      <protection locked="0"/>
    </xf>
    <xf numFmtId="0" fontId="208" fillId="12" borderId="0" xfId="0" applyFont="1" applyFill="1" applyBorder="1" applyAlignment="1" applyProtection="1">
      <alignment vertical="center"/>
      <protection locked="0"/>
    </xf>
    <xf numFmtId="0" fontId="141" fillId="0" borderId="0" xfId="1">
      <alignment vertical="center"/>
    </xf>
    <xf numFmtId="0" fontId="77" fillId="0" borderId="59" xfId="0" applyNumberFormat="1" applyFont="1" applyFill="1" applyBorder="1" applyAlignment="1" applyProtection="1">
      <alignment horizontal="center" vertical="center" wrapText="1"/>
      <protection locked="0"/>
    </xf>
    <xf numFmtId="0" fontId="140" fillId="0" borderId="71" xfId="0" applyNumberFormat="1" applyFont="1" applyFill="1" applyBorder="1" applyAlignment="1" applyProtection="1">
      <alignment horizontal="center" vertical="center" wrapText="1"/>
      <protection locked="0"/>
    </xf>
    <xf numFmtId="181" fontId="148" fillId="16" borderId="2" xfId="0" applyNumberFormat="1" applyFont="1" applyFill="1" applyBorder="1" applyAlignment="1" applyProtection="1">
      <alignment horizontal="center" vertical="center"/>
      <protection locked="0"/>
    </xf>
    <xf numFmtId="181" fontId="67" fillId="16" borderId="2" xfId="0" applyNumberFormat="1" applyFont="1" applyFill="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9" fontId="67" fillId="16" borderId="5" xfId="0"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79" fontId="74" fillId="8" borderId="5" xfId="0" applyNumberFormat="1" applyFont="1" applyFill="1" applyBorder="1" applyAlignment="1" applyProtection="1">
      <alignment horizontal="center" vertical="center" wrapText="1"/>
      <protection locked="0"/>
    </xf>
    <xf numFmtId="179" fontId="74" fillId="8" borderId="8" xfId="0" applyNumberFormat="1" applyFont="1" applyFill="1" applyBorder="1" applyAlignment="1" applyProtection="1">
      <alignment horizontal="center" vertical="center" wrapText="1"/>
      <protection locked="0"/>
    </xf>
    <xf numFmtId="179"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4" fontId="79" fillId="16" borderId="2" xfId="0" applyNumberFormat="1"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4"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7</xdr:col>
      <xdr:colOff>541020</xdr:colOff>
      <xdr:row>58</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2181225" y="4524375"/>
          <a:ext cx="4370070" cy="6071235"/>
        </a:xfrm>
        <a:prstGeom prst="rect">
          <a:avLst/>
        </a:prstGeom>
        <a:noFill/>
        <a:ln w="9525">
          <a:noFill/>
        </a:ln>
      </xdr:spPr>
    </xdr:pic>
    <xdr:clientData/>
  </xdr:twoCellAnchor>
  <xdr:twoCellAnchor editAs="oneCell">
    <xdr:from>
      <xdr:col>10</xdr:col>
      <xdr:colOff>276225</xdr:colOff>
      <xdr:row>24</xdr:row>
      <xdr:rowOff>76200</xdr:rowOff>
    </xdr:from>
    <xdr:to>
      <xdr:col>17</xdr:col>
      <xdr:colOff>180396</xdr:colOff>
      <xdr:row>49</xdr:row>
      <xdr:rowOff>85159</xdr:rowOff>
    </xdr:to>
    <xdr:pic>
      <xdr:nvPicPr>
        <xdr:cNvPr id="3" name="图片 2"/>
        <xdr:cNvPicPr>
          <a:picLocks noChangeAspect="1"/>
        </xdr:cNvPicPr>
      </xdr:nvPicPr>
      <xdr:blipFill>
        <a:blip xmlns:r="http://schemas.openxmlformats.org/officeDocument/2006/relationships" r:embed="rId2"/>
        <a:stretch>
          <a:fillRect/>
        </a:stretch>
      </xdr:blipFill>
      <xdr:spPr>
        <a:xfrm>
          <a:off x="8610600" y="4419600"/>
          <a:ext cx="4638096" cy="4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313055</xdr:colOff>
      <xdr:row>16</xdr:row>
      <xdr:rowOff>129540</xdr:rowOff>
    </xdr:from>
    <xdr:to>
      <xdr:col>5</xdr:col>
      <xdr:colOff>244475</xdr:colOff>
      <xdr:row>47</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313055" y="2720340"/>
          <a:ext cx="8399145" cy="5034915"/>
        </a:xfrm>
        <a:prstGeom prst="rect">
          <a:avLst/>
        </a:prstGeom>
        <a:noFill/>
        <a:ln w="9525">
          <a:noFill/>
        </a:ln>
      </xdr:spPr>
    </xdr:pic>
    <xdr:clientData/>
  </xdr:twoCellAnchor>
  <xdr:twoCellAnchor>
    <xdr:from>
      <xdr:col>1</xdr:col>
      <xdr:colOff>53340</xdr:colOff>
      <xdr:row>27</xdr:row>
      <xdr:rowOff>152400</xdr:rowOff>
    </xdr:from>
    <xdr:to>
      <xdr:col>1</xdr:col>
      <xdr:colOff>320040</xdr:colOff>
      <xdr:row>29</xdr:row>
      <xdr:rowOff>121920</xdr:rowOff>
    </xdr:to>
    <xdr:sp macro="" textlink="">
      <xdr:nvSpPr>
        <xdr:cNvPr id="3" name="五角星 2"/>
        <xdr:cNvSpPr/>
      </xdr:nvSpPr>
      <xdr:spPr>
        <a:xfrm>
          <a:off x="5015865" y="4524375"/>
          <a:ext cx="266700" cy="29337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853440</xdr:colOff>
      <xdr:row>36</xdr:row>
      <xdr:rowOff>53340</xdr:rowOff>
    </xdr:from>
    <xdr:to>
      <xdr:col>3</xdr:col>
      <xdr:colOff>53340</xdr:colOff>
      <xdr:row>38</xdr:row>
      <xdr:rowOff>68580</xdr:rowOff>
    </xdr:to>
    <xdr:sp macro="" textlink="">
      <xdr:nvSpPr>
        <xdr:cNvPr id="4" name="十字星 3"/>
        <xdr:cNvSpPr/>
      </xdr:nvSpPr>
      <xdr:spPr>
        <a:xfrm>
          <a:off x="6358890" y="5882640"/>
          <a:ext cx="40957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654685</xdr:colOff>
      <xdr:row>31</xdr:row>
      <xdr:rowOff>137160</xdr:rowOff>
    </xdr:from>
    <xdr:to>
      <xdr:col>2</xdr:col>
      <xdr:colOff>943610</xdr:colOff>
      <xdr:row>33</xdr:row>
      <xdr:rowOff>152400</xdr:rowOff>
    </xdr:to>
    <xdr:sp macro="" textlink="">
      <xdr:nvSpPr>
        <xdr:cNvPr id="5" name="十字星 4"/>
        <xdr:cNvSpPr/>
      </xdr:nvSpPr>
      <xdr:spPr>
        <a:xfrm>
          <a:off x="6160135" y="5156835"/>
          <a:ext cx="28892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461645</xdr:colOff>
      <xdr:row>20</xdr:row>
      <xdr:rowOff>27940</xdr:rowOff>
    </xdr:from>
    <xdr:to>
      <xdr:col>2</xdr:col>
      <xdr:colOff>261620</xdr:colOff>
      <xdr:row>22</xdr:row>
      <xdr:rowOff>43180</xdr:rowOff>
    </xdr:to>
    <xdr:sp macro="" textlink="">
      <xdr:nvSpPr>
        <xdr:cNvPr id="6" name="十字星 5"/>
        <xdr:cNvSpPr/>
      </xdr:nvSpPr>
      <xdr:spPr>
        <a:xfrm>
          <a:off x="5424170" y="3266440"/>
          <a:ext cx="342900"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297815</xdr:colOff>
      <xdr:row>49</xdr:row>
      <xdr:rowOff>160020</xdr:rowOff>
    </xdr:from>
    <xdr:to>
      <xdr:col>4</xdr:col>
      <xdr:colOff>792480</xdr:colOff>
      <xdr:row>54</xdr:row>
      <xdr:rowOff>91440</xdr:rowOff>
    </xdr:to>
    <xdr:pic>
      <xdr:nvPicPr>
        <xdr:cNvPr id="7" name="图片 6"/>
        <xdr:cNvPicPr>
          <a:picLocks noChangeAspect="1"/>
        </xdr:cNvPicPr>
      </xdr:nvPicPr>
      <xdr:blipFill>
        <a:blip xmlns:r="http://schemas.openxmlformats.org/officeDocument/2006/relationships" r:embed="rId2"/>
        <a:stretch>
          <a:fillRect/>
        </a:stretch>
      </xdr:blipFill>
      <xdr:spPr>
        <a:xfrm>
          <a:off x="297815" y="8094345"/>
          <a:ext cx="7981315" cy="741045"/>
        </a:xfrm>
        <a:prstGeom prst="rect">
          <a:avLst/>
        </a:prstGeom>
        <a:noFill/>
        <a:ln w="9525">
          <a:noFill/>
        </a:ln>
      </xdr:spPr>
    </xdr:pic>
    <xdr:clientData/>
  </xdr:twoCellAnchor>
  <xdr:twoCellAnchor editAs="oneCell">
    <xdr:from>
      <xdr:col>0</xdr:col>
      <xdr:colOff>236855</xdr:colOff>
      <xdr:row>55</xdr:row>
      <xdr:rowOff>68580</xdr:rowOff>
    </xdr:from>
    <xdr:to>
      <xdr:col>5</xdr:col>
      <xdr:colOff>1783715</xdr:colOff>
      <xdr:row>90</xdr:row>
      <xdr:rowOff>0</xdr:rowOff>
    </xdr:to>
    <xdr:pic>
      <xdr:nvPicPr>
        <xdr:cNvPr id="8" name="图片 7"/>
        <xdr:cNvPicPr>
          <a:picLocks noChangeAspect="1"/>
        </xdr:cNvPicPr>
      </xdr:nvPicPr>
      <xdr:blipFill>
        <a:blip xmlns:r="http://schemas.openxmlformats.org/officeDocument/2006/relationships" r:embed="rId3"/>
        <a:stretch>
          <a:fillRect/>
        </a:stretch>
      </xdr:blipFill>
      <xdr:spPr>
        <a:xfrm>
          <a:off x="236855" y="8974455"/>
          <a:ext cx="10014585" cy="5598795"/>
        </a:xfrm>
        <a:prstGeom prst="rect">
          <a:avLst/>
        </a:prstGeom>
        <a:noFill/>
        <a:ln w="9525">
          <a:noFill/>
        </a:ln>
      </xdr:spPr>
    </xdr:pic>
    <xdr:clientData/>
  </xdr:twoCellAnchor>
  <xdr:twoCellAnchor editAs="oneCell">
    <xdr:from>
      <xdr:col>5</xdr:col>
      <xdr:colOff>1699260</xdr:colOff>
      <xdr:row>71</xdr:row>
      <xdr:rowOff>7620</xdr:rowOff>
    </xdr:from>
    <xdr:to>
      <xdr:col>11</xdr:col>
      <xdr:colOff>70485</xdr:colOff>
      <xdr:row>90</xdr:row>
      <xdr:rowOff>38100</xdr:rowOff>
    </xdr:to>
    <xdr:pic>
      <xdr:nvPicPr>
        <xdr:cNvPr id="9" name="图片 8"/>
        <xdr:cNvPicPr>
          <a:picLocks noChangeAspect="1"/>
        </xdr:cNvPicPr>
      </xdr:nvPicPr>
      <xdr:blipFill>
        <a:blip xmlns:r="http://schemas.openxmlformats.org/officeDocument/2006/relationships" r:embed="rId4"/>
        <a:stretch>
          <a:fillRect/>
        </a:stretch>
      </xdr:blipFill>
      <xdr:spPr>
        <a:xfrm>
          <a:off x="10166985" y="11504295"/>
          <a:ext cx="6877050" cy="3107055"/>
        </a:xfrm>
        <a:prstGeom prst="rect">
          <a:avLst/>
        </a:prstGeom>
        <a:noFill/>
        <a:ln w="9525">
          <a:noFill/>
        </a:ln>
      </xdr:spPr>
    </xdr:pic>
    <xdr:clientData/>
  </xdr:twoCellAnchor>
  <xdr:twoCellAnchor editAs="oneCell">
    <xdr:from>
      <xdr:col>0</xdr:col>
      <xdr:colOff>198755</xdr:colOff>
      <xdr:row>91</xdr:row>
      <xdr:rowOff>0</xdr:rowOff>
    </xdr:from>
    <xdr:to>
      <xdr:col>6</xdr:col>
      <xdr:colOff>153035</xdr:colOff>
      <xdr:row>95</xdr:row>
      <xdr:rowOff>38100</xdr:rowOff>
    </xdr:to>
    <xdr:pic>
      <xdr:nvPicPr>
        <xdr:cNvPr id="10" name="图片 9"/>
        <xdr:cNvPicPr>
          <a:picLocks noChangeAspect="1"/>
        </xdr:cNvPicPr>
      </xdr:nvPicPr>
      <xdr:blipFill>
        <a:blip xmlns:r="http://schemas.openxmlformats.org/officeDocument/2006/relationships" r:embed="rId5"/>
        <a:stretch>
          <a:fillRect/>
        </a:stretch>
      </xdr:blipFill>
      <xdr:spPr>
        <a:xfrm>
          <a:off x="198755" y="14735175"/>
          <a:ext cx="11593830" cy="685800"/>
        </a:xfrm>
        <a:prstGeom prst="rect">
          <a:avLst/>
        </a:prstGeom>
        <a:noFill/>
        <a:ln w="9525">
          <a:noFill/>
        </a:ln>
      </xdr:spPr>
    </xdr:pic>
    <xdr:clientData/>
  </xdr:twoCellAnchor>
  <xdr:twoCellAnchor editAs="oneCell">
    <xdr:from>
      <xdr:col>0</xdr:col>
      <xdr:colOff>259715</xdr:colOff>
      <xdr:row>95</xdr:row>
      <xdr:rowOff>160020</xdr:rowOff>
    </xdr:from>
    <xdr:to>
      <xdr:col>5</xdr:col>
      <xdr:colOff>1943735</xdr:colOff>
      <xdr:row>130</xdr:row>
      <xdr:rowOff>60960</xdr:rowOff>
    </xdr:to>
    <xdr:pic>
      <xdr:nvPicPr>
        <xdr:cNvPr id="11" name="图片 10"/>
        <xdr:cNvPicPr>
          <a:picLocks noChangeAspect="1"/>
        </xdr:cNvPicPr>
      </xdr:nvPicPr>
      <xdr:blipFill>
        <a:blip xmlns:r="http://schemas.openxmlformats.org/officeDocument/2006/relationships" r:embed="rId6"/>
        <a:stretch>
          <a:fillRect/>
        </a:stretch>
      </xdr:blipFill>
      <xdr:spPr>
        <a:xfrm>
          <a:off x="259715" y="15542895"/>
          <a:ext cx="10151745" cy="5568315"/>
        </a:xfrm>
        <a:prstGeom prst="rect">
          <a:avLst/>
        </a:prstGeom>
        <a:noFill/>
        <a:ln w="9525">
          <a:noFill/>
        </a:ln>
      </xdr:spPr>
    </xdr:pic>
    <xdr:clientData/>
  </xdr:twoCellAnchor>
  <xdr:twoCellAnchor editAs="oneCell">
    <xdr:from>
      <xdr:col>0</xdr:col>
      <xdr:colOff>374015</xdr:colOff>
      <xdr:row>131</xdr:row>
      <xdr:rowOff>0</xdr:rowOff>
    </xdr:from>
    <xdr:to>
      <xdr:col>8</xdr:col>
      <xdr:colOff>1614170</xdr:colOff>
      <xdr:row>153</xdr:row>
      <xdr:rowOff>152400</xdr:rowOff>
    </xdr:to>
    <xdr:pic>
      <xdr:nvPicPr>
        <xdr:cNvPr id="12" name="图片 11"/>
        <xdr:cNvPicPr>
          <a:picLocks noChangeAspect="1"/>
        </xdr:cNvPicPr>
      </xdr:nvPicPr>
      <xdr:blipFill>
        <a:blip xmlns:r="http://schemas.openxmlformats.org/officeDocument/2006/relationships" r:embed="rId7"/>
        <a:stretch>
          <a:fillRect/>
        </a:stretch>
      </xdr:blipFill>
      <xdr:spPr>
        <a:xfrm>
          <a:off x="374015" y="21212175"/>
          <a:ext cx="14346555" cy="3714750"/>
        </a:xfrm>
        <a:prstGeom prst="rect">
          <a:avLst/>
        </a:prstGeom>
        <a:noFill/>
        <a:ln w="9525">
          <a:noFill/>
        </a:ln>
      </xdr:spPr>
    </xdr:pic>
    <xdr:clientData/>
  </xdr:twoCellAnchor>
  <xdr:twoCellAnchor editAs="oneCell">
    <xdr:from>
      <xdr:col>5</xdr:col>
      <xdr:colOff>2415540</xdr:colOff>
      <xdr:row>102</xdr:row>
      <xdr:rowOff>144780</xdr:rowOff>
    </xdr:from>
    <xdr:to>
      <xdr:col>11</xdr:col>
      <xdr:colOff>382905</xdr:colOff>
      <xdr:row>123</xdr:row>
      <xdr:rowOff>38100</xdr:rowOff>
    </xdr:to>
    <xdr:pic>
      <xdr:nvPicPr>
        <xdr:cNvPr id="13" name="图片 12"/>
        <xdr:cNvPicPr>
          <a:picLocks noChangeAspect="1"/>
        </xdr:cNvPicPr>
      </xdr:nvPicPr>
      <xdr:blipFill>
        <a:blip xmlns:r="http://schemas.openxmlformats.org/officeDocument/2006/relationships" r:embed="rId8"/>
        <a:stretch>
          <a:fillRect/>
        </a:stretch>
      </xdr:blipFill>
      <xdr:spPr>
        <a:xfrm>
          <a:off x="10883265" y="16661130"/>
          <a:ext cx="6473190" cy="3293745"/>
        </a:xfrm>
        <a:prstGeom prst="rect">
          <a:avLst/>
        </a:prstGeom>
        <a:noFill/>
        <a:ln w="9525">
          <a:noFill/>
        </a:ln>
      </xdr:spPr>
    </xdr:pic>
    <xdr:clientData/>
  </xdr:twoCellAnchor>
  <xdr:twoCellAnchor editAs="oneCell">
    <xdr:from>
      <xdr:col>0</xdr:col>
      <xdr:colOff>282575</xdr:colOff>
      <xdr:row>155</xdr:row>
      <xdr:rowOff>106680</xdr:rowOff>
    </xdr:from>
    <xdr:to>
      <xdr:col>3</xdr:col>
      <xdr:colOff>320040</xdr:colOff>
      <xdr:row>160</xdr:row>
      <xdr:rowOff>22860</xdr:rowOff>
    </xdr:to>
    <xdr:pic>
      <xdr:nvPicPr>
        <xdr:cNvPr id="14" name="图片 13"/>
        <xdr:cNvPicPr>
          <a:picLocks noChangeAspect="1"/>
        </xdr:cNvPicPr>
      </xdr:nvPicPr>
      <xdr:blipFill>
        <a:blip xmlns:r="http://schemas.openxmlformats.org/officeDocument/2006/relationships" r:embed="rId9"/>
        <a:stretch>
          <a:fillRect/>
        </a:stretch>
      </xdr:blipFill>
      <xdr:spPr>
        <a:xfrm>
          <a:off x="282575" y="25205055"/>
          <a:ext cx="6752590" cy="725805"/>
        </a:xfrm>
        <a:prstGeom prst="rect">
          <a:avLst/>
        </a:prstGeom>
        <a:noFill/>
        <a:ln w="9525">
          <a:noFill/>
        </a:ln>
      </xdr:spPr>
    </xdr:pic>
    <xdr:clientData/>
  </xdr:twoCellAnchor>
  <xdr:twoCellAnchor editAs="oneCell">
    <xdr:from>
      <xdr:col>0</xdr:col>
      <xdr:colOff>259715</xdr:colOff>
      <xdr:row>160</xdr:row>
      <xdr:rowOff>160020</xdr:rowOff>
    </xdr:from>
    <xdr:to>
      <xdr:col>5</xdr:col>
      <xdr:colOff>1951355</xdr:colOff>
      <xdr:row>195</xdr:row>
      <xdr:rowOff>129540</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59715" y="26068020"/>
          <a:ext cx="10159365" cy="5636895"/>
        </a:xfrm>
        <a:prstGeom prst="rect">
          <a:avLst/>
        </a:prstGeom>
        <a:noFill/>
        <a:ln w="9525">
          <a:noFill/>
        </a:ln>
      </xdr:spPr>
    </xdr:pic>
    <xdr:clientData/>
  </xdr:twoCellAnchor>
  <xdr:twoCellAnchor editAs="oneCell">
    <xdr:from>
      <xdr:col>0</xdr:col>
      <xdr:colOff>313055</xdr:colOff>
      <xdr:row>196</xdr:row>
      <xdr:rowOff>160020</xdr:rowOff>
    </xdr:from>
    <xdr:to>
      <xdr:col>8</xdr:col>
      <xdr:colOff>1507490</xdr:colOff>
      <xdr:row>223</xdr:row>
      <xdr:rowOff>129540</xdr:rowOff>
    </xdr:to>
    <xdr:pic>
      <xdr:nvPicPr>
        <xdr:cNvPr id="16" name="图片 15"/>
        <xdr:cNvPicPr>
          <a:picLocks noChangeAspect="1"/>
        </xdr:cNvPicPr>
      </xdr:nvPicPr>
      <xdr:blipFill>
        <a:blip xmlns:r="http://schemas.openxmlformats.org/officeDocument/2006/relationships" r:embed="rId11"/>
        <a:stretch>
          <a:fillRect/>
        </a:stretch>
      </xdr:blipFill>
      <xdr:spPr>
        <a:xfrm>
          <a:off x="313055" y="31897320"/>
          <a:ext cx="14300835" cy="4341495"/>
        </a:xfrm>
        <a:prstGeom prst="rect">
          <a:avLst/>
        </a:prstGeom>
        <a:noFill/>
        <a:ln w="9525">
          <a:noFill/>
        </a:ln>
      </xdr:spPr>
    </xdr:pic>
    <xdr:clientData/>
  </xdr:twoCellAnchor>
  <xdr:twoCellAnchor editAs="oneCell">
    <xdr:from>
      <xdr:col>6</xdr:col>
      <xdr:colOff>0</xdr:colOff>
      <xdr:row>168</xdr:row>
      <xdr:rowOff>0</xdr:rowOff>
    </xdr:from>
    <xdr:to>
      <xdr:col>13</xdr:col>
      <xdr:colOff>480695</xdr:colOff>
      <xdr:row>189</xdr:row>
      <xdr:rowOff>83820</xdr:rowOff>
    </xdr:to>
    <xdr:pic>
      <xdr:nvPicPr>
        <xdr:cNvPr id="17" name="图片 16"/>
        <xdr:cNvPicPr>
          <a:picLocks noChangeAspect="1"/>
        </xdr:cNvPicPr>
      </xdr:nvPicPr>
      <xdr:blipFill>
        <a:blip xmlns:r="http://schemas.openxmlformats.org/officeDocument/2006/relationships" r:embed="rId12"/>
        <a:stretch>
          <a:fillRect/>
        </a:stretch>
      </xdr:blipFill>
      <xdr:spPr>
        <a:xfrm>
          <a:off x="11639550" y="27203400"/>
          <a:ext cx="7195820" cy="3484245"/>
        </a:xfrm>
        <a:prstGeom prst="rect">
          <a:avLst/>
        </a:prstGeom>
        <a:noFill/>
        <a:ln w="9525">
          <a:noFill/>
        </a:ln>
      </xdr:spPr>
    </xdr:pic>
    <xdr:clientData/>
  </xdr:twoCellAnchor>
  <xdr:twoCellAnchor editAs="oneCell">
    <xdr:from>
      <xdr:col>0</xdr:col>
      <xdr:colOff>191135</xdr:colOff>
      <xdr:row>225</xdr:row>
      <xdr:rowOff>60960</xdr:rowOff>
    </xdr:from>
    <xdr:to>
      <xdr:col>6</xdr:col>
      <xdr:colOff>213995</xdr:colOff>
      <xdr:row>228</xdr:row>
      <xdr:rowOff>152400</xdr:rowOff>
    </xdr:to>
    <xdr:pic>
      <xdr:nvPicPr>
        <xdr:cNvPr id="18" name="图片 17"/>
        <xdr:cNvPicPr>
          <a:picLocks noChangeAspect="1"/>
        </xdr:cNvPicPr>
      </xdr:nvPicPr>
      <xdr:blipFill>
        <a:blip xmlns:r="http://schemas.openxmlformats.org/officeDocument/2006/relationships" r:embed="rId13"/>
        <a:stretch>
          <a:fillRect/>
        </a:stretch>
      </xdr:blipFill>
      <xdr:spPr>
        <a:xfrm>
          <a:off x="191135" y="36494085"/>
          <a:ext cx="11662410" cy="577215"/>
        </a:xfrm>
        <a:prstGeom prst="rect">
          <a:avLst/>
        </a:prstGeom>
        <a:noFill/>
        <a:ln w="9525">
          <a:noFill/>
        </a:ln>
      </xdr:spPr>
    </xdr:pic>
    <xdr:clientData/>
  </xdr:twoCellAnchor>
  <xdr:twoCellAnchor editAs="oneCell">
    <xdr:from>
      <xdr:col>0</xdr:col>
      <xdr:colOff>244475</xdr:colOff>
      <xdr:row>229</xdr:row>
      <xdr:rowOff>137160</xdr:rowOff>
    </xdr:from>
    <xdr:to>
      <xdr:col>5</xdr:col>
      <xdr:colOff>2515235</xdr:colOff>
      <xdr:row>264</xdr:row>
      <xdr:rowOff>60960</xdr:rowOff>
    </xdr:to>
    <xdr:pic>
      <xdr:nvPicPr>
        <xdr:cNvPr id="19" name="图片 18"/>
        <xdr:cNvPicPr>
          <a:picLocks noChangeAspect="1"/>
        </xdr:cNvPicPr>
      </xdr:nvPicPr>
      <xdr:blipFill>
        <a:blip xmlns:r="http://schemas.openxmlformats.org/officeDocument/2006/relationships" r:embed="rId14"/>
        <a:stretch>
          <a:fillRect/>
        </a:stretch>
      </xdr:blipFill>
      <xdr:spPr>
        <a:xfrm>
          <a:off x="244475" y="37217985"/>
          <a:ext cx="10738485" cy="5591175"/>
        </a:xfrm>
        <a:prstGeom prst="rect">
          <a:avLst/>
        </a:prstGeom>
        <a:noFill/>
        <a:ln w="9525">
          <a:noFill/>
        </a:ln>
      </xdr:spPr>
    </xdr:pic>
    <xdr:clientData/>
  </xdr:twoCellAnchor>
  <xdr:twoCellAnchor editAs="oneCell">
    <xdr:from>
      <xdr:col>0</xdr:col>
      <xdr:colOff>290195</xdr:colOff>
      <xdr:row>265</xdr:row>
      <xdr:rowOff>83820</xdr:rowOff>
    </xdr:from>
    <xdr:to>
      <xdr:col>8</xdr:col>
      <xdr:colOff>1416050</xdr:colOff>
      <xdr:row>286</xdr:row>
      <xdr:rowOff>0</xdr:rowOff>
    </xdr:to>
    <xdr:pic>
      <xdr:nvPicPr>
        <xdr:cNvPr id="20" name="图片 19"/>
        <xdr:cNvPicPr>
          <a:picLocks noChangeAspect="1"/>
        </xdr:cNvPicPr>
      </xdr:nvPicPr>
      <xdr:blipFill>
        <a:blip xmlns:r="http://schemas.openxmlformats.org/officeDocument/2006/relationships" r:embed="rId15"/>
        <a:stretch>
          <a:fillRect/>
        </a:stretch>
      </xdr:blipFill>
      <xdr:spPr>
        <a:xfrm>
          <a:off x="290195" y="42993945"/>
          <a:ext cx="14232255" cy="3316605"/>
        </a:xfrm>
        <a:prstGeom prst="rect">
          <a:avLst/>
        </a:prstGeom>
        <a:noFill/>
        <a:ln w="9525">
          <a:noFill/>
        </a:ln>
      </xdr:spPr>
    </xdr:pic>
    <xdr:clientData/>
  </xdr:twoCellAnchor>
  <xdr:twoCellAnchor editAs="oneCell">
    <xdr:from>
      <xdr:col>6</xdr:col>
      <xdr:colOff>0</xdr:colOff>
      <xdr:row>242</xdr:row>
      <xdr:rowOff>0</xdr:rowOff>
    </xdr:from>
    <xdr:to>
      <xdr:col>11</xdr:col>
      <xdr:colOff>466725</xdr:colOff>
      <xdr:row>263</xdr:row>
      <xdr:rowOff>7620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11639550" y="39185850"/>
          <a:ext cx="5800725" cy="3408045"/>
        </a:xfrm>
        <a:prstGeom prst="rect">
          <a:avLst/>
        </a:prstGeom>
        <a:noFill/>
        <a:ln w="9525">
          <a:noFill/>
        </a:ln>
      </xdr:spPr>
    </xdr:pic>
    <xdr:clientData/>
  </xdr:twoCellAnchor>
  <xdr:twoCellAnchor editAs="oneCell">
    <xdr:from>
      <xdr:col>5</xdr:col>
      <xdr:colOff>2033905</xdr:colOff>
      <xdr:row>124</xdr:row>
      <xdr:rowOff>99060</xdr:rowOff>
    </xdr:from>
    <xdr:to>
      <xdr:col>17</xdr:col>
      <xdr:colOff>422275</xdr:colOff>
      <xdr:row>134</xdr:row>
      <xdr:rowOff>121920</xdr:rowOff>
    </xdr:to>
    <xdr:pic>
      <xdr:nvPicPr>
        <xdr:cNvPr id="22" name="图片 21"/>
        <xdr:cNvPicPr>
          <a:picLocks noChangeAspect="1"/>
        </xdr:cNvPicPr>
      </xdr:nvPicPr>
      <xdr:blipFill>
        <a:blip xmlns:r="http://schemas.openxmlformats.org/officeDocument/2006/relationships" r:embed="rId17"/>
        <a:stretch>
          <a:fillRect/>
        </a:stretch>
      </xdr:blipFill>
      <xdr:spPr>
        <a:xfrm>
          <a:off x="10501630" y="20177760"/>
          <a:ext cx="10980420" cy="1642110"/>
        </a:xfrm>
        <a:prstGeom prst="rect">
          <a:avLst/>
        </a:prstGeom>
        <a:noFill/>
        <a:ln w="9525">
          <a:noFill/>
        </a:ln>
      </xdr:spPr>
    </xdr:pic>
    <xdr:clientData/>
  </xdr:twoCellAnchor>
  <xdr:twoCellAnchor editAs="oneCell">
    <xdr:from>
      <xdr:col>5</xdr:col>
      <xdr:colOff>1828165</xdr:colOff>
      <xdr:row>59</xdr:row>
      <xdr:rowOff>7620</xdr:rowOff>
    </xdr:from>
    <xdr:to>
      <xdr:col>17</xdr:col>
      <xdr:colOff>117475</xdr:colOff>
      <xdr:row>69</xdr:row>
      <xdr:rowOff>144780</xdr:rowOff>
    </xdr:to>
    <xdr:pic>
      <xdr:nvPicPr>
        <xdr:cNvPr id="23" name="图片 22"/>
        <xdr:cNvPicPr>
          <a:picLocks noChangeAspect="1"/>
        </xdr:cNvPicPr>
      </xdr:nvPicPr>
      <xdr:blipFill>
        <a:blip xmlns:r="http://schemas.openxmlformats.org/officeDocument/2006/relationships" r:embed="rId18"/>
        <a:stretch>
          <a:fillRect/>
        </a:stretch>
      </xdr:blipFill>
      <xdr:spPr>
        <a:xfrm>
          <a:off x="10295890" y="9561195"/>
          <a:ext cx="10881360" cy="175641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495300</xdr:colOff>
      <xdr:row>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3200400" cy="510540"/>
        </a:xfrm>
        <a:prstGeom prst="rect">
          <a:avLst/>
        </a:prstGeom>
        <a:noFill/>
        <a:ln w="9525">
          <a:noFill/>
        </a:ln>
      </xdr:spPr>
    </xdr:pic>
    <xdr:clientData/>
  </xdr:twoCellAnchor>
  <xdr:twoCellAnchor editAs="oneCell">
    <xdr:from>
      <xdr:col>1</xdr:col>
      <xdr:colOff>0</xdr:colOff>
      <xdr:row>5</xdr:row>
      <xdr:rowOff>0</xdr:rowOff>
    </xdr:from>
    <xdr:to>
      <xdr:col>22</xdr:col>
      <xdr:colOff>220980</xdr:colOff>
      <xdr:row>13</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857250"/>
          <a:ext cx="14422755" cy="1531620"/>
        </a:xfrm>
        <a:prstGeom prst="rect">
          <a:avLst/>
        </a:prstGeom>
        <a:noFill/>
        <a:ln w="9525">
          <a:noFill/>
        </a:ln>
      </xdr:spPr>
    </xdr:pic>
    <xdr:clientData/>
  </xdr:twoCellAnchor>
  <xdr:twoCellAnchor editAs="oneCell">
    <xdr:from>
      <xdr:col>1</xdr:col>
      <xdr:colOff>0</xdr:colOff>
      <xdr:row>17</xdr:row>
      <xdr:rowOff>0</xdr:rowOff>
    </xdr:from>
    <xdr:to>
      <xdr:col>9</xdr:col>
      <xdr:colOff>434340</xdr:colOff>
      <xdr:row>20</xdr:row>
      <xdr:rowOff>91440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2914650"/>
          <a:ext cx="5844540" cy="605790"/>
        </a:xfrm>
        <a:prstGeom prst="rect">
          <a:avLst/>
        </a:prstGeom>
        <a:noFill/>
        <a:ln w="9525">
          <a:noFill/>
        </a:ln>
      </xdr:spPr>
    </xdr:pic>
    <xdr:clientData/>
  </xdr:twoCellAnchor>
  <xdr:twoCellAnchor editAs="oneCell">
    <xdr:from>
      <xdr:col>1</xdr:col>
      <xdr:colOff>0</xdr:colOff>
      <xdr:row>22</xdr:row>
      <xdr:rowOff>0</xdr:rowOff>
    </xdr:from>
    <xdr:to>
      <xdr:col>16</xdr:col>
      <xdr:colOff>464820</xdr:colOff>
      <xdr:row>38</xdr:row>
      <xdr:rowOff>30480</xdr:rowOff>
    </xdr:to>
    <xdr:pic>
      <xdr:nvPicPr>
        <xdr:cNvPr id="5" name="图片 4"/>
        <xdr:cNvPicPr>
          <a:picLocks noChangeAspect="1"/>
        </xdr:cNvPicPr>
      </xdr:nvPicPr>
      <xdr:blipFill>
        <a:blip xmlns:r="http://schemas.openxmlformats.org/officeDocument/2006/relationships" r:embed="rId4"/>
        <a:stretch>
          <a:fillRect/>
        </a:stretch>
      </xdr:blipFill>
      <xdr:spPr>
        <a:xfrm>
          <a:off x="676275" y="3771900"/>
          <a:ext cx="10608945" cy="2773680"/>
        </a:xfrm>
        <a:prstGeom prst="rect">
          <a:avLst/>
        </a:prstGeom>
        <a:noFill/>
        <a:ln w="9525">
          <a:noFill/>
        </a:ln>
      </xdr:spPr>
    </xdr:pic>
    <xdr:clientData/>
  </xdr:twoCellAnchor>
  <xdr:twoCellAnchor editAs="oneCell">
    <xdr:from>
      <xdr:col>1</xdr:col>
      <xdr:colOff>0</xdr:colOff>
      <xdr:row>40</xdr:row>
      <xdr:rowOff>0</xdr:rowOff>
    </xdr:from>
    <xdr:to>
      <xdr:col>11</xdr:col>
      <xdr:colOff>121920</xdr:colOff>
      <xdr:row>45</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6858000"/>
          <a:ext cx="6884670" cy="933450"/>
        </a:xfrm>
        <a:prstGeom prst="rect">
          <a:avLst/>
        </a:prstGeom>
        <a:noFill/>
        <a:ln w="9525">
          <a:noFill/>
        </a:ln>
      </xdr:spPr>
    </xdr:pic>
    <xdr:clientData/>
  </xdr:twoCellAnchor>
  <xdr:twoCellAnchor editAs="oneCell">
    <xdr:from>
      <xdr:col>1</xdr:col>
      <xdr:colOff>0</xdr:colOff>
      <xdr:row>47</xdr:row>
      <xdr:rowOff>0</xdr:rowOff>
    </xdr:from>
    <xdr:to>
      <xdr:col>16</xdr:col>
      <xdr:colOff>586740</xdr:colOff>
      <xdr:row>57</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8058150"/>
          <a:ext cx="10730865" cy="1866900"/>
        </a:xfrm>
        <a:prstGeom prst="rect">
          <a:avLst/>
        </a:prstGeom>
        <a:noFill/>
        <a:ln w="9525">
          <a:noFill/>
        </a:ln>
      </xdr:spPr>
    </xdr:pic>
    <xdr:clientData/>
  </xdr:twoCellAnchor>
  <xdr:twoCellAnchor editAs="oneCell">
    <xdr:from>
      <xdr:col>1</xdr:col>
      <xdr:colOff>0</xdr:colOff>
      <xdr:row>60</xdr:row>
      <xdr:rowOff>0</xdr:rowOff>
    </xdr:from>
    <xdr:to>
      <xdr:col>11</xdr:col>
      <xdr:colOff>533400</xdr:colOff>
      <xdr:row>63</xdr:row>
      <xdr:rowOff>7620</xdr:rowOff>
    </xdr:to>
    <xdr:pic>
      <xdr:nvPicPr>
        <xdr:cNvPr id="8" name="图片 7"/>
        <xdr:cNvPicPr>
          <a:picLocks noChangeAspect="1"/>
        </xdr:cNvPicPr>
      </xdr:nvPicPr>
      <xdr:blipFill>
        <a:blip xmlns:r="http://schemas.openxmlformats.org/officeDocument/2006/relationships" r:embed="rId7"/>
        <a:stretch>
          <a:fillRect/>
        </a:stretch>
      </xdr:blipFill>
      <xdr:spPr>
        <a:xfrm>
          <a:off x="676275" y="10287000"/>
          <a:ext cx="7296150" cy="521970"/>
        </a:xfrm>
        <a:prstGeom prst="rect">
          <a:avLst/>
        </a:prstGeom>
        <a:noFill/>
        <a:ln w="9525">
          <a:noFill/>
        </a:ln>
      </xdr:spPr>
    </xdr:pic>
    <xdr:clientData/>
  </xdr:twoCellAnchor>
  <xdr:twoCellAnchor editAs="oneCell">
    <xdr:from>
      <xdr:col>1</xdr:col>
      <xdr:colOff>0</xdr:colOff>
      <xdr:row>64</xdr:row>
      <xdr:rowOff>0</xdr:rowOff>
    </xdr:from>
    <xdr:to>
      <xdr:col>17</xdr:col>
      <xdr:colOff>373380</xdr:colOff>
      <xdr:row>81</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676275" y="10972800"/>
          <a:ext cx="11193780" cy="2914650"/>
        </a:xfrm>
        <a:prstGeom prst="rect">
          <a:avLst/>
        </a:prstGeom>
        <a:noFill/>
        <a:ln w="9525">
          <a:noFill/>
        </a:ln>
      </xdr:spPr>
    </xdr:pic>
    <xdr:clientData/>
  </xdr:twoCellAnchor>
  <xdr:twoCellAnchor editAs="oneCell">
    <xdr:from>
      <xdr:col>1</xdr:col>
      <xdr:colOff>0</xdr:colOff>
      <xdr:row>82</xdr:row>
      <xdr:rowOff>0</xdr:rowOff>
    </xdr:from>
    <xdr:to>
      <xdr:col>14</xdr:col>
      <xdr:colOff>289560</xdr:colOff>
      <xdr:row>84</xdr:row>
      <xdr:rowOff>144780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76275" y="14058900"/>
          <a:ext cx="9081135" cy="487680"/>
        </a:xfrm>
        <a:prstGeom prst="rect">
          <a:avLst/>
        </a:prstGeom>
        <a:noFill/>
        <a:ln w="9525">
          <a:noFill/>
        </a:ln>
      </xdr:spPr>
    </xdr:pic>
    <xdr:clientData/>
  </xdr:twoCellAnchor>
  <xdr:twoCellAnchor editAs="oneCell">
    <xdr:from>
      <xdr:col>0</xdr:col>
      <xdr:colOff>502920</xdr:colOff>
      <xdr:row>85</xdr:row>
      <xdr:rowOff>129540</xdr:rowOff>
    </xdr:from>
    <xdr:to>
      <xdr:col>17</xdr:col>
      <xdr:colOff>22860</xdr:colOff>
      <xdr:row>103</xdr:row>
      <xdr:rowOff>7620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02920" y="14702790"/>
          <a:ext cx="11016615" cy="296418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160020</xdr:colOff>
      <xdr:row>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7599045" cy="628650"/>
        </a:xfrm>
        <a:prstGeom prst="rect">
          <a:avLst/>
        </a:prstGeom>
        <a:noFill/>
        <a:ln w="9525">
          <a:noFill/>
        </a:ln>
      </xdr:spPr>
    </xdr:pic>
    <xdr:clientData/>
  </xdr:twoCellAnchor>
  <xdr:twoCellAnchor editAs="oneCell">
    <xdr:from>
      <xdr:col>0</xdr:col>
      <xdr:colOff>228600</xdr:colOff>
      <xdr:row>4</xdr:row>
      <xdr:rowOff>137160</xdr:rowOff>
    </xdr:from>
    <xdr:to>
      <xdr:col>16</xdr:col>
      <xdr:colOff>91440</xdr:colOff>
      <xdr:row>18</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822960"/>
          <a:ext cx="10683240" cy="2324100"/>
        </a:xfrm>
        <a:prstGeom prst="rect">
          <a:avLst/>
        </a:prstGeom>
        <a:noFill/>
        <a:ln w="9525">
          <a:noFill/>
        </a:ln>
      </xdr:spPr>
    </xdr:pic>
    <xdr:clientData/>
  </xdr:twoCellAnchor>
  <xdr:twoCellAnchor editAs="oneCell">
    <xdr:from>
      <xdr:col>1</xdr:col>
      <xdr:colOff>0</xdr:colOff>
      <xdr:row>20</xdr:row>
      <xdr:rowOff>0</xdr:rowOff>
    </xdr:from>
    <xdr:to>
      <xdr:col>14</xdr:col>
      <xdr:colOff>297180</xdr:colOff>
      <xdr:row>23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3429000"/>
          <a:ext cx="9088755" cy="628650"/>
        </a:xfrm>
        <a:prstGeom prst="rect">
          <a:avLst/>
        </a:prstGeom>
        <a:noFill/>
        <a:ln w="9525">
          <a:noFill/>
        </a:ln>
      </xdr:spPr>
    </xdr:pic>
    <xdr:clientData/>
  </xdr:twoCellAnchor>
  <xdr:twoCellAnchor editAs="oneCell">
    <xdr:from>
      <xdr:col>0</xdr:col>
      <xdr:colOff>358140</xdr:colOff>
      <xdr:row>24</xdr:row>
      <xdr:rowOff>106680</xdr:rowOff>
    </xdr:from>
    <xdr:to>
      <xdr:col>20</xdr:col>
      <xdr:colOff>403860</xdr:colOff>
      <xdr:row>40</xdr:row>
      <xdr:rowOff>83820</xdr:rowOff>
    </xdr:to>
    <xdr:pic>
      <xdr:nvPicPr>
        <xdr:cNvPr id="5" name="图片 4"/>
        <xdr:cNvPicPr>
          <a:picLocks noChangeAspect="1"/>
        </xdr:cNvPicPr>
      </xdr:nvPicPr>
      <xdr:blipFill>
        <a:blip xmlns:r="http://schemas.openxmlformats.org/officeDocument/2006/relationships" r:embed="rId4"/>
        <a:stretch>
          <a:fillRect/>
        </a:stretch>
      </xdr:blipFill>
      <xdr:spPr>
        <a:xfrm>
          <a:off x="358140" y="4221480"/>
          <a:ext cx="14485620" cy="2720340"/>
        </a:xfrm>
        <a:prstGeom prst="rect">
          <a:avLst/>
        </a:prstGeom>
        <a:noFill/>
        <a:ln w="9525">
          <a:noFill/>
        </a:ln>
      </xdr:spPr>
    </xdr:pic>
    <xdr:clientData/>
  </xdr:twoCellAnchor>
  <xdr:twoCellAnchor editAs="oneCell">
    <xdr:from>
      <xdr:col>22</xdr:col>
      <xdr:colOff>0</xdr:colOff>
      <xdr:row>3</xdr:row>
      <xdr:rowOff>0</xdr:rowOff>
    </xdr:from>
    <xdr:to>
      <xdr:col>43</xdr:col>
      <xdr:colOff>91440</xdr:colOff>
      <xdr:row>27</xdr:row>
      <xdr:rowOff>91440</xdr:rowOff>
    </xdr:to>
    <xdr:pic>
      <xdr:nvPicPr>
        <xdr:cNvPr id="6" name="图片 5"/>
        <xdr:cNvPicPr>
          <a:picLocks noChangeAspect="1"/>
        </xdr:cNvPicPr>
      </xdr:nvPicPr>
      <xdr:blipFill>
        <a:blip xmlns:r="http://schemas.openxmlformats.org/officeDocument/2006/relationships" r:embed="rId5"/>
        <a:stretch>
          <a:fillRect/>
        </a:stretch>
      </xdr:blipFill>
      <xdr:spPr>
        <a:xfrm>
          <a:off x="15792450" y="514350"/>
          <a:ext cx="14293215" cy="4206240"/>
        </a:xfrm>
        <a:prstGeom prst="rect">
          <a:avLst/>
        </a:prstGeom>
        <a:noFill/>
        <a:ln w="9525">
          <a:noFill/>
        </a:ln>
      </xdr:spPr>
    </xdr:pic>
    <xdr:clientData/>
  </xdr:twoCellAnchor>
  <xdr:twoCellAnchor editAs="oneCell">
    <xdr:from>
      <xdr:col>1</xdr:col>
      <xdr:colOff>0</xdr:colOff>
      <xdr:row>42</xdr:row>
      <xdr:rowOff>0</xdr:rowOff>
    </xdr:from>
    <xdr:to>
      <xdr:col>9</xdr:col>
      <xdr:colOff>320040</xdr:colOff>
      <xdr:row>44</xdr:row>
      <xdr:rowOff>121920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7200900"/>
          <a:ext cx="5730240" cy="464820"/>
        </a:xfrm>
        <a:prstGeom prst="rect">
          <a:avLst/>
        </a:prstGeom>
        <a:noFill/>
        <a:ln w="9525">
          <a:noFill/>
        </a:ln>
      </xdr:spPr>
    </xdr:pic>
    <xdr:clientData/>
  </xdr:twoCellAnchor>
  <xdr:twoCellAnchor editAs="oneCell">
    <xdr:from>
      <xdr:col>0</xdr:col>
      <xdr:colOff>541020</xdr:colOff>
      <xdr:row>45</xdr:row>
      <xdr:rowOff>114300</xdr:rowOff>
    </xdr:from>
    <xdr:to>
      <xdr:col>16</xdr:col>
      <xdr:colOff>525780</xdr:colOff>
      <xdr:row>59</xdr:row>
      <xdr:rowOff>30480</xdr:rowOff>
    </xdr:to>
    <xdr:pic>
      <xdr:nvPicPr>
        <xdr:cNvPr id="8" name="图片 7"/>
        <xdr:cNvPicPr>
          <a:picLocks noChangeAspect="1"/>
        </xdr:cNvPicPr>
      </xdr:nvPicPr>
      <xdr:blipFill>
        <a:blip xmlns:r="http://schemas.openxmlformats.org/officeDocument/2006/relationships" r:embed="rId7"/>
        <a:stretch>
          <a:fillRect/>
        </a:stretch>
      </xdr:blipFill>
      <xdr:spPr>
        <a:xfrm>
          <a:off x="541020" y="7829550"/>
          <a:ext cx="10805160" cy="23164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2023年1月3日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根据《国有土地使用证》[]，估价对象（分摊）出让国有建设用地使用权面积为69193.56平方米。根据《建设工程规划许可证》[]、《出让合同》[]，估价对象规划建筑面积为146577.55平方米。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10月31日地下车库2072年10月31日、地下仓储2072年10月31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估价期日：2023年1月3日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69193.56</v>
      </c>
    </row>
    <row r="44" spans="1:2">
      <c r="A44" s="2356" t="s">
        <v>2022</v>
      </c>
      <c r="B44" s="2357" t="str">
        <f>'预评函-2'!O3</f>
        <v>规划建筑面积/㎡</v>
      </c>
    </row>
    <row r="45" spans="1:2">
      <c r="A45" s="2356" t="s">
        <v>2004</v>
      </c>
      <c r="B45" s="2357">
        <f>'预评函-2'!O5</f>
        <v>146577.54999999999</v>
      </c>
    </row>
    <row r="46" spans="1:2">
      <c r="A46" s="2356" t="s">
        <v>2005</v>
      </c>
      <c r="B46" s="2357">
        <f ca="1">'预评函-2'!P5</f>
        <v>37090</v>
      </c>
    </row>
    <row r="47" spans="1:2">
      <c r="A47" s="2356" t="s">
        <v>2006</v>
      </c>
      <c r="B47" s="2357">
        <f ca="1">'预评函-2'!Q5</f>
        <v>17509</v>
      </c>
    </row>
    <row r="48" spans="1:2">
      <c r="A48" s="2356" t="s">
        <v>2007</v>
      </c>
      <c r="B48" s="2357">
        <f ca="1">'预评函-2'!R5</f>
        <v>256640</v>
      </c>
    </row>
    <row r="49" spans="1:2">
      <c r="A49" s="2356" t="s">
        <v>2023</v>
      </c>
      <c r="B49" s="2357" t="str">
        <f>'预评函-2'!A6</f>
        <v>抵押价格</v>
      </c>
    </row>
    <row r="50" spans="1:2">
      <c r="A50" s="2356" t="s">
        <v>2008</v>
      </c>
      <c r="B50" s="2357">
        <f ca="1">'预评函-2'!R6</f>
        <v>256640</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2676</v>
      </c>
      <c r="B1" s="3282"/>
      <c r="C1" s="3282"/>
      <c r="D1" s="3282"/>
      <c r="E1" s="3282"/>
      <c r="F1" s="3283"/>
    </row>
    <row r="2" spans="1:6">
      <c r="A2" s="3285"/>
      <c r="B2" s="3286"/>
      <c r="C2" s="3286"/>
      <c r="D2" s="3286"/>
      <c r="E2" s="3286"/>
      <c r="F2" s="3287"/>
    </row>
    <row r="3" spans="1:6">
      <c r="A3" s="3288" t="s">
        <v>2677</v>
      </c>
      <c r="B3" s="3289">
        <f>项目基本情况!D3</f>
        <v>44929</v>
      </c>
      <c r="C3" s="3290"/>
      <c r="D3" s="3290"/>
      <c r="E3" s="3290"/>
      <c r="F3" s="3287"/>
    </row>
    <row r="4" spans="1:6">
      <c r="A4" s="3288" t="s">
        <v>2678</v>
      </c>
      <c r="B4" s="3291" t="s">
        <v>2679</v>
      </c>
      <c r="C4" s="3291" t="s">
        <v>2680</v>
      </c>
      <c r="D4" s="3291" t="s">
        <v>2681</v>
      </c>
      <c r="E4" s="3291" t="s">
        <v>2682</v>
      </c>
      <c r="F4" s="3287"/>
    </row>
    <row r="5" spans="1:6">
      <c r="A5" s="3292"/>
      <c r="B5" s="3289"/>
      <c r="C5" s="3291">
        <f>ROUNDDOWN(MIN((B5-B3)/365,A5),2)</f>
        <v>-123.09</v>
      </c>
      <c r="D5" s="3293">
        <f>IF(ISERROR(ROUND(POWER(1+E5,A5-C5)*(POWER(1+E5,C5)-1)/(POWER(1+E5,A5)-1),3)),0,ROUND(POWER(1+E5,A5-C5)*(POWER(1+E5,C5)-1)/(POWER(1+E5,A5)-1),4))</f>
        <v>0</v>
      </c>
      <c r="E5" s="3294"/>
      <c r="F5" s="3287"/>
    </row>
    <row r="6" spans="1:6">
      <c r="A6" s="3292"/>
      <c r="B6" s="3289"/>
      <c r="C6" s="3291">
        <f>ROUNDDOWN(MIN((B6-B3)/365,A6),2)</f>
        <v>-123.09</v>
      </c>
      <c r="D6" s="3293">
        <f>IF(ISERROR(ROUND(POWER(1+E6,A6-C6)*(POWER(1+E6,C6)-1)/(POWER(1+E6,A6)-1),3)),0,ROUND(POWER(1+E6,A6-C6)*(POWER(1+E6,C6)-1)/(POWER(1+E6,A6)-1),4))</f>
        <v>0</v>
      </c>
      <c r="E6" s="3294"/>
      <c r="F6" s="3287"/>
    </row>
    <row r="7" spans="1:6">
      <c r="A7" s="3292"/>
      <c r="B7" s="3289"/>
      <c r="C7" s="3291">
        <f>ROUNDDOWN(MIN((B7-B3)/365,A7),2)</f>
        <v>-123.09</v>
      </c>
      <c r="D7" s="3293">
        <f>IF(ISERROR(ROUND(POWER(1+E7,A7-C7)*(POWER(1+E7,C7)-1)/(POWER(1+E7,A7)-1),3)),0,ROUND(POWER(1+E7,A7-C7)*(POWER(1+E7,C7)-1)/(POWER(1+E7,A7)-1),4))</f>
        <v>0</v>
      </c>
      <c r="E7" s="3294"/>
      <c r="F7" s="3287"/>
    </row>
    <row r="8" spans="1:6">
      <c r="A8" s="3285"/>
      <c r="B8" s="3286"/>
      <c r="C8" s="3286"/>
      <c r="D8" s="3286"/>
      <c r="E8" s="3286"/>
      <c r="F8" s="3287"/>
    </row>
    <row r="9" spans="1:6">
      <c r="A9" s="3288" t="s">
        <v>2683</v>
      </c>
      <c r="B9" s="3291"/>
      <c r="C9" s="3291"/>
      <c r="D9" s="3291"/>
      <c r="E9" s="3291"/>
      <c r="F9" s="3295"/>
    </row>
    <row r="10" spans="1:6">
      <c r="A10" s="3288" t="s">
        <v>2684</v>
      </c>
      <c r="B10" s="3291"/>
      <c r="C10" s="3291"/>
      <c r="D10" s="3291" t="s">
        <v>2682</v>
      </c>
      <c r="E10" s="3291"/>
      <c r="F10" s="3295" t="s">
        <v>2681</v>
      </c>
    </row>
    <row r="11" spans="1:6">
      <c r="A11" s="3288" t="s">
        <v>2685</v>
      </c>
      <c r="B11" s="3296"/>
      <c r="C11" s="3291" t="s">
        <v>2686</v>
      </c>
      <c r="D11" s="3297"/>
      <c r="E11" s="3291" t="s">
        <v>2687</v>
      </c>
      <c r="F11" s="3298">
        <f>ROUND(1-(1/(POWER(1+D11,B11))),4)</f>
        <v>0</v>
      </c>
    </row>
    <row r="12" spans="1:6">
      <c r="A12" s="3288" t="s">
        <v>2688</v>
      </c>
      <c r="B12" s="3296"/>
      <c r="C12" s="3291" t="s">
        <v>2689</v>
      </c>
      <c r="D12" s="3297"/>
      <c r="E12" s="3291" t="s">
        <v>2690</v>
      </c>
      <c r="F12" s="3298">
        <f>ROUND(1-(1/(POWER(1+D12,B12))),4)</f>
        <v>0</v>
      </c>
    </row>
    <row r="13" spans="1:6">
      <c r="A13" s="3288" t="s">
        <v>2691</v>
      </c>
      <c r="B13" s="3291"/>
      <c r="C13" s="3290"/>
      <c r="D13" s="3286"/>
      <c r="E13" s="3286"/>
      <c r="F13" s="3287"/>
    </row>
    <row r="14" spans="1:6">
      <c r="A14" s="3288" t="s">
        <v>2692</v>
      </c>
      <c r="B14" s="3296"/>
      <c r="C14" s="3290"/>
      <c r="D14" s="3286"/>
      <c r="E14" s="3286"/>
      <c r="F14" s="3287"/>
    </row>
    <row r="15" spans="1:6">
      <c r="A15" s="3288" t="s">
        <v>2693</v>
      </c>
      <c r="B15" s="3291" t="e">
        <f>ROUND(B14*F12/F11,2)</f>
        <v>#DIV/0!</v>
      </c>
      <c r="C15" s="3291" t="e">
        <f>ROUND(F12/F11,4)</f>
        <v>#DIV/0!</v>
      </c>
      <c r="D15" s="3286"/>
      <c r="E15" s="3286"/>
      <c r="F15" s="3287"/>
    </row>
    <row r="16" spans="1:6">
      <c r="A16" s="3288" t="s">
        <v>2694</v>
      </c>
      <c r="B16" s="3291"/>
      <c r="C16" s="3290"/>
      <c r="D16" s="3286"/>
      <c r="E16" s="3286"/>
      <c r="F16" s="3287"/>
    </row>
    <row r="17" spans="1:7">
      <c r="A17" s="3288" t="s">
        <v>2693</v>
      </c>
      <c r="B17" s="3297"/>
      <c r="C17" s="3290"/>
      <c r="D17" s="3286"/>
      <c r="E17" s="3286"/>
      <c r="F17" s="3287"/>
    </row>
    <row r="18" spans="1:7" ht="14.25" thickBot="1">
      <c r="A18" s="3299" t="s">
        <v>2692</v>
      </c>
      <c r="B18" s="3300" t="e">
        <f>ROUND(B17*F11/F12,2)</f>
        <v>#DIV/0!</v>
      </c>
      <c r="C18" s="3300" t="e">
        <f>ROUND(F11/F12,4)</f>
        <v>#DIV/0!</v>
      </c>
      <c r="D18" s="3301"/>
      <c r="E18" s="3301"/>
      <c r="F18" s="3302"/>
    </row>
    <row r="19" spans="1:7" ht="14.25" thickBot="1"/>
    <row r="20" spans="1:7">
      <c r="A20" s="3303" t="s">
        <v>2695</v>
      </c>
      <c r="B20" s="3304"/>
      <c r="C20" s="3304"/>
      <c r="D20" s="3304"/>
      <c r="E20" s="3304"/>
      <c r="F20" s="3304"/>
      <c r="G20" s="3305"/>
    </row>
    <row r="21" spans="1:7">
      <c r="A21" s="3306"/>
      <c r="B21" s="3307" t="s">
        <v>2696</v>
      </c>
      <c r="C21" s="3307" t="s">
        <v>2697</v>
      </c>
      <c r="D21" s="3307" t="s">
        <v>2698</v>
      </c>
      <c r="E21" s="3307" t="s">
        <v>2699</v>
      </c>
      <c r="F21" s="3307" t="s">
        <v>2700</v>
      </c>
      <c r="G21" s="3308" t="s">
        <v>2701</v>
      </c>
    </row>
    <row r="22" spans="1:7">
      <c r="A22" s="3306" t="s">
        <v>2702</v>
      </c>
      <c r="B22" s="3309">
        <v>50</v>
      </c>
      <c r="C22" s="3309">
        <v>32</v>
      </c>
      <c r="D22" s="3310">
        <v>0.05</v>
      </c>
      <c r="E22" s="3307">
        <f>ROUND(POWER(1+D22,B22-C22)*(POWER(1+D22,C22)-1)/(POWER(1+D22,B22)-1),3)</f>
        <v>0.86599999999999999</v>
      </c>
      <c r="F22" s="3310">
        <v>0.6</v>
      </c>
      <c r="G22" s="3308">
        <f>ROUND(100*(1-(1-E22)*F22),1)</f>
        <v>92</v>
      </c>
    </row>
    <row r="23" spans="1:7">
      <c r="A23" s="3311" t="s">
        <v>2703</v>
      </c>
      <c r="B23" s="3309">
        <v>50</v>
      </c>
      <c r="C23" s="3309">
        <v>35</v>
      </c>
      <c r="D23" s="3310">
        <v>0.05</v>
      </c>
      <c r="E23" s="3307">
        <f>ROUND(POWER(1+D23,B23-C23)*(POWER(1+D23,C23)-1)/(POWER(1+D23,B23)-1),3)</f>
        <v>0.89700000000000002</v>
      </c>
      <c r="F23" s="3310">
        <f>F22</f>
        <v>0.6</v>
      </c>
      <c r="G23" s="3308">
        <f>ROUND(100*(1-(1-E23)*F23),1)</f>
        <v>93.8</v>
      </c>
    </row>
    <row r="24" spans="1:7">
      <c r="A24" s="3311" t="s">
        <v>2704</v>
      </c>
      <c r="B24" s="3309">
        <v>50</v>
      </c>
      <c r="C24" s="3309">
        <v>25</v>
      </c>
      <c r="D24" s="3310">
        <v>0.05</v>
      </c>
      <c r="E24" s="3307">
        <f>ROUND(POWER(1+D24,B24-C24)*(POWER(1+D24,C24)-1)/(POWER(1+D24,B24)-1),3)</f>
        <v>0.77200000000000002</v>
      </c>
      <c r="F24" s="3310">
        <f>F23</f>
        <v>0.6</v>
      </c>
      <c r="G24" s="3308">
        <f>ROUND(100*(1-(1-E24)*F24),1)</f>
        <v>86.3</v>
      </c>
    </row>
    <row r="25" spans="1:7">
      <c r="A25" s="3311" t="s">
        <v>2705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2706</v>
      </c>
      <c r="B27" s="3316"/>
      <c r="C27" s="3316"/>
      <c r="D27" s="3316"/>
      <c r="E27" s="3316"/>
      <c r="F27" s="3316"/>
      <c r="G27" s="3317"/>
    </row>
    <row r="28" spans="1:7">
      <c r="A28" s="3315" t="s">
        <v>2707</v>
      </c>
      <c r="B28" s="3316"/>
      <c r="C28" s="3316"/>
      <c r="D28" s="3316"/>
      <c r="E28" s="3316"/>
      <c r="F28" s="3316"/>
      <c r="G28" s="3317"/>
    </row>
    <row r="29" spans="1:7">
      <c r="A29" s="3315" t="s">
        <v>2708</v>
      </c>
      <c r="B29" s="3316"/>
      <c r="C29" s="3316"/>
      <c r="D29" s="3316"/>
      <c r="E29" s="3316"/>
      <c r="F29" s="3316"/>
      <c r="G29" s="3317"/>
    </row>
    <row r="30" spans="1:7">
      <c r="A30" s="3315" t="s">
        <v>2709</v>
      </c>
      <c r="B30" s="3316"/>
      <c r="C30" s="3316"/>
      <c r="D30" s="3316"/>
      <c r="E30" s="3316"/>
      <c r="F30" s="3316"/>
      <c r="G30" s="3317"/>
    </row>
    <row r="31" spans="1:7">
      <c r="A31" s="3315" t="s">
        <v>2710</v>
      </c>
      <c r="B31" s="3316"/>
      <c r="C31" s="3316"/>
      <c r="D31" s="3316"/>
      <c r="E31" s="3316"/>
      <c r="F31" s="3316"/>
      <c r="G31" s="3317"/>
    </row>
    <row r="32" spans="1:7">
      <c r="A32" s="3315" t="s">
        <v>2711</v>
      </c>
      <c r="B32" s="3316"/>
      <c r="C32" s="3316"/>
      <c r="D32" s="3316"/>
      <c r="E32" s="3316"/>
      <c r="F32" s="3316"/>
      <c r="G32" s="3317"/>
    </row>
    <row r="33" spans="1:7">
      <c r="A33" s="3315" t="s">
        <v>2712</v>
      </c>
      <c r="B33" s="3316"/>
      <c r="C33" s="3316"/>
      <c r="D33" s="3316"/>
      <c r="E33" s="3316"/>
      <c r="F33" s="3316"/>
      <c r="G33" s="3317"/>
    </row>
    <row r="34" spans="1:7">
      <c r="A34" s="3315" t="s">
        <v>2713</v>
      </c>
      <c r="B34" s="3316"/>
      <c r="C34" s="3316"/>
      <c r="D34" s="3316"/>
      <c r="E34" s="3316"/>
      <c r="F34" s="3316"/>
      <c r="G34" s="3317"/>
    </row>
    <row r="35" spans="1:7">
      <c r="A35" s="3315" t="s">
        <v>2714</v>
      </c>
      <c r="B35" s="3316"/>
      <c r="C35" s="3316"/>
      <c r="D35" s="3316"/>
      <c r="E35" s="3316"/>
      <c r="F35" s="3316"/>
      <c r="G35" s="3317"/>
    </row>
    <row r="36" spans="1:7">
      <c r="A36" s="3315" t="s">
        <v>2715</v>
      </c>
      <c r="B36" s="3316"/>
      <c r="C36" s="3316"/>
      <c r="D36" s="3316"/>
      <c r="E36" s="3316"/>
      <c r="F36" s="3316"/>
      <c r="G36" s="3317"/>
    </row>
    <row r="37" spans="1:7">
      <c r="A37" s="3315" t="s">
        <v>2716</v>
      </c>
      <c r="B37" s="3316"/>
      <c r="C37" s="3316"/>
      <c r="D37" s="3316"/>
      <c r="E37" s="3316"/>
      <c r="F37" s="3316"/>
      <c r="G37" s="3317"/>
    </row>
    <row r="38" spans="1:7">
      <c r="A38" s="3315" t="s">
        <v>2717</v>
      </c>
      <c r="B38" s="3316"/>
      <c r="C38" s="3316"/>
      <c r="D38" s="3316"/>
      <c r="E38" s="3316"/>
      <c r="F38" s="3316"/>
      <c r="G38" s="3317"/>
    </row>
    <row r="39" spans="1:7">
      <c r="A39" s="3315"/>
      <c r="B39" s="3316"/>
      <c r="C39" s="3316"/>
      <c r="D39" s="3316"/>
      <c r="E39" s="3316"/>
      <c r="F39" s="3316"/>
      <c r="G39" s="3317"/>
    </row>
    <row r="40" spans="1:7">
      <c r="A40" s="3318" t="s">
        <v>2718</v>
      </c>
      <c r="B40" s="3319"/>
      <c r="C40" s="3319"/>
      <c r="D40" s="3319"/>
      <c r="E40" s="3319"/>
      <c r="F40" s="3319"/>
      <c r="G40" s="3320"/>
    </row>
    <row r="41" spans="1:7">
      <c r="A41" s="3321" t="s">
        <v>2719</v>
      </c>
      <c r="B41" s="3322" t="s">
        <v>2720</v>
      </c>
      <c r="C41" s="3323" t="s">
        <v>2721</v>
      </c>
      <c r="D41" s="3323" t="s">
        <v>2722</v>
      </c>
      <c r="E41" s="3324"/>
      <c r="F41" s="3325"/>
      <c r="G41" s="3326"/>
    </row>
    <row r="42" spans="1:7">
      <c r="A42" s="3321" t="s">
        <v>2723</v>
      </c>
      <c r="B42" s="3322" t="s">
        <v>2724</v>
      </c>
      <c r="C42" s="3323" t="s">
        <v>2724</v>
      </c>
      <c r="D42" s="3327" t="s">
        <v>2725</v>
      </c>
      <c r="E42" s="3319" t="s">
        <v>2726</v>
      </c>
      <c r="F42" s="3319"/>
      <c r="G42" s="3320"/>
    </row>
    <row r="43" spans="1:7">
      <c r="A43" s="3321" t="s">
        <v>2727</v>
      </c>
      <c r="B43" s="3322" t="s">
        <v>2728</v>
      </c>
      <c r="C43" s="3323" t="s">
        <v>2729</v>
      </c>
      <c r="D43" s="3323" t="s">
        <v>2730</v>
      </c>
      <c r="E43" s="3324" t="s">
        <v>2731</v>
      </c>
      <c r="F43" s="3325"/>
      <c r="G43" s="3326"/>
    </row>
    <row r="44" spans="1:7">
      <c r="A44" s="3321" t="s">
        <v>2732</v>
      </c>
      <c r="B44" s="3322" t="s">
        <v>2733</v>
      </c>
      <c r="C44" s="3323" t="s">
        <v>2734</v>
      </c>
      <c r="D44" s="3327">
        <v>0.5</v>
      </c>
      <c r="E44" s="3324" t="s">
        <v>2735</v>
      </c>
      <c r="F44" s="3325"/>
      <c r="G44" s="3326"/>
    </row>
    <row r="45" spans="1:7" ht="14.25" thickBot="1">
      <c r="A45" s="3328" t="s">
        <v>2736</v>
      </c>
      <c r="B45" s="3329" t="s">
        <v>2724</v>
      </c>
      <c r="C45" s="3330" t="s">
        <v>2724</v>
      </c>
      <c r="D45" s="3330" t="s">
        <v>2737</v>
      </c>
      <c r="E45" s="3331" t="s">
        <v>2738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G39" sqref="G39"/>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6"/>
  </cols>
  <sheetData>
    <row r="1" spans="1:21" ht="15" thickBot="1">
      <c r="A1" s="1461" t="s">
        <v>1457</v>
      </c>
      <c r="B1" s="3726" t="str">
        <f>IF(B10="北京市","北京市",C10)&amp;F10&amp;A17&amp;"国有建设用地使用权"&amp;B9&amp;"预评估"</f>
        <v>北京市出让国有建设用地使用权抵押价格预评估</v>
      </c>
      <c r="C1" s="3727"/>
      <c r="D1" s="3727"/>
      <c r="E1" s="3727"/>
      <c r="F1" s="3727"/>
      <c r="G1" s="3727"/>
      <c r="H1" s="3727"/>
      <c r="I1" s="3728"/>
      <c r="J1" s="2814"/>
      <c r="K1" s="2106" t="str">
        <f>IF(B10="北京市","北京市",C10)&amp;F10&amp;A17&amp;"国有建设用地使用权"&amp;B9</f>
        <v>北京市出让国有建设用地使用权抵押价格</v>
      </c>
      <c r="L1" s="2793"/>
      <c r="M1" s="2793"/>
      <c r="N1" s="2794"/>
      <c r="O1" s="2795"/>
      <c r="P1" s="2794"/>
      <c r="Q1" s="2794"/>
      <c r="R1" s="2794"/>
      <c r="S1" s="2794"/>
      <c r="T1" s="2794"/>
      <c r="U1" s="2794"/>
    </row>
    <row r="2" spans="1:21">
      <c r="A2" s="1462" t="s">
        <v>1458</v>
      </c>
      <c r="B2" s="1625"/>
      <c r="D2" s="2814"/>
      <c r="E2" s="2814"/>
      <c r="F2" s="2814"/>
      <c r="G2" s="2814"/>
      <c r="H2" s="2815"/>
      <c r="I2" s="2816"/>
      <c r="J2" s="2814"/>
      <c r="K2" s="2106" t="str">
        <f>IF(B10="北京市","北京市",C10)&amp;F10&amp;A17&amp;"国有建设用地使用权"</f>
        <v>北京市出让国有建设用地使用权</v>
      </c>
      <c r="L2" s="2793"/>
      <c r="M2" s="2793"/>
      <c r="N2" s="2794"/>
      <c r="O2" s="2795"/>
      <c r="P2" s="2794"/>
      <c r="Q2" s="2794"/>
      <c r="R2" s="2794"/>
      <c r="S2" s="2794"/>
      <c r="T2" s="2794"/>
      <c r="U2" s="2794"/>
    </row>
    <row r="3" spans="1:21">
      <c r="A3" s="1463" t="s">
        <v>1459</v>
      </c>
      <c r="B3" s="1464"/>
      <c r="C3" s="2737" t="s">
        <v>1513</v>
      </c>
      <c r="D3" s="1464">
        <v>44929</v>
      </c>
      <c r="E3" s="2814"/>
      <c r="F3" s="2814"/>
      <c r="G3" s="2814"/>
      <c r="H3" s="2815"/>
      <c r="I3" s="2816"/>
      <c r="J3" s="2814"/>
      <c r="K3" s="2797"/>
      <c r="L3" s="2793"/>
      <c r="M3" s="2793"/>
      <c r="N3" s="2794"/>
      <c r="O3" s="2795"/>
      <c r="P3" s="2794"/>
      <c r="Q3" s="2794"/>
      <c r="R3" s="2794"/>
      <c r="S3" s="2794"/>
      <c r="T3" s="2794"/>
      <c r="U3" s="2794"/>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4"/>
      <c r="K4" s="2106"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7" t="s">
        <v>1461</v>
      </c>
      <c r="B5" s="1574"/>
      <c r="C5" s="1468"/>
      <c r="D5" s="1469"/>
      <c r="E5" s="2814"/>
      <c r="F5" s="2814"/>
      <c r="G5" s="2814"/>
      <c r="H5" s="2815"/>
      <c r="I5" s="2816"/>
      <c r="J5" s="2814"/>
      <c r="K5" s="2797"/>
      <c r="L5" s="2793"/>
      <c r="M5" s="2793"/>
      <c r="N5" s="2794"/>
      <c r="O5" s="2795"/>
      <c r="P5" s="2794"/>
      <c r="Q5" s="2794"/>
      <c r="R5" s="2794"/>
      <c r="S5" s="2794"/>
      <c r="T5" s="2794"/>
      <c r="U5" s="2794"/>
    </row>
    <row r="6" spans="1:21" ht="26.25">
      <c r="A6" s="1465" t="s">
        <v>1988</v>
      </c>
      <c r="B6" s="1574"/>
      <c r="C6" s="1549"/>
      <c r="D6" s="1470"/>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1" t="s">
        <v>1989</v>
      </c>
      <c r="B7" s="1574"/>
      <c r="C7" s="1549"/>
      <c r="D7" s="1470"/>
      <c r="E7" s="2814"/>
      <c r="F7" s="2814"/>
      <c r="G7" s="2814"/>
      <c r="H7" s="2815"/>
      <c r="I7" s="2816"/>
      <c r="J7" s="2814"/>
      <c r="K7" s="2797"/>
      <c r="L7" s="2793"/>
      <c r="M7" s="2793"/>
      <c r="N7" s="2794"/>
      <c r="O7" s="2795"/>
      <c r="P7" s="2794"/>
      <c r="Q7" s="2794"/>
      <c r="R7" s="2794"/>
      <c r="S7" s="2794"/>
      <c r="T7" s="2794"/>
      <c r="U7" s="2794"/>
    </row>
    <row r="8" spans="1:21">
      <c r="A8" s="2738" t="s">
        <v>1462</v>
      </c>
      <c r="B8" s="1472" t="s">
        <v>3220</v>
      </c>
      <c r="C8" s="1473"/>
      <c r="D8" s="3732" t="s">
        <v>1464</v>
      </c>
      <c r="E8" s="1627" t="s">
        <v>3257</v>
      </c>
      <c r="F8" s="1474"/>
      <c r="G8" s="2815"/>
      <c r="H8" s="2815"/>
      <c r="I8" s="2818"/>
      <c r="J8" s="2814"/>
      <c r="K8" s="2797"/>
      <c r="L8" s="2793"/>
      <c r="M8" s="2793"/>
      <c r="N8" s="2794"/>
      <c r="O8" s="2795"/>
      <c r="P8" s="2794"/>
      <c r="Q8" s="2794"/>
      <c r="R8" s="2794"/>
      <c r="S8" s="2794"/>
      <c r="T8" s="2794"/>
      <c r="U8" s="2794"/>
    </row>
    <row r="9" spans="1:21" ht="15" thickBot="1">
      <c r="A9" s="2739" t="s">
        <v>1463</v>
      </c>
      <c r="B9" s="1475" t="s">
        <v>3257</v>
      </c>
      <c r="C9" s="1476"/>
      <c r="D9" s="3733"/>
      <c r="E9" s="1475"/>
      <c r="F9" s="1535"/>
      <c r="G9" s="2819"/>
      <c r="H9" s="2819"/>
      <c r="I9" s="2820"/>
      <c r="J9" s="2814"/>
      <c r="K9" s="2797"/>
      <c r="L9" s="2793"/>
      <c r="M9" s="2793"/>
      <c r="N9" s="2794"/>
      <c r="O9" s="2795"/>
      <c r="P9" s="2794"/>
      <c r="Q9" s="2794"/>
      <c r="R9" s="2794"/>
      <c r="S9" s="2794"/>
      <c r="T9" s="2794"/>
      <c r="U9" s="2794"/>
    </row>
    <row r="10" spans="1:21" ht="15" thickTop="1">
      <c r="A10" s="2740" t="s">
        <v>1517</v>
      </c>
      <c r="B10" s="1512" t="s">
        <v>1465</v>
      </c>
      <c r="C10" s="1477"/>
      <c r="D10" s="1469"/>
      <c r="E10" s="1478" t="s">
        <v>1466</v>
      </c>
      <c r="F10" s="1479"/>
      <c r="G10" s="1533"/>
      <c r="H10" s="1534"/>
      <c r="I10" s="1469"/>
      <c r="J10" s="2814"/>
      <c r="K10" s="2797"/>
      <c r="L10" s="2793"/>
      <c r="M10" s="2793"/>
      <c r="N10" s="2794"/>
      <c r="O10" s="2795"/>
      <c r="P10" s="2794"/>
      <c r="Q10" s="2794"/>
      <c r="R10" s="2794"/>
      <c r="S10" s="2794"/>
      <c r="T10" s="2794"/>
      <c r="U10" s="2794"/>
    </row>
    <row r="11" spans="1:21">
      <c r="A11" s="2741" t="s">
        <v>1518</v>
      </c>
      <c r="B11" s="1492" t="s">
        <v>3258</v>
      </c>
      <c r="C11" s="1480"/>
      <c r="D11" s="1550"/>
      <c r="E11" s="2813"/>
      <c r="F11" s="2813"/>
      <c r="G11" s="2813"/>
      <c r="H11" s="2813"/>
      <c r="I11" s="2813"/>
      <c r="J11" s="2814"/>
      <c r="K11" s="2797"/>
      <c r="L11" s="2793"/>
      <c r="M11" s="2793"/>
      <c r="N11" s="2794"/>
      <c r="O11" s="2795"/>
      <c r="P11" s="2794"/>
      <c r="Q11" s="2794"/>
      <c r="R11" s="2794"/>
      <c r="S11" s="2794"/>
      <c r="T11" s="2794"/>
      <c r="U11" s="2794"/>
    </row>
    <row r="12" spans="1:21">
      <c r="A12" s="1570" t="s">
        <v>1576</v>
      </c>
      <c r="B12" s="3729"/>
      <c r="C12" s="3730"/>
      <c r="D12" s="3731"/>
      <c r="E12" s="1493" t="s">
        <v>1579</v>
      </c>
      <c r="F12" s="3747" t="s">
        <v>2163</v>
      </c>
      <c r="G12" s="3748"/>
      <c r="H12" s="3748"/>
      <c r="I12" s="3749"/>
      <c r="J12" s="2814"/>
      <c r="K12" s="2797"/>
      <c r="L12" s="2793"/>
      <c r="M12" s="2793"/>
      <c r="N12" s="2794"/>
      <c r="O12" s="2795"/>
      <c r="P12" s="2794"/>
      <c r="Q12" s="2794"/>
      <c r="R12" s="2794"/>
      <c r="S12" s="2794"/>
      <c r="T12" s="2794"/>
      <c r="U12" s="2794"/>
    </row>
    <row r="13" spans="1:21">
      <c r="A13" s="1484" t="s">
        <v>1577</v>
      </c>
      <c r="B13" s="3729"/>
      <c r="C13" s="3730"/>
      <c r="D13" s="3731"/>
      <c r="E13" s="1493" t="s">
        <v>1579</v>
      </c>
      <c r="F13" s="3747" t="s">
        <v>2164</v>
      </c>
      <c r="G13" s="3748"/>
      <c r="H13" s="3748"/>
      <c r="I13" s="3749"/>
      <c r="J13" s="2814"/>
      <c r="K13" s="2797"/>
      <c r="L13" s="2793"/>
      <c r="M13" s="2793"/>
      <c r="N13" s="2794"/>
      <c r="O13" s="2795"/>
      <c r="P13" s="2794"/>
      <c r="Q13" s="2794"/>
      <c r="R13" s="2794"/>
      <c r="S13" s="2794"/>
      <c r="T13" s="2794"/>
      <c r="U13" s="2794"/>
    </row>
    <row r="14" spans="1:21">
      <c r="A14" s="1463" t="s">
        <v>1580</v>
      </c>
      <c r="B14" s="1493"/>
      <c r="C14" s="1628"/>
      <c r="D14" s="1526" t="str">
        <f>IF(C14="不一致","是否符合证载地类范围","")</f>
        <v/>
      </c>
      <c r="E14" s="1493"/>
      <c r="F14" s="1575"/>
      <c r="G14" s="1521"/>
      <c r="H14" s="1521"/>
      <c r="I14" s="1621"/>
      <c r="J14" s="2814"/>
      <c r="K14" s="2797"/>
      <c r="L14" s="2793"/>
      <c r="M14" s="2793"/>
      <c r="N14" s="2794"/>
      <c r="O14" s="2795"/>
      <c r="P14" s="2794"/>
      <c r="Q14" s="2794"/>
      <c r="R14" s="2794"/>
      <c r="S14" s="2794"/>
      <c r="T14" s="2794"/>
      <c r="U14" s="2794"/>
    </row>
    <row r="15" spans="1:21">
      <c r="A15" s="2249"/>
      <c r="B15" s="1465"/>
      <c r="C15" s="3280" t="s">
        <v>1469</v>
      </c>
      <c r="D15" s="3280" t="s">
        <v>1470</v>
      </c>
      <c r="E15" s="3280" t="s">
        <v>1179</v>
      </c>
      <c r="F15" s="1483" t="s">
        <v>1471</v>
      </c>
      <c r="G15" s="1483" t="s">
        <v>1472</v>
      </c>
      <c r="H15" s="1483" t="s">
        <v>776</v>
      </c>
      <c r="I15" s="1483" t="s">
        <v>2740</v>
      </c>
      <c r="J15" s="2814"/>
      <c r="K15" s="2797"/>
      <c r="L15" s="2793"/>
      <c r="M15" s="2793"/>
      <c r="N15" s="2794"/>
      <c r="O15" s="2795"/>
      <c r="P15" s="2794"/>
      <c r="Q15" s="2794"/>
      <c r="R15" s="2794"/>
      <c r="S15" s="2794"/>
      <c r="T15" s="2794"/>
      <c r="U15" s="2794"/>
    </row>
    <row r="16" spans="1:21" ht="42.75">
      <c r="A16" s="2742" t="s">
        <v>1467</v>
      </c>
      <c r="B16" s="1493" t="s">
        <v>1468</v>
      </c>
      <c r="C16" s="3280" t="s">
        <v>1469</v>
      </c>
      <c r="D16" s="1515" t="s">
        <v>3259</v>
      </c>
      <c r="E16" s="1515" t="s">
        <v>1212</v>
      </c>
      <c r="F16" s="1515" t="s">
        <v>3260</v>
      </c>
      <c r="G16" s="1515" t="s">
        <v>3261</v>
      </c>
      <c r="H16" s="1483" t="s">
        <v>776</v>
      </c>
      <c r="I16" s="1483" t="s">
        <v>2740</v>
      </c>
      <c r="J16" s="2814"/>
      <c r="K16" s="2107" t="str">
        <f>IF(D17="","",D16&amp;TEXT(D17,"yyyy年m月d日;;"))</f>
        <v>地下商业2062年10月31日</v>
      </c>
      <c r="L16" s="1493" t="str">
        <f>IF(OR(K16="",M16=""),"","、")</f>
        <v/>
      </c>
      <c r="M16" s="2107" t="str">
        <f>IF(E17="","",E16&amp;TEXT(E17,"yyyy年m月d日;;"))</f>
        <v/>
      </c>
      <c r="N16" s="1493" t="str">
        <f>IF(OR(M16="",O16=""),"","、")</f>
        <v/>
      </c>
      <c r="O16" s="2107" t="str">
        <f>IF(F17="","",F16&amp;TEXT(F17,"yyyy年m月d日;;"))</f>
        <v>地下车库2072年10月31日</v>
      </c>
      <c r="P16" s="1493" t="str">
        <f>IF(OR(O16="",Q16=""),"","、")</f>
        <v>、</v>
      </c>
      <c r="Q16" s="2107" t="str">
        <f>IF(G17="","",G16&amp;TEXT(G17,"yyyy年m月d日;;"))</f>
        <v>地下仓储2072年10月31日</v>
      </c>
      <c r="R16" s="1493" t="str">
        <f>IF(OR(Q16="",S16=""),"","、")</f>
        <v/>
      </c>
      <c r="S16" s="2107" t="str">
        <f>IF(H17="","",H16&amp;TEXT(H17,"yyyy年m月d日;;"))</f>
        <v/>
      </c>
      <c r="T16" s="1493" t="str">
        <f>IF(OR(S16="",U16=""),"","、")</f>
        <v/>
      </c>
      <c r="U16" s="2107" t="str">
        <f>IF(I17="","",I16&amp;TEXT(I17,"yyyy年m月d日;;"))</f>
        <v/>
      </c>
    </row>
    <row r="17" spans="1:21">
      <c r="A17" s="3334" t="s">
        <v>2744</v>
      </c>
      <c r="B17" s="2743" t="s">
        <v>1473</v>
      </c>
      <c r="C17" s="3666">
        <v>70433</v>
      </c>
      <c r="D17" s="3666">
        <v>59475</v>
      </c>
      <c r="E17" s="3666"/>
      <c r="F17" s="3666">
        <v>63128</v>
      </c>
      <c r="G17" s="3666">
        <v>63128</v>
      </c>
      <c r="H17" s="3333"/>
      <c r="I17" s="3333"/>
      <c r="J17" s="2814"/>
      <c r="K17" s="2792" t="str">
        <f>CONCATENATE(K16,L16,M16,N16,O16,P16,Q16,R16,S16,T16,,U16)</f>
        <v>地下商业2062年10月31日地下车库2072年10月31日、地下仓储2072年10月31日</v>
      </c>
      <c r="L17" s="2793"/>
      <c r="M17" s="2793"/>
      <c r="N17" s="2794"/>
      <c r="O17" s="2795"/>
      <c r="P17" s="2794"/>
      <c r="Q17" s="2794"/>
      <c r="R17" s="2794"/>
      <c r="S17" s="2794"/>
      <c r="T17" s="2794"/>
      <c r="U17" s="2794"/>
    </row>
    <row r="18" spans="1:21">
      <c r="A18" s="1551"/>
      <c r="B18" s="2743" t="s">
        <v>1474</v>
      </c>
      <c r="C18" s="1481">
        <v>70</v>
      </c>
      <c r="D18" s="1481">
        <v>40</v>
      </c>
      <c r="E18" s="1481"/>
      <c r="F18" s="1481">
        <v>50</v>
      </c>
      <c r="G18" s="1481">
        <v>50</v>
      </c>
      <c r="H18" s="1481"/>
      <c r="I18" s="1481"/>
      <c r="J18" s="2814"/>
      <c r="K18" s="2797"/>
      <c r="L18" s="2793"/>
      <c r="M18" s="2793"/>
      <c r="N18" s="2794"/>
      <c r="O18" s="2795"/>
      <c r="P18" s="2794"/>
      <c r="Q18" s="2794"/>
      <c r="R18" s="2794"/>
      <c r="S18" s="2794"/>
      <c r="T18" s="2794"/>
      <c r="U18" s="2794"/>
    </row>
    <row r="19" spans="1:21">
      <c r="A19" s="1551"/>
      <c r="B19" s="1462" t="s">
        <v>1475</v>
      </c>
      <c r="C19" s="1546">
        <f>IF(A17="出让",IF(C17="","",ROUNDDOWN(MIN((C17-$D$3)/365,C18),2)),C18)</f>
        <v>69.87</v>
      </c>
      <c r="D19" s="1546">
        <f>IF(A17="出让",IF(D17="","",ROUNDDOWN(MIN((D17-$D$3)/365,D18),2)),D18)</f>
        <v>39.85</v>
      </c>
      <c r="E19" s="1482" t="str">
        <f>IF(A17="出让",IF(E17="","",ROUNDDOWN(MIN((E17-$D$3)/365,E18),2)),E18)</f>
        <v/>
      </c>
      <c r="F19" s="1482">
        <f>IF(A17="出让",IF(F17="","",ROUNDDOWN(MIN((F17-$D$3)/365,F18),2)),F18)</f>
        <v>49.86</v>
      </c>
      <c r="G19" s="1482">
        <f>IF(A17="出让",IF(G17="","",ROUNDDOWN(MIN((G17-$D$3)/365,G18),2)),G18)</f>
        <v>49.86</v>
      </c>
      <c r="H19" s="1482" t="str">
        <f>IF(A17="出让",IF(H17="","",ROUNDDOWN(MIN((H17-$D$3)/365,H18),2)),H18)</f>
        <v/>
      </c>
      <c r="I19" s="1482" t="str">
        <f>IF(A17="出让",IF(I17="","",ROUNDDOWN(MIN((I17-$D$3)/365,I18),2)),I18)</f>
        <v/>
      </c>
      <c r="J19" s="2814"/>
      <c r="K19" s="2797"/>
      <c r="L19" s="2793"/>
      <c r="M19" s="2793"/>
      <c r="N19" s="2794"/>
      <c r="O19" s="2795"/>
      <c r="P19" s="2794"/>
      <c r="Q19" s="2794"/>
      <c r="R19" s="2794"/>
      <c r="S19" s="2794"/>
      <c r="T19" s="2794"/>
      <c r="U19" s="2794"/>
    </row>
    <row r="20" spans="1:21">
      <c r="A20" s="1571"/>
      <c r="B20" s="1572"/>
      <c r="C20" s="1573" t="s">
        <v>1578</v>
      </c>
      <c r="D20" s="3744"/>
      <c r="E20" s="3745"/>
      <c r="F20" s="3745"/>
      <c r="G20" s="3745"/>
      <c r="H20" s="3745"/>
      <c r="I20" s="3746"/>
      <c r="J20" s="2814"/>
      <c r="K20" s="2797"/>
      <c r="L20" s="2793"/>
      <c r="M20" s="2793"/>
      <c r="N20" s="2794"/>
      <c r="O20" s="2795"/>
      <c r="P20" s="2794"/>
      <c r="Q20" s="2794"/>
      <c r="R20" s="2794"/>
      <c r="S20" s="2794"/>
      <c r="T20" s="2794"/>
      <c r="U20" s="2794"/>
    </row>
    <row r="21" spans="1:21">
      <c r="A21" s="1551" t="s">
        <v>1476</v>
      </c>
      <c r="B21" s="1552" t="s">
        <v>1477</v>
      </c>
      <c r="C21" s="1547">
        <f>'数据-汇总表'!E3</f>
        <v>146577.54999999999</v>
      </c>
      <c r="D21" s="1548" t="s">
        <v>1478</v>
      </c>
      <c r="E21" s="3734" t="s">
        <v>1516</v>
      </c>
      <c r="F21" s="3735"/>
      <c r="G21" s="3735"/>
      <c r="H21" s="3735"/>
      <c r="I21" s="3736"/>
      <c r="J21" s="2814"/>
      <c r="K21" s="2797"/>
      <c r="L21" s="2793"/>
      <c r="M21" s="2793"/>
      <c r="N21" s="2794"/>
      <c r="O21" s="2795"/>
      <c r="P21" s="2794"/>
      <c r="Q21" s="2794"/>
      <c r="R21" s="2794"/>
      <c r="S21" s="2794"/>
      <c r="T21" s="2794"/>
      <c r="U21" s="2794"/>
    </row>
    <row r="22" spans="1:21">
      <c r="A22" s="2554" t="s">
        <v>877</v>
      </c>
      <c r="B22" s="1463" t="s">
        <v>1479</v>
      </c>
      <c r="C22" s="1483">
        <f>'数据-汇总表'!D3</f>
        <v>69193.56</v>
      </c>
      <c r="D22" s="1484" t="s">
        <v>1478</v>
      </c>
      <c r="E22" s="3734" t="s">
        <v>2165</v>
      </c>
      <c r="F22" s="3735"/>
      <c r="G22" s="3735"/>
      <c r="H22" s="3735"/>
      <c r="I22" s="3736"/>
      <c r="J22" s="2814"/>
      <c r="K22" s="2797"/>
      <c r="L22" s="2793"/>
      <c r="M22" s="2793"/>
      <c r="N22" s="2794"/>
      <c r="O22" s="2795"/>
      <c r="P22" s="2794"/>
      <c r="Q22" s="2794"/>
      <c r="R22" s="2794"/>
      <c r="S22" s="2794"/>
      <c r="T22" s="2794"/>
      <c r="U22" s="2794"/>
    </row>
    <row r="23" spans="1:21" ht="29.25" thickBot="1">
      <c r="A23" s="1553" t="s">
        <v>1480</v>
      </c>
      <c r="B23" s="1494" t="s">
        <v>1481</v>
      </c>
      <c r="C23" s="1495"/>
      <c r="D23" s="1496" t="s">
        <v>1482</v>
      </c>
      <c r="E23" s="1497"/>
      <c r="F23" s="1498" t="str">
        <f>IF(AND(C23="是",E23="否"),"是否提供他项权证或相关说明","")</f>
        <v/>
      </c>
      <c r="G23" s="1499"/>
      <c r="H23" s="2814"/>
      <c r="I23" s="2818"/>
      <c r="J23" s="2814"/>
      <c r="K23" s="2797"/>
      <c r="L23" s="2793"/>
      <c r="M23" s="2793"/>
      <c r="N23" s="2794"/>
      <c r="O23" s="2795"/>
      <c r="P23" s="2794"/>
      <c r="Q23" s="2794"/>
      <c r="R23" s="2794"/>
      <c r="S23" s="2794"/>
      <c r="T23" s="2794"/>
      <c r="U23" s="2794"/>
    </row>
    <row r="24" spans="1:21">
      <c r="A24" s="1538" t="s">
        <v>1483</v>
      </c>
      <c r="B24" s="3737" t="s">
        <v>1484</v>
      </c>
      <c r="C24" s="3738"/>
      <c r="D24" s="3739" t="s">
        <v>1485</v>
      </c>
      <c r="E24" s="3740"/>
      <c r="F24" s="1501" t="s">
        <v>1486</v>
      </c>
      <c r="G24" s="2814"/>
      <c r="H24" s="2814"/>
      <c r="I24" s="2818"/>
      <c r="J24" s="2814"/>
      <c r="K24" s="3725"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4"/>
      <c r="O24" s="2795"/>
      <c r="P24" s="2794"/>
      <c r="Q24" s="2794"/>
      <c r="R24" s="2794"/>
      <c r="S24" s="2794"/>
      <c r="T24" s="2794"/>
      <c r="U24" s="2794"/>
    </row>
    <row r="25" spans="1:21" ht="28.5">
      <c r="A25" s="1539"/>
      <c r="B25" s="1536" t="s">
        <v>1682</v>
      </c>
      <c r="C25" s="1502" t="s">
        <v>1488</v>
      </c>
      <c r="D25" s="1503"/>
      <c r="E25" s="1504" t="s">
        <v>877</v>
      </c>
      <c r="F25" s="1505"/>
      <c r="G25" s="2814"/>
      <c r="H25" s="2814"/>
      <c r="I25" s="2818"/>
      <c r="J25" s="2814"/>
      <c r="K25" s="3725"/>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4"/>
      <c r="O25" s="2795"/>
      <c r="P25" s="2794"/>
      <c r="Q25" s="2794"/>
      <c r="R25" s="2794"/>
      <c r="S25" s="2794"/>
      <c r="T25" s="2794"/>
      <c r="U25" s="2794"/>
    </row>
    <row r="26" spans="1:21" ht="29.25" thickBot="1">
      <c r="A26" s="1540"/>
      <c r="B26" s="1537" t="s">
        <v>1489</v>
      </c>
      <c r="C26" s="1502" t="s">
        <v>1683</v>
      </c>
      <c r="D26" s="2815"/>
      <c r="E26" s="2815"/>
      <c r="F26" s="2821"/>
      <c r="G26" s="2814"/>
      <c r="H26" s="2814"/>
      <c r="I26" s="2818"/>
      <c r="J26" s="2814"/>
      <c r="K26" s="3725"/>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4"/>
      <c r="O26" s="2795"/>
      <c r="P26" s="2794"/>
      <c r="Q26" s="2794"/>
      <c r="R26" s="2794"/>
      <c r="S26" s="2794"/>
      <c r="T26" s="2794"/>
      <c r="U26" s="2794"/>
    </row>
    <row r="27" spans="1:21">
      <c r="A27" s="1543" t="s">
        <v>1490</v>
      </c>
      <c r="B27" s="1541" t="s">
        <v>1491</v>
      </c>
      <c r="C27" s="1506"/>
      <c r="D27" s="2254" t="s">
        <v>1491</v>
      </c>
      <c r="E27" s="1507"/>
      <c r="F27" s="2821"/>
      <c r="G27" s="2814"/>
      <c r="H27" s="2814"/>
      <c r="I27" s="2818"/>
      <c r="J27" s="2814"/>
      <c r="K27" s="2797"/>
      <c r="L27" s="2793"/>
      <c r="M27" s="2793"/>
      <c r="N27" s="2794"/>
      <c r="O27" s="2795"/>
      <c r="P27" s="2794"/>
      <c r="Q27" s="2794"/>
      <c r="R27" s="2794"/>
      <c r="S27" s="2794"/>
      <c r="T27" s="2794"/>
      <c r="U27" s="2794"/>
    </row>
    <row r="28" spans="1:21">
      <c r="A28" s="1544"/>
      <c r="B28" s="1541" t="s">
        <v>1492</v>
      </c>
      <c r="C28" s="1508"/>
      <c r="D28" s="2255" t="s">
        <v>1492</v>
      </c>
      <c r="E28" s="1509"/>
      <c r="F28" s="2821"/>
      <c r="G28" s="2814"/>
      <c r="H28" s="2814"/>
      <c r="I28" s="2818"/>
      <c r="J28" s="2814"/>
      <c r="K28" s="2797"/>
      <c r="L28" s="2793"/>
      <c r="M28" s="2793"/>
      <c r="N28" s="2794"/>
      <c r="O28" s="2795"/>
      <c r="P28" s="2794"/>
      <c r="Q28" s="2794"/>
      <c r="R28" s="2794"/>
      <c r="S28" s="2794"/>
      <c r="T28" s="2794"/>
      <c r="U28" s="2794"/>
    </row>
    <row r="29" spans="1:21">
      <c r="A29" s="1544"/>
      <c r="B29" s="1541" t="s">
        <v>1493</v>
      </c>
      <c r="C29" s="1508"/>
      <c r="D29" s="2255" t="s">
        <v>1493</v>
      </c>
      <c r="E29" s="1509"/>
      <c r="F29" s="2821"/>
      <c r="G29" s="2814"/>
      <c r="H29" s="2814"/>
      <c r="I29" s="2818"/>
      <c r="J29" s="2814"/>
      <c r="K29" s="2797"/>
      <c r="L29" s="2793"/>
      <c r="M29" s="2793"/>
      <c r="N29" s="2794"/>
      <c r="O29" s="2795"/>
      <c r="P29" s="2794"/>
      <c r="Q29" s="2794"/>
      <c r="R29" s="2794"/>
      <c r="S29" s="2794"/>
      <c r="T29" s="2794"/>
      <c r="U29" s="2794"/>
    </row>
    <row r="30" spans="1:21" ht="15" thickBot="1">
      <c r="A30" s="1545"/>
      <c r="B30" s="1542" t="s">
        <v>1494</v>
      </c>
      <c r="C30" s="1510"/>
      <c r="D30" s="2256" t="s">
        <v>1494</v>
      </c>
      <c r="E30" s="1511"/>
      <c r="F30" s="2822"/>
      <c r="G30" s="2819"/>
      <c r="H30" s="2819"/>
      <c r="I30" s="2820"/>
      <c r="J30" s="2814"/>
      <c r="K30" s="2797"/>
      <c r="L30" s="2793"/>
      <c r="M30" s="2793"/>
      <c r="N30" s="2794"/>
      <c r="O30" s="2795"/>
      <c r="P30" s="2794"/>
      <c r="Q30" s="2794"/>
      <c r="R30" s="2794"/>
      <c r="S30" s="2794"/>
      <c r="T30" s="2794"/>
      <c r="U30" s="2794"/>
    </row>
    <row r="31" spans="1:21" ht="15" thickTop="1">
      <c r="A31" s="3752" t="s">
        <v>1519</v>
      </c>
      <c r="B31" s="1552" t="s">
        <v>1520</v>
      </c>
      <c r="C31" s="3750"/>
      <c r="D31" s="3751"/>
      <c r="E31" s="2814"/>
      <c r="F31" s="2814"/>
      <c r="G31" s="2814"/>
      <c r="H31" s="2814"/>
      <c r="I31" s="2818"/>
      <c r="J31" s="2814"/>
      <c r="K31" s="2800"/>
      <c r="L31" s="2794"/>
      <c r="M31" s="2794"/>
      <c r="N31" s="2794"/>
      <c r="O31" s="2794"/>
      <c r="P31" s="2794"/>
      <c r="Q31" s="2794"/>
      <c r="R31" s="2794"/>
      <c r="S31" s="2794"/>
      <c r="T31" s="2794"/>
      <c r="U31" s="2794"/>
    </row>
    <row r="32" spans="1:21">
      <c r="A32" s="3752"/>
      <c r="B32" s="1463" t="s">
        <v>1521</v>
      </c>
      <c r="C32" s="1512"/>
      <c r="D32" s="1513"/>
      <c r="E32" s="2814"/>
      <c r="F32" s="2814"/>
      <c r="G32" s="2814"/>
      <c r="H32" s="2814"/>
      <c r="I32" s="2818"/>
      <c r="J32" s="2814"/>
      <c r="K32" s="2800"/>
      <c r="L32" s="2794"/>
      <c r="M32" s="2794"/>
      <c r="N32" s="2794"/>
      <c r="O32" s="2794"/>
      <c r="P32" s="2794"/>
      <c r="Q32" s="2794"/>
      <c r="R32" s="2794"/>
      <c r="S32" s="2794"/>
      <c r="T32" s="2794"/>
      <c r="U32" s="2794"/>
    </row>
    <row r="33" spans="1:28">
      <c r="A33" s="3752"/>
      <c r="B33" s="1463" t="s">
        <v>1522</v>
      </c>
      <c r="C33" s="1514"/>
      <c r="D33" s="1622"/>
      <c r="E33" s="2814"/>
      <c r="F33" s="2814"/>
      <c r="G33" s="2814"/>
      <c r="H33" s="2814"/>
      <c r="I33" s="2818"/>
      <c r="J33" s="2814"/>
      <c r="K33" s="2800"/>
      <c r="L33" s="2794"/>
      <c r="M33" s="2794"/>
      <c r="N33" s="2794"/>
      <c r="O33" s="2794"/>
      <c r="P33" s="2794"/>
      <c r="Q33" s="2794"/>
      <c r="R33" s="2794"/>
      <c r="S33" s="2794"/>
      <c r="T33" s="2794"/>
      <c r="U33" s="2794"/>
    </row>
    <row r="34" spans="1:28">
      <c r="A34" s="3753"/>
      <c r="B34" s="1463" t="s">
        <v>1523</v>
      </c>
      <c r="C34" s="3754"/>
      <c r="D34" s="3755"/>
      <c r="E34" s="2814"/>
      <c r="F34" s="2814"/>
      <c r="G34" s="2814"/>
      <c r="H34" s="2814"/>
      <c r="I34" s="2818"/>
      <c r="J34" s="2814"/>
      <c r="K34" s="2800"/>
      <c r="L34" s="2794"/>
      <c r="M34" s="2794"/>
      <c r="N34" s="2794"/>
      <c r="O34" s="2794"/>
      <c r="P34" s="2794"/>
      <c r="Q34" s="2794"/>
      <c r="R34" s="2794"/>
      <c r="S34" s="2794"/>
      <c r="T34" s="2794"/>
      <c r="U34" s="2794"/>
    </row>
    <row r="35" spans="1:28">
      <c r="A35" s="3756" t="s">
        <v>785</v>
      </c>
      <c r="B35" s="1515"/>
      <c r="C35" s="1561" t="str">
        <f>IF(B35="场地平整","——","具体情况：")</f>
        <v>具体情况：</v>
      </c>
      <c r="D35" s="3758"/>
      <c r="E35" s="3759"/>
      <c r="F35" s="3759"/>
      <c r="G35" s="3759"/>
      <c r="H35" s="3759"/>
      <c r="I35" s="3760"/>
      <c r="J35" s="2814"/>
      <c r="K35" s="2801"/>
      <c r="L35" s="2793"/>
      <c r="M35" s="2793"/>
      <c r="N35" s="2794"/>
      <c r="O35" s="2795"/>
      <c r="P35" s="2794"/>
      <c r="Q35" s="2794"/>
      <c r="R35" s="2794"/>
      <c r="S35" s="2794"/>
      <c r="T35" s="2794"/>
      <c r="U35" s="2794"/>
    </row>
    <row r="36" spans="1:28">
      <c r="A36" s="3752"/>
      <c r="B36" s="3761" t="s">
        <v>1572</v>
      </c>
      <c r="C36" s="3762"/>
      <c r="D36" s="1577"/>
      <c r="E36" s="3763"/>
      <c r="F36" s="3763"/>
      <c r="G36" s="1484" t="str">
        <f>IF(B35="场地未平整","估价结果处理","")</f>
        <v/>
      </c>
      <c r="H36" s="3764"/>
      <c r="I36" s="3764"/>
      <c r="J36" s="2814"/>
      <c r="K36" s="2801"/>
      <c r="L36" s="2793"/>
      <c r="M36" s="2793"/>
      <c r="N36" s="2794"/>
      <c r="O36" s="2795"/>
      <c r="P36" s="2794"/>
      <c r="Q36" s="2794"/>
      <c r="R36" s="2794"/>
      <c r="S36" s="2794"/>
      <c r="T36" s="2794"/>
      <c r="U36" s="2794"/>
    </row>
    <row r="37" spans="1:28" ht="28.5">
      <c r="A37" s="3752"/>
      <c r="B37" s="3741" t="s">
        <v>786</v>
      </c>
      <c r="C37" s="1517" t="s">
        <v>787</v>
      </c>
      <c r="D37" s="1518"/>
      <c r="E37" s="1519"/>
      <c r="F37" s="2814"/>
      <c r="G37" s="2814"/>
      <c r="H37" s="2814"/>
      <c r="I37" s="2818"/>
      <c r="J37" s="2814"/>
      <c r="K37" s="2801"/>
      <c r="L37" s="2794"/>
      <c r="M37" s="2794"/>
      <c r="N37" s="2794"/>
      <c r="O37" s="2794"/>
      <c r="P37" s="2794"/>
      <c r="Q37" s="2794"/>
      <c r="R37" s="2794"/>
      <c r="S37" s="2794"/>
      <c r="T37" s="2794"/>
      <c r="U37" s="2794"/>
    </row>
    <row r="38" spans="1:28">
      <c r="A38" s="3752"/>
      <c r="B38" s="3742"/>
      <c r="C38" s="1471" t="s">
        <v>788</v>
      </c>
      <c r="D38" s="1576">
        <f>ROUNDDOWN(MIN(('数据-取费表'!$B$2-D37)/365,D34),1)</f>
        <v>123</v>
      </c>
      <c r="E38" s="1520" t="s">
        <v>789</v>
      </c>
      <c r="F38" s="2814"/>
      <c r="G38" s="2814"/>
      <c r="H38" s="2814"/>
      <c r="I38" s="2818"/>
      <c r="J38" s="2814"/>
      <c r="K38" s="2801"/>
      <c r="L38" s="2794"/>
      <c r="M38" s="2794"/>
      <c r="N38" s="2794"/>
      <c r="O38" s="2794"/>
      <c r="P38" s="2794"/>
      <c r="Q38" s="2794"/>
      <c r="R38" s="2794"/>
      <c r="S38" s="2794"/>
      <c r="T38" s="2794"/>
      <c r="U38" s="2794"/>
    </row>
    <row r="39" spans="1:28">
      <c r="A39" s="3753"/>
      <c r="B39" s="3743"/>
      <c r="C39" s="1491" t="str">
        <f>IF(D38&lt;1,"不存在土地闲置",IF(B35="宗地内已开工建设","已开工，不存在土地闲置","估价对象已涉嫌土地闲置"))</f>
        <v>估价对象已涉嫌土地闲置</v>
      </c>
      <c r="D39" s="1521"/>
      <c r="E39" s="1522"/>
      <c r="F39" s="2814"/>
      <c r="G39" s="2814"/>
      <c r="H39" s="2814"/>
      <c r="I39" s="2818"/>
      <c r="J39" s="2814"/>
      <c r="K39" s="2797"/>
      <c r="L39" s="2793"/>
      <c r="M39" s="2793"/>
      <c r="N39" s="2794"/>
      <c r="O39" s="2795"/>
      <c r="P39" s="2794"/>
      <c r="Q39" s="2794"/>
      <c r="R39" s="2794"/>
      <c r="S39" s="2794"/>
      <c r="T39" s="2794"/>
      <c r="U39" s="2794"/>
    </row>
    <row r="40" spans="1:28">
      <c r="A40" s="1484" t="s">
        <v>1495</v>
      </c>
      <c r="B40" s="1485"/>
      <c r="C40" s="1485"/>
      <c r="D40" s="1485"/>
      <c r="E40" s="1485"/>
      <c r="F40" s="1485"/>
      <c r="G40" s="1485"/>
      <c r="H40" s="1485"/>
      <c r="I40" s="2818"/>
      <c r="J40" s="2814"/>
      <c r="K40" s="2762">
        <f>COUNTIF(B40:H40,"——")</f>
        <v>0</v>
      </c>
      <c r="L40" s="1493" t="s">
        <v>1496</v>
      </c>
      <c r="M40" s="1490" t="s">
        <v>1497</v>
      </c>
      <c r="N40" s="1490" t="s">
        <v>1498</v>
      </c>
      <c r="O40" s="1490" t="s">
        <v>1499</v>
      </c>
      <c r="P40" s="1490" t="s">
        <v>1500</v>
      </c>
      <c r="Q40" s="1490" t="s">
        <v>1501</v>
      </c>
      <c r="R40" s="1490" t="s">
        <v>1502</v>
      </c>
      <c r="S40" s="3724" t="s">
        <v>1503</v>
      </c>
      <c r="T40" s="1524" t="str">
        <f>NUMBERSTRING(7-K40,1)&amp;"通"</f>
        <v>七通</v>
      </c>
      <c r="U40" s="2794"/>
    </row>
    <row r="41" spans="1:28">
      <c r="A41" s="1465"/>
      <c r="B41" s="3757" t="s">
        <v>1250</v>
      </c>
      <c r="C41" s="3757"/>
      <c r="D41" s="3757"/>
      <c r="E41" s="3757"/>
      <c r="F41" s="1525">
        <f>C10</f>
        <v>0</v>
      </c>
      <c r="G41" s="2814"/>
      <c r="H41" s="2814"/>
      <c r="I41" s="2818"/>
      <c r="J41" s="2814"/>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24"/>
      <c r="T41" s="1526" t="str">
        <f>IF(T40="一通",L41,IF(T40="二通",M41,IF(T40="三通",N41,IF(T40="四通",O41,IF(T40="五通",P41,IF(T40="六通",Q41,R41))))))</f>
        <v>、、、、、、</v>
      </c>
      <c r="U41" s="2794"/>
    </row>
    <row r="42" spans="1:28">
      <c r="A42" s="1528"/>
      <c r="B42" s="1554" t="s">
        <v>1422</v>
      </c>
      <c r="C42" s="1554" t="s">
        <v>1423</v>
      </c>
      <c r="D42" s="1554" t="s">
        <v>1424</v>
      </c>
      <c r="E42" s="3280" t="s">
        <v>2745</v>
      </c>
      <c r="F42" s="3280" t="s">
        <v>2746</v>
      </c>
      <c r="G42" s="2814"/>
      <c r="H42" s="2814"/>
      <c r="I42" s="2818"/>
      <c r="J42" s="2814"/>
      <c r="K42" s="2797"/>
      <c r="L42" s="2793"/>
      <c r="M42" s="2793"/>
      <c r="N42" s="2794"/>
      <c r="O42" s="2795"/>
      <c r="P42" s="2794"/>
      <c r="Q42" s="2794"/>
      <c r="R42" s="2794"/>
      <c r="S42" s="2794"/>
      <c r="T42" s="2794"/>
      <c r="U42" s="2794"/>
    </row>
    <row r="43" spans="1:28">
      <c r="A43" s="2765" t="s">
        <v>1235</v>
      </c>
      <c r="B43" s="1530" t="s">
        <v>1154</v>
      </c>
      <c r="C43" s="1530" t="s">
        <v>1154</v>
      </c>
      <c r="D43" s="1530" t="s">
        <v>1154</v>
      </c>
      <c r="E43" s="1530"/>
      <c r="F43" s="1530"/>
      <c r="G43" s="2814"/>
      <c r="H43" s="2814"/>
      <c r="I43" s="2818"/>
      <c r="J43" s="2814"/>
      <c r="K43" s="2797"/>
      <c r="L43" s="2793"/>
      <c r="M43" s="2793"/>
      <c r="N43" s="2794"/>
      <c r="O43" s="2795"/>
      <c r="P43" s="2794"/>
      <c r="Q43" s="2794"/>
      <c r="R43" s="2794"/>
      <c r="S43" s="2794"/>
      <c r="T43" s="2794"/>
      <c r="U43" s="2794"/>
    </row>
    <row r="44" spans="1:28">
      <c r="A44" s="2765" t="s">
        <v>1236</v>
      </c>
      <c r="B44" s="1530" t="s">
        <v>2909</v>
      </c>
      <c r="C44" s="1530" t="s">
        <v>2909</v>
      </c>
      <c r="D44" s="1530" t="s">
        <v>2909</v>
      </c>
      <c r="E44" s="1577"/>
      <c r="F44" s="1577"/>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8"/>
      <c r="B46" s="1488"/>
      <c r="C46" s="1488"/>
      <c r="D46" s="1488"/>
      <c r="E46" s="1488"/>
      <c r="F46" s="1488"/>
      <c r="G46" s="1488"/>
      <c r="H46" s="1488"/>
      <c r="I46" s="1500"/>
      <c r="J46" s="1488"/>
      <c r="K46" s="2797"/>
      <c r="L46" s="2793"/>
      <c r="M46" s="2793"/>
      <c r="N46" s="2794"/>
      <c r="O46" s="2795"/>
      <c r="P46" s="2794"/>
      <c r="Q46" s="2794"/>
      <c r="R46" s="2794"/>
      <c r="S46" s="2794"/>
      <c r="T46" s="2794"/>
      <c r="U46" s="2794"/>
    </row>
    <row r="47" spans="1:28">
      <c r="A47" s="1531" t="s">
        <v>1524</v>
      </c>
      <c r="B47" s="1532"/>
      <c r="C47" s="1522"/>
      <c r="D47" s="1488"/>
      <c r="E47" s="1488"/>
      <c r="F47" s="1488"/>
      <c r="G47" s="1488"/>
      <c r="H47" s="1488"/>
      <c r="I47" s="1489"/>
      <c r="J47" s="1488"/>
      <c r="K47" s="2797"/>
      <c r="L47" s="2793"/>
      <c r="M47" s="2793"/>
      <c r="N47" s="2794"/>
      <c r="O47" s="2795"/>
      <c r="P47" s="2794"/>
      <c r="Q47" s="2794"/>
      <c r="R47" s="2794"/>
      <c r="S47" s="2794"/>
      <c r="T47" s="2794"/>
      <c r="U47" s="2794"/>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90"/>
      <c r="B49" s="1523"/>
      <c r="C49" s="1523"/>
      <c r="D49" s="1523"/>
      <c r="E49" s="1523"/>
      <c r="F49" s="1523"/>
      <c r="G49" s="1523"/>
      <c r="H49" s="1523"/>
      <c r="I49" s="1523"/>
      <c r="J49" s="1623"/>
      <c r="K49" s="2809"/>
      <c r="L49" s="2809"/>
      <c r="M49" s="1529"/>
      <c r="N49" s="1529"/>
      <c r="O49" s="1529"/>
      <c r="P49" s="1529"/>
      <c r="Q49" s="1529"/>
      <c r="R49" s="1529"/>
      <c r="S49" s="2794"/>
      <c r="T49" s="2794"/>
      <c r="U49" s="2794"/>
    </row>
    <row r="50" spans="1:21">
      <c r="A50" s="1490"/>
      <c r="B50" s="1490"/>
      <c r="C50" s="1523"/>
      <c r="D50" s="1523"/>
      <c r="E50" s="1523"/>
      <c r="F50" s="1523"/>
      <c r="G50" s="1523"/>
      <c r="H50" s="1523"/>
      <c r="I50" s="1523"/>
      <c r="J50" s="1623"/>
      <c r="K50" s="2809"/>
      <c r="L50" s="2809"/>
      <c r="M50" s="1529"/>
      <c r="N50" s="1529"/>
      <c r="O50" s="1529"/>
      <c r="P50" s="1529"/>
      <c r="Q50" s="1529"/>
      <c r="R50" s="1529"/>
      <c r="S50" s="2794"/>
      <c r="T50" s="2794"/>
      <c r="U50" s="2794"/>
    </row>
    <row r="51" spans="1:21">
      <c r="A51" s="1490"/>
      <c r="B51" s="1490"/>
      <c r="C51" s="1523"/>
      <c r="D51" s="1523"/>
      <c r="E51" s="1523"/>
      <c r="F51" s="1523"/>
      <c r="G51" s="1523"/>
      <c r="H51" s="1523"/>
      <c r="I51" s="1523"/>
      <c r="J51" s="1623"/>
      <c r="K51" s="2809"/>
      <c r="L51" s="2809"/>
      <c r="M51" s="1529"/>
      <c r="N51" s="1529"/>
      <c r="O51" s="1529"/>
      <c r="P51" s="1529"/>
      <c r="Q51" s="1529"/>
      <c r="R51" s="1529"/>
      <c r="S51" s="2794"/>
      <c r="T51" s="2794"/>
      <c r="U51" s="2794"/>
    </row>
    <row r="52" spans="1:21">
      <c r="A52" s="1490"/>
      <c r="B52" s="1490"/>
      <c r="C52" s="1523"/>
      <c r="D52" s="1523"/>
      <c r="E52" s="1523"/>
      <c r="F52" s="1523"/>
      <c r="G52" s="1523"/>
      <c r="H52" s="1523"/>
      <c r="I52" s="1523"/>
      <c r="J52" s="1623"/>
      <c r="K52" s="2809"/>
      <c r="L52" s="2809"/>
      <c r="M52" s="1529"/>
      <c r="N52" s="1529"/>
      <c r="O52" s="1529"/>
      <c r="P52" s="1529"/>
      <c r="Q52" s="1529"/>
      <c r="R52" s="1529"/>
      <c r="S52" s="2794"/>
      <c r="T52" s="2794"/>
      <c r="U52" s="2794"/>
    </row>
    <row r="53" spans="1:21">
      <c r="A53" s="1490"/>
      <c r="B53" s="1490"/>
      <c r="C53" s="1523"/>
      <c r="D53" s="1523"/>
      <c r="E53" s="1523"/>
      <c r="F53" s="1523"/>
      <c r="G53" s="1523"/>
      <c r="H53" s="1523"/>
      <c r="I53" s="1523"/>
      <c r="J53" s="1623"/>
      <c r="K53" s="2809"/>
      <c r="L53" s="2809"/>
      <c r="M53" s="1529"/>
      <c r="N53" s="1529"/>
      <c r="O53" s="1529"/>
      <c r="P53" s="1529"/>
      <c r="Q53" s="1529"/>
      <c r="R53" s="1529"/>
      <c r="S53" s="2794"/>
      <c r="T53" s="2794"/>
      <c r="U53" s="2794"/>
    </row>
    <row r="54" spans="1:21">
      <c r="A54" s="1490"/>
      <c r="B54" s="1490"/>
      <c r="C54" s="1490"/>
      <c r="D54" s="1490"/>
      <c r="E54" s="1490"/>
      <c r="F54" s="1523"/>
      <c r="G54" s="1490"/>
      <c r="H54" s="1490"/>
      <c r="I54" s="1490"/>
      <c r="J54" s="1624"/>
      <c r="K54" s="2809"/>
      <c r="L54" s="2809"/>
      <c r="M54" s="2809"/>
      <c r="N54" s="2761"/>
      <c r="O54" s="2761"/>
      <c r="P54" s="2761"/>
      <c r="Q54" s="2761"/>
      <c r="R54" s="2761"/>
      <c r="S54" s="2794"/>
      <c r="T54" s="2794"/>
      <c r="U54" s="2794"/>
    </row>
    <row r="55" spans="1:21">
      <c r="A55" s="1490"/>
      <c r="B55" s="1490"/>
      <c r="C55" s="1490"/>
      <c r="D55" s="1490"/>
      <c r="E55" s="1490"/>
      <c r="F55" s="1523"/>
      <c r="G55" s="1490"/>
      <c r="H55" s="1490"/>
      <c r="I55" s="1490"/>
      <c r="J55" s="1624"/>
      <c r="K55" s="2809"/>
      <c r="L55" s="2809"/>
      <c r="M55" s="2809"/>
      <c r="N55" s="2761"/>
      <c r="O55" s="2761"/>
      <c r="P55" s="2761"/>
      <c r="Q55" s="2761"/>
      <c r="R55" s="2761"/>
      <c r="S55" s="2794"/>
      <c r="T55" s="2794"/>
      <c r="U55" s="2794"/>
    </row>
    <row r="56" spans="1:21">
      <c r="A56" s="1490"/>
      <c r="B56" s="1490"/>
      <c r="C56" s="1490"/>
      <c r="D56" s="1490"/>
      <c r="E56" s="1490"/>
      <c r="F56" s="1523"/>
      <c r="G56" s="1490"/>
      <c r="H56" s="1490"/>
      <c r="I56" s="1490"/>
      <c r="J56" s="1624"/>
      <c r="K56" s="2809"/>
      <c r="L56" s="2809"/>
      <c r="M56" s="2809"/>
      <c r="N56" s="2761"/>
      <c r="O56" s="2761"/>
      <c r="P56" s="2761"/>
      <c r="Q56" s="2761"/>
      <c r="R56" s="2761"/>
      <c r="S56" s="2794"/>
      <c r="T56" s="2794"/>
      <c r="U56" s="2794"/>
    </row>
    <row r="57" spans="1:21">
      <c r="A57" s="1490"/>
      <c r="B57" s="1490"/>
      <c r="C57" s="1490"/>
      <c r="D57" s="1490"/>
      <c r="E57" s="1490"/>
      <c r="F57" s="1523"/>
      <c r="G57" s="1490"/>
      <c r="H57" s="1490"/>
      <c r="I57" s="1490"/>
      <c r="J57" s="1624"/>
      <c r="K57" s="2809"/>
      <c r="L57" s="2809"/>
      <c r="M57" s="2809"/>
      <c r="N57" s="2761"/>
      <c r="O57" s="2761"/>
      <c r="P57" s="2761"/>
      <c r="Q57" s="2761"/>
      <c r="R57" s="2761"/>
      <c r="S57" s="2794"/>
      <c r="T57" s="2794"/>
      <c r="U57" s="2794"/>
    </row>
    <row r="58" spans="1:21">
      <c r="A58" s="1490"/>
      <c r="B58" s="1490"/>
      <c r="C58" s="1490"/>
      <c r="D58" s="1490"/>
      <c r="E58" s="1490"/>
      <c r="F58" s="1523"/>
      <c r="G58" s="1490"/>
      <c r="H58" s="1490"/>
      <c r="I58" s="1490"/>
      <c r="J58" s="1624"/>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M18"/>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f>面积表、补缴!B3</f>
        <v>69193.56</v>
      </c>
      <c r="B3" s="20">
        <f>IF(C3="否",G5-AT5,G5)</f>
        <v>146577.54999999999</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146577.54999999999</v>
      </c>
      <c r="H5" s="25">
        <f t="shared" ref="H5:AT5" si="0">SUM(H13:H641)</f>
        <v>138968.59999999998</v>
      </c>
      <c r="I5" s="25">
        <f t="shared" si="0"/>
        <v>109460.71999999999</v>
      </c>
      <c r="J5" s="25">
        <f t="shared" si="0"/>
        <v>0</v>
      </c>
      <c r="K5" s="25">
        <f t="shared" si="0"/>
        <v>1860</v>
      </c>
      <c r="L5" s="25">
        <f t="shared" si="0"/>
        <v>0</v>
      </c>
      <c r="M5" s="25">
        <f t="shared" si="0"/>
        <v>16237.789999999999</v>
      </c>
      <c r="N5" s="25">
        <f t="shared" si="0"/>
        <v>0</v>
      </c>
      <c r="O5" s="25">
        <f t="shared" si="0"/>
        <v>11410.09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7608.9500000000007</v>
      </c>
      <c r="AD5" s="25">
        <f t="shared" si="0"/>
        <v>0</v>
      </c>
      <c r="AE5" s="25">
        <f t="shared" si="0"/>
        <v>0</v>
      </c>
      <c r="AF5" s="25">
        <f t="shared" si="0"/>
        <v>200</v>
      </c>
      <c r="AG5" s="25">
        <f t="shared" si="0"/>
        <v>0</v>
      </c>
      <c r="AH5" s="25">
        <f t="shared" si="0"/>
        <v>470</v>
      </c>
      <c r="AI5" s="25">
        <f t="shared" si="0"/>
        <v>0</v>
      </c>
      <c r="AJ5" s="25">
        <f t="shared" si="0"/>
        <v>50</v>
      </c>
      <c r="AK5" s="25">
        <f t="shared" si="0"/>
        <v>0</v>
      </c>
      <c r="AL5" s="25">
        <f t="shared" si="0"/>
        <v>695.51</v>
      </c>
      <c r="AM5" s="25">
        <f t="shared" si="0"/>
        <v>0</v>
      </c>
      <c r="AN5" s="25">
        <f t="shared" si="0"/>
        <v>6193.4400000000005</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146577.54999999999</v>
      </c>
      <c r="BA5" s="27">
        <f t="shared" si="1"/>
        <v>138968.59999999998</v>
      </c>
      <c r="BB5" s="27">
        <f t="shared" si="1"/>
        <v>109460.71999999999</v>
      </c>
      <c r="BC5" s="27">
        <f t="shared" si="1"/>
        <v>1860</v>
      </c>
      <c r="BD5" s="27">
        <f t="shared" si="1"/>
        <v>16237.789999999999</v>
      </c>
      <c r="BE5" s="27">
        <f t="shared" si="1"/>
        <v>11410.09</v>
      </c>
      <c r="BF5" s="27">
        <f t="shared" si="1"/>
        <v>0</v>
      </c>
      <c r="BG5" s="27">
        <f t="shared" si="1"/>
        <v>0</v>
      </c>
      <c r="BH5" s="27">
        <f t="shared" si="1"/>
        <v>0</v>
      </c>
      <c r="BI5" s="27">
        <f t="shared" si="1"/>
        <v>0</v>
      </c>
      <c r="BJ5" s="27">
        <f t="shared" si="1"/>
        <v>0</v>
      </c>
      <c r="BK5" s="27">
        <f t="shared" si="1"/>
        <v>0</v>
      </c>
      <c r="BL5" s="27">
        <f t="shared" si="1"/>
        <v>7608.9500000000007</v>
      </c>
      <c r="BM5" s="27">
        <f t="shared" si="1"/>
        <v>0</v>
      </c>
      <c r="BN5" s="27">
        <f t="shared" si="1"/>
        <v>200</v>
      </c>
      <c r="BO5" s="27">
        <f t="shared" si="1"/>
        <v>470</v>
      </c>
      <c r="BP5" s="27">
        <f t="shared" si="1"/>
        <v>50</v>
      </c>
      <c r="BQ5" s="27">
        <f t="shared" si="1"/>
        <v>695.51</v>
      </c>
      <c r="BR5" s="27">
        <f t="shared" si="1"/>
        <v>6193.4400000000005</v>
      </c>
      <c r="BS5" s="27">
        <f t="shared" si="1"/>
        <v>0</v>
      </c>
      <c r="BT5" s="28">
        <f t="shared" si="1"/>
        <v>0</v>
      </c>
    </row>
    <row r="6" spans="1:72" s="35" customFormat="1" ht="12.75">
      <c r="A6" s="24" t="s">
        <v>135</v>
      </c>
      <c r="B6" s="29"/>
      <c r="C6" s="29"/>
      <c r="D6" s="30"/>
      <c r="E6" s="25">
        <f>H6+AC6+AT6</f>
        <v>69193.55</v>
      </c>
      <c r="F6" s="25" t="s">
        <v>0</v>
      </c>
      <c r="G6" s="25" t="s">
        <v>1</v>
      </c>
      <c r="H6" s="31">
        <f>SUMIF(I$12:AB$12,"总值",I6:AB6)</f>
        <v>65601.67</v>
      </c>
      <c r="I6" s="25">
        <f t="shared" ref="I6:AB6" si="2">ROUND($A$3*I5/$B$3,2)</f>
        <v>51672.15</v>
      </c>
      <c r="J6" s="25">
        <f t="shared" si="2"/>
        <v>0</v>
      </c>
      <c r="K6" s="25">
        <f t="shared" si="2"/>
        <v>878.03</v>
      </c>
      <c r="L6" s="25">
        <f t="shared" si="2"/>
        <v>0</v>
      </c>
      <c r="M6" s="25">
        <f t="shared" si="2"/>
        <v>7665.23</v>
      </c>
      <c r="N6" s="25">
        <f t="shared" si="2"/>
        <v>0</v>
      </c>
      <c r="O6" s="25">
        <f t="shared" si="2"/>
        <v>5386.26</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3591.88</v>
      </c>
      <c r="AD6" s="25">
        <f t="shared" ref="AD6:AS6" si="3">ROUND($A$3*AD5/$B$3,2)</f>
        <v>0</v>
      </c>
      <c r="AE6" s="25">
        <f t="shared" si="3"/>
        <v>0</v>
      </c>
      <c r="AF6" s="25">
        <f t="shared" si="3"/>
        <v>94.41</v>
      </c>
      <c r="AG6" s="25">
        <f t="shared" si="3"/>
        <v>0</v>
      </c>
      <c r="AH6" s="25">
        <f t="shared" si="3"/>
        <v>221.87</v>
      </c>
      <c r="AI6" s="25">
        <f t="shared" si="3"/>
        <v>0</v>
      </c>
      <c r="AJ6" s="25">
        <f t="shared" si="3"/>
        <v>23.6</v>
      </c>
      <c r="AK6" s="25">
        <f t="shared" si="3"/>
        <v>0</v>
      </c>
      <c r="AL6" s="25">
        <f t="shared" si="3"/>
        <v>328.32</v>
      </c>
      <c r="AM6" s="25">
        <f t="shared" si="3"/>
        <v>0</v>
      </c>
      <c r="AN6" s="25">
        <f t="shared" si="3"/>
        <v>2923.68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69193.56</v>
      </c>
      <c r="AZ6" s="25" t="s">
        <v>2</v>
      </c>
      <c r="BA6" s="25">
        <f>ROUND($AY$6*BA5/$AZ$5,2)</f>
        <v>65601.67</v>
      </c>
      <c r="BB6" s="25">
        <f>ROUND($AY$6*BB5/$AZ$5,2)</f>
        <v>51672.15</v>
      </c>
      <c r="BC6" s="25">
        <f t="shared" ref="BC6:BH6" si="4">ROUND($AY$6*BC5/$AZ$5,2)</f>
        <v>878.03</v>
      </c>
      <c r="BD6" s="25">
        <f t="shared" si="4"/>
        <v>7665.23</v>
      </c>
      <c r="BE6" s="25">
        <f t="shared" si="4"/>
        <v>5386.26</v>
      </c>
      <c r="BF6" s="25">
        <f t="shared" si="4"/>
        <v>0</v>
      </c>
      <c r="BG6" s="25">
        <f t="shared" si="4"/>
        <v>0</v>
      </c>
      <c r="BH6" s="25">
        <f t="shared" si="4"/>
        <v>0</v>
      </c>
      <c r="BI6" s="25">
        <f t="shared" ref="BI6:BT6" si="5">ROUND($AY$6*BI5/$AZ$5,2)</f>
        <v>0</v>
      </c>
      <c r="BJ6" s="25">
        <f t="shared" si="5"/>
        <v>0</v>
      </c>
      <c r="BK6" s="25">
        <f t="shared" si="5"/>
        <v>0</v>
      </c>
      <c r="BL6" s="25">
        <f t="shared" si="5"/>
        <v>3591.89</v>
      </c>
      <c r="BM6" s="25">
        <f t="shared" si="5"/>
        <v>0</v>
      </c>
      <c r="BN6" s="25">
        <f t="shared" si="5"/>
        <v>94.41</v>
      </c>
      <c r="BO6" s="25">
        <f t="shared" si="5"/>
        <v>221.87</v>
      </c>
      <c r="BP6" s="25">
        <f t="shared" si="5"/>
        <v>23.6</v>
      </c>
      <c r="BQ6" s="25">
        <f t="shared" si="5"/>
        <v>328.32</v>
      </c>
      <c r="BR6" s="25">
        <f t="shared" si="5"/>
        <v>2923.68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3316</v>
      </c>
      <c r="J9" s="49"/>
      <c r="K9" s="2490" t="s">
        <v>3317</v>
      </c>
      <c r="L9" s="49"/>
      <c r="M9" s="2490" t="s">
        <v>3317</v>
      </c>
      <c r="N9" s="49"/>
      <c r="O9" s="57" t="s">
        <v>3317</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851</v>
      </c>
      <c r="J10" s="49"/>
      <c r="K10" s="2492" t="s">
        <v>2741</v>
      </c>
      <c r="L10" s="49"/>
      <c r="M10" s="2492" t="s">
        <v>2742</v>
      </c>
      <c r="N10" s="49"/>
      <c r="O10" s="64" t="s">
        <v>2743</v>
      </c>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地下</v>
      </c>
      <c r="BE10" s="67" t="str">
        <f>O9</f>
        <v>地下</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商业</v>
      </c>
      <c r="BD11" s="48" t="str">
        <f>M10</f>
        <v>车库</v>
      </c>
      <c r="BE11" s="48" t="str">
        <f>O10</f>
        <v>仓储</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3315</v>
      </c>
      <c r="E13" s="25">
        <f t="shared" ref="E13:E20" si="6">IF($C$3="是",ROUND($A$3*G13/$B$3,2),ROUND($A$3*(G13-AT13)/$B$3,2))</f>
        <v>69193.56</v>
      </c>
      <c r="F13" s="78"/>
      <c r="G13" s="79">
        <f t="shared" ref="G13:G20" si="7">H13+AC13+AT13</f>
        <v>146577.54999999999</v>
      </c>
      <c r="H13" s="31">
        <f t="shared" ref="H13:H20" si="8">SUMIF(I$12:AB$12,"总值",I13:AB13)</f>
        <v>138968.59999999998</v>
      </c>
      <c r="I13" s="2489">
        <f>面积表、补缴!AF13</f>
        <v>109460.71999999999</v>
      </c>
      <c r="J13" s="2489"/>
      <c r="K13" s="2489">
        <f>面积表、补缴!AF18</f>
        <v>1860</v>
      </c>
      <c r="L13" s="2489"/>
      <c r="M13" s="2489">
        <f>面积表、补缴!AF23</f>
        <v>16237.789999999999</v>
      </c>
      <c r="N13" s="80"/>
      <c r="O13" s="80">
        <f>面积表、补缴!AF20</f>
        <v>11410.09</v>
      </c>
      <c r="P13" s="80"/>
      <c r="Q13" s="80"/>
      <c r="R13" s="80"/>
      <c r="S13" s="80"/>
      <c r="T13" s="80"/>
      <c r="U13" s="80"/>
      <c r="V13" s="80"/>
      <c r="W13" s="80"/>
      <c r="X13" s="80"/>
      <c r="Y13" s="80"/>
      <c r="Z13" s="80"/>
      <c r="AA13" s="80"/>
      <c r="AB13" s="80"/>
      <c r="AC13" s="25">
        <f t="shared" ref="AC13:AC20" si="9">SUMIF(AD$12:AS$12,"总值",AD13:AS13)</f>
        <v>7608.9500000000007</v>
      </c>
      <c r="AD13" s="2493"/>
      <c r="AE13" s="2493"/>
      <c r="AF13" s="2493">
        <f>面积表、补缴!AF21</f>
        <v>200</v>
      </c>
      <c r="AG13" s="2493"/>
      <c r="AH13" s="2493">
        <f>面积表、补缴!AF14</f>
        <v>470</v>
      </c>
      <c r="AI13" s="2493"/>
      <c r="AJ13" s="2493">
        <f>面积表、补缴!AF22</f>
        <v>50</v>
      </c>
      <c r="AK13" s="2493"/>
      <c r="AL13" s="2493">
        <f>面积表、补缴!AF15</f>
        <v>695.51</v>
      </c>
      <c r="AM13" s="2493"/>
      <c r="AN13" s="2493">
        <f>面积表、补缴!AF19</f>
        <v>6193.4400000000005</v>
      </c>
      <c r="AO13" s="2493"/>
      <c r="AP13" s="2493"/>
      <c r="AQ13" s="2493"/>
      <c r="AR13" s="2493"/>
      <c r="AS13" s="2493"/>
      <c r="AT13" s="2494"/>
      <c r="AU13" s="2495"/>
      <c r="AV13" s="15">
        <f t="shared" ref="AV13:AX20" si="10">A13</f>
        <v>0</v>
      </c>
      <c r="AW13" s="15">
        <f t="shared" si="10"/>
        <v>0</v>
      </c>
      <c r="AX13" s="15">
        <f t="shared" si="10"/>
        <v>0</v>
      </c>
      <c r="AY13" s="957">
        <f t="shared" ref="AY13:AY20" si="11">ROUND($AY$6*AZ13/$AZ$5,2)</f>
        <v>69193.56</v>
      </c>
      <c r="AZ13" s="25">
        <f t="shared" ref="AZ13:AZ20" si="12">BA13+BL13</f>
        <v>146577.54999999999</v>
      </c>
      <c r="BA13" s="25">
        <f t="shared" ref="BA13:BA20" si="13">SUM(BB13:BK13)</f>
        <v>138968.59999999998</v>
      </c>
      <c r="BB13" s="25">
        <f t="shared" ref="BB13:BB20" si="14">IF($D13="是",I13-J13,0)</f>
        <v>109460.71999999999</v>
      </c>
      <c r="BC13" s="25">
        <f t="shared" ref="BC13:BC20" si="15">IF($D13="是",K13-L13,0)</f>
        <v>1860</v>
      </c>
      <c r="BD13" s="25">
        <f t="shared" ref="BD13:BD20" si="16">IF($D13="是",M13-N13,0)</f>
        <v>16237.789999999999</v>
      </c>
      <c r="BE13" s="25">
        <f t="shared" ref="BE13:BE20" si="17">IF($D13="是",O13-P13,0)</f>
        <v>11410.09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7608.9500000000007</v>
      </c>
      <c r="BM13" s="25">
        <f t="shared" ref="BM13:BM20" si="25">IF($D13="是",AD13-AE13,0)</f>
        <v>0</v>
      </c>
      <c r="BN13" s="25">
        <f t="shared" ref="BN13:BN20" si="26">IF($D13="是",AF13-AG13,0)</f>
        <v>200</v>
      </c>
      <c r="BO13" s="25">
        <f t="shared" ref="BO13:BO20" si="27">IF($D13="是",AH13-AI13,0)</f>
        <v>470</v>
      </c>
      <c r="BP13" s="25">
        <f t="shared" ref="BP13:BP20" si="28">IF($D13="是",AJ13-AK13,0)</f>
        <v>50</v>
      </c>
      <c r="BQ13" s="25">
        <f t="shared" ref="BQ13:BQ20" si="29">IF($D13="是",AL13-AM13,0)</f>
        <v>695.51</v>
      </c>
      <c r="BR13" s="25">
        <f t="shared" ref="BR13:BR20" si="30">IF($D13="是",AN13-AO13,0)</f>
        <v>6193.4400000000005</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74" t="s">
        <v>169</v>
      </c>
      <c r="B2" s="3774"/>
      <c r="C2" s="3774"/>
      <c r="D2" s="1728" t="s">
        <v>170</v>
      </c>
      <c r="E2" s="102" t="s">
        <v>171</v>
      </c>
      <c r="F2" s="2823"/>
      <c r="G2" s="1095"/>
      <c r="H2" s="1096"/>
      <c r="I2" s="1097" t="s">
        <v>795</v>
      </c>
      <c r="J2" s="2823"/>
      <c r="K2" s="2823"/>
      <c r="L2" s="2823"/>
      <c r="M2" s="2823"/>
      <c r="N2" s="2823"/>
      <c r="O2" s="2823"/>
      <c r="P2" s="2823"/>
    </row>
    <row r="3" spans="1:16" ht="15.75" thickBot="1">
      <c r="A3" s="3775" t="s">
        <v>172</v>
      </c>
      <c r="B3" s="3775"/>
      <c r="C3" s="3775"/>
      <c r="D3" s="103">
        <f>'数据-基础表'!AY6</f>
        <v>69193.56</v>
      </c>
      <c r="E3" s="103">
        <f>'数据-基础表'!AZ5</f>
        <v>146577.54999999999</v>
      </c>
      <c r="F3" s="2823"/>
      <c r="G3" s="271" t="s">
        <v>796</v>
      </c>
      <c r="H3" s="266" t="s">
        <v>797</v>
      </c>
      <c r="I3" s="1729">
        <f>ROUND('数据-基础表'!B3/'数据-基础表'!A3,2)</f>
        <v>2.12</v>
      </c>
      <c r="J3" s="2823"/>
      <c r="K3" s="2823"/>
      <c r="L3" s="2823"/>
      <c r="M3" s="2823"/>
      <c r="N3" s="2823"/>
      <c r="O3" s="2823"/>
      <c r="P3" s="2823"/>
    </row>
    <row r="4" spans="1:16" ht="15">
      <c r="A4" s="3776"/>
      <c r="B4" s="3777"/>
      <c r="C4" s="3778"/>
      <c r="D4" s="104" t="s">
        <v>170</v>
      </c>
      <c r="E4" s="105" t="s">
        <v>171</v>
      </c>
      <c r="F4" s="2823"/>
      <c r="G4" s="1098"/>
      <c r="H4" s="266" t="s">
        <v>798</v>
      </c>
      <c r="I4" s="1729">
        <f>ROUND(SUMIF('数据-基础表'!I9:AS9,"地上",'数据-基础表'!I5:AS5)/'数据-基础表'!A3,2)</f>
        <v>1.6</v>
      </c>
      <c r="J4" s="2823"/>
      <c r="K4" s="2823"/>
      <c r="L4" s="2823"/>
      <c r="M4" s="2823"/>
      <c r="N4" s="2823"/>
      <c r="O4" s="2823"/>
      <c r="P4" s="2823"/>
    </row>
    <row r="5" spans="1:16">
      <c r="A5" s="106" t="s">
        <v>173</v>
      </c>
      <c r="B5" s="3779" t="s">
        <v>196</v>
      </c>
      <c r="C5" s="3779"/>
      <c r="D5" s="107">
        <f>ROUND($D$3*E5/$E$3,2)</f>
        <v>51672.15</v>
      </c>
      <c r="E5" s="108">
        <f>SUMIF('数据-基础表'!$11:$11,"住宅",'数据-基础表'!$5:$5)</f>
        <v>109460.71999999999</v>
      </c>
      <c r="F5" s="2823"/>
      <c r="G5" s="271" t="s">
        <v>799</v>
      </c>
      <c r="H5" s="266" t="s">
        <v>797</v>
      </c>
      <c r="I5" s="1729">
        <f>ROUND(E31/D31,2)</f>
        <v>2.12</v>
      </c>
      <c r="J5" s="2823"/>
      <c r="K5" s="2823"/>
      <c r="L5" s="2823"/>
      <c r="M5" s="2823"/>
      <c r="N5" s="2823"/>
      <c r="O5" s="2823"/>
      <c r="P5" s="2823"/>
    </row>
    <row r="6" spans="1:16" ht="15" thickBot="1">
      <c r="A6" s="109"/>
      <c r="B6" s="3779" t="s">
        <v>174</v>
      </c>
      <c r="C6" s="3779"/>
      <c r="D6" s="107">
        <f>ROUND($D$3*E6/$E$3,2)</f>
        <v>17521.41</v>
      </c>
      <c r="E6" s="108">
        <f>E3-E5</f>
        <v>37116.83</v>
      </c>
      <c r="F6" s="2823"/>
      <c r="G6" s="1098"/>
      <c r="H6" s="266" t="s">
        <v>798</v>
      </c>
      <c r="I6" s="1729">
        <f>ROUND(F31/D31,2)</f>
        <v>1.6</v>
      </c>
      <c r="J6" s="2823"/>
      <c r="K6" s="2823"/>
      <c r="L6" s="2823"/>
      <c r="M6" s="2823"/>
      <c r="N6" s="2823"/>
      <c r="O6" s="2823"/>
      <c r="P6" s="2823"/>
    </row>
    <row r="7" spans="1:16" ht="15">
      <c r="A7" s="3771"/>
      <c r="B7" s="3772"/>
      <c r="C7" s="3773"/>
      <c r="D7" s="104" t="s">
        <v>170</v>
      </c>
      <c r="E7" s="110" t="s">
        <v>197</v>
      </c>
      <c r="F7" s="2823"/>
      <c r="G7" s="1054" t="s">
        <v>1180</v>
      </c>
      <c r="H7" s="1055"/>
      <c r="I7" s="1630"/>
      <c r="J7" s="2823"/>
      <c r="K7" s="2823"/>
      <c r="L7" s="2823"/>
      <c r="M7" s="2823"/>
      <c r="N7" s="2823"/>
      <c r="O7" s="2823"/>
      <c r="P7" s="2823"/>
    </row>
    <row r="8" spans="1:16">
      <c r="A8" s="106" t="s">
        <v>175</v>
      </c>
      <c r="B8" s="111" t="s">
        <v>176</v>
      </c>
      <c r="C8" s="107" t="s">
        <v>177</v>
      </c>
      <c r="D8" s="107">
        <f t="shared" ref="D8:D15" si="0">ROUND($D$3*E8/$E$3,2)</f>
        <v>51672.15</v>
      </c>
      <c r="E8" s="112">
        <f>SUMIF('数据-基础表'!BB10:BK10,"地上",'数据-基础表'!BB5:BK5)</f>
        <v>109460.71999999999</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878.03</v>
      </c>
      <c r="E10" s="112">
        <f>SUMPRODUCT(('数据-基础表'!BB10:BK10="地下")*('数据-基础表'!BB11:BK11="商业")*('数据-基础表'!BB5:BK5))</f>
        <v>1860</v>
      </c>
      <c r="F10" s="2823"/>
      <c r="G10" s="2824"/>
      <c r="H10" s="2824"/>
      <c r="I10" s="2823"/>
      <c r="J10" s="2823"/>
      <c r="K10" s="2823"/>
      <c r="L10" s="2823"/>
      <c r="M10" s="2823"/>
      <c r="N10" s="2823"/>
      <c r="O10" s="2823"/>
      <c r="P10" s="2823"/>
    </row>
    <row r="11" spans="1:16">
      <c r="A11" s="113"/>
      <c r="B11" s="114"/>
      <c r="C11" s="2048" t="s">
        <v>1684</v>
      </c>
      <c r="D11" s="107">
        <f t="shared" si="0"/>
        <v>23.6</v>
      </c>
      <c r="E11" s="112">
        <f>SUMPRODUCT(('数据-基础表'!BB10:BK10="地下")*('数据-基础表'!BB11:BK11="办公")*('数据-基础表'!BB5:BK5))+'数据-基础表'!AJ5</f>
        <v>50</v>
      </c>
      <c r="F11" s="2823"/>
      <c r="G11" s="2824"/>
      <c r="H11" s="2824"/>
      <c r="I11" s="2823"/>
      <c r="J11" s="2823"/>
      <c r="K11" s="2823"/>
      <c r="L11" s="2823"/>
      <c r="M11" s="2823"/>
      <c r="N11" s="2823"/>
      <c r="O11" s="2823"/>
      <c r="P11" s="2823"/>
    </row>
    <row r="12" spans="1:16">
      <c r="A12" s="113"/>
      <c r="B12" s="114"/>
      <c r="C12" s="107" t="s">
        <v>180</v>
      </c>
      <c r="D12" s="107">
        <f t="shared" si="0"/>
        <v>5386.26</v>
      </c>
      <c r="E12" s="112">
        <f>SUMPRODUCT(('数据-基础表'!BB10:BK10="地下")*('数据-基础表'!BB11:BK11="仓储")*('数据-基础表'!BB5:BK5))</f>
        <v>11410.09</v>
      </c>
      <c r="F12" s="2823"/>
      <c r="G12" s="2824"/>
      <c r="H12" s="2824"/>
      <c r="I12" s="2823"/>
      <c r="J12" s="2823"/>
      <c r="K12" s="2823"/>
      <c r="L12" s="2823"/>
      <c r="M12" s="2823"/>
      <c r="N12" s="2823"/>
      <c r="O12" s="2823"/>
      <c r="P12" s="2823"/>
    </row>
    <row r="13" spans="1:16">
      <c r="A13" s="113"/>
      <c r="B13" s="114"/>
      <c r="C13" s="2048" t="s">
        <v>1691</v>
      </c>
      <c r="D13" s="107">
        <f t="shared" si="0"/>
        <v>7665.23</v>
      </c>
      <c r="E13" s="112">
        <f>SUMPRODUCT(('数据-基础表'!BB10:BK10="地下")*('数据-基础表'!BB11:BK11="车库")*('数据-基础表'!BB5:BK5))</f>
        <v>16237.789999999999</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65625.27</v>
      </c>
      <c r="E16" s="116">
        <f>SUM(E8:E15)</f>
        <v>139018.59999999998</v>
      </c>
      <c r="F16" s="2823"/>
      <c r="G16" s="2824"/>
      <c r="H16" s="929" t="s">
        <v>185</v>
      </c>
      <c r="I16" s="930"/>
      <c r="J16" s="1737"/>
      <c r="K16" s="3765" t="s">
        <v>1849</v>
      </c>
      <c r="L16" s="3766"/>
      <c r="M16" s="3766"/>
      <c r="N16" s="3766"/>
      <c r="O16" s="3766"/>
      <c r="P16" s="3767"/>
    </row>
    <row r="17" spans="1:19" ht="15">
      <c r="A17" s="117" t="s">
        <v>182</v>
      </c>
      <c r="B17" s="118" t="s">
        <v>183</v>
      </c>
      <c r="C17" s="2015" t="s">
        <v>1670</v>
      </c>
      <c r="D17" s="104" t="s">
        <v>170</v>
      </c>
      <c r="E17" s="120" t="s">
        <v>171</v>
      </c>
      <c r="F17" s="121"/>
      <c r="G17" s="1224"/>
      <c r="H17" s="931" t="s">
        <v>184</v>
      </c>
      <c r="I17" s="932" t="s">
        <v>1669</v>
      </c>
      <c r="J17" s="1737"/>
      <c r="K17" s="3768" t="s">
        <v>1850</v>
      </c>
      <c r="L17" s="3769"/>
      <c r="M17" s="3770"/>
      <c r="N17" s="3768" t="s">
        <v>1851</v>
      </c>
      <c r="O17" s="3769"/>
      <c r="P17" s="3770"/>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3318</v>
      </c>
      <c r="D19" s="107">
        <f t="shared" ref="D19:D26" si="1">ROUND($D$3*E19/$E$3,2)</f>
        <v>51672.15</v>
      </c>
      <c r="E19" s="130">
        <f t="shared" ref="E19:E26" si="2">SUM(F19:G19)</f>
        <v>109460.71999999999</v>
      </c>
      <c r="F19" s="2825">
        <f>'数据-基础表'!I13</f>
        <v>109460.71999999999</v>
      </c>
      <c r="G19" s="2826"/>
      <c r="H19" s="935">
        <f>ROUND($D$3*I19/$E$3,2)</f>
        <v>2901.38</v>
      </c>
      <c r="I19" s="112">
        <f>IF($I$17="自定义",P19,M19)</f>
        <v>6146.19</v>
      </c>
      <c r="J19" s="1737"/>
      <c r="K19" s="2214">
        <f t="shared" ref="K19:K26" si="3">ROUND(E$28*E19/E$27,2)</f>
        <v>5426.19</v>
      </c>
      <c r="L19" s="266">
        <f t="shared" ref="L19:L26" si="4">ROUND(IF(COUNTIF(C19,"*住宅*")&gt;0,E$29*E19/E$32,0),2)</f>
        <v>720</v>
      </c>
      <c r="M19" s="2215">
        <f>K19+L19</f>
        <v>6146.19</v>
      </c>
      <c r="N19" s="2216"/>
      <c r="O19" s="2217"/>
      <c r="P19" s="2218">
        <f>N19+O19</f>
        <v>0</v>
      </c>
      <c r="R19" s="266">
        <f t="shared" ref="R19:S26" si="5">D19+H19</f>
        <v>54573.53</v>
      </c>
      <c r="S19" s="2018">
        <f t="shared" si="5"/>
        <v>115606.90999999999</v>
      </c>
    </row>
    <row r="20" spans="1:19">
      <c r="A20" s="133"/>
      <c r="B20" s="111" t="s">
        <v>192</v>
      </c>
      <c r="C20" s="2496" t="s">
        <v>3319</v>
      </c>
      <c r="D20" s="107">
        <f t="shared" si="1"/>
        <v>878.03</v>
      </c>
      <c r="E20" s="130">
        <f t="shared" si="2"/>
        <v>1860</v>
      </c>
      <c r="F20" s="2825"/>
      <c r="G20" s="2826">
        <f>'数据-基础表'!K13</f>
        <v>1860</v>
      </c>
      <c r="H20" s="935">
        <f t="shared" ref="H20:H26" si="6">ROUND($D$3*I20/$E$3,2)</f>
        <v>43.52</v>
      </c>
      <c r="I20" s="112">
        <f t="shared" ref="I20:I26" si="7">IF($I$17="自定义",P20,M20)</f>
        <v>92.2</v>
      </c>
      <c r="J20" s="1737"/>
      <c r="K20" s="2214">
        <f t="shared" si="3"/>
        <v>92.2</v>
      </c>
      <c r="L20" s="266">
        <f t="shared" si="4"/>
        <v>0</v>
      </c>
      <c r="M20" s="2215">
        <f t="shared" ref="M20:M26" si="8">K20+L20</f>
        <v>92.2</v>
      </c>
      <c r="N20" s="2216"/>
      <c r="O20" s="2217"/>
      <c r="P20" s="2218">
        <f t="shared" ref="P20:P26" si="9">N20+O20</f>
        <v>0</v>
      </c>
      <c r="R20" s="266">
        <f t="shared" si="5"/>
        <v>921.55</v>
      </c>
      <c r="S20" s="2018">
        <f t="shared" si="5"/>
        <v>1952.2</v>
      </c>
    </row>
    <row r="21" spans="1:19">
      <c r="A21" s="133"/>
      <c r="B21" s="111" t="s">
        <v>192</v>
      </c>
      <c r="C21" s="2496" t="s">
        <v>3320</v>
      </c>
      <c r="D21" s="107">
        <f t="shared" si="1"/>
        <v>7665.23</v>
      </c>
      <c r="E21" s="130">
        <f t="shared" si="2"/>
        <v>16237.789999999999</v>
      </c>
      <c r="F21" s="2825"/>
      <c r="G21" s="2826">
        <f>'数据-基础表'!M13</f>
        <v>16237.789999999999</v>
      </c>
      <c r="H21" s="935">
        <f t="shared" si="6"/>
        <v>379.98</v>
      </c>
      <c r="I21" s="112">
        <f t="shared" si="7"/>
        <v>804.94</v>
      </c>
      <c r="J21" s="1737"/>
      <c r="K21" s="2214">
        <f t="shared" si="3"/>
        <v>804.94</v>
      </c>
      <c r="L21" s="266">
        <f t="shared" si="4"/>
        <v>0</v>
      </c>
      <c r="M21" s="2215">
        <f t="shared" si="8"/>
        <v>804.94</v>
      </c>
      <c r="N21" s="2216"/>
      <c r="O21" s="2217"/>
      <c r="P21" s="2218">
        <f t="shared" si="9"/>
        <v>0</v>
      </c>
      <c r="R21" s="266">
        <f t="shared" si="5"/>
        <v>8045.2099999999991</v>
      </c>
      <c r="S21" s="2018">
        <f t="shared" si="5"/>
        <v>17042.73</v>
      </c>
    </row>
    <row r="22" spans="1:19">
      <c r="A22" s="133"/>
      <c r="B22" s="111" t="s">
        <v>192</v>
      </c>
      <c r="C22" s="3336" t="s">
        <v>3321</v>
      </c>
      <c r="D22" s="107">
        <f t="shared" si="1"/>
        <v>5386.26</v>
      </c>
      <c r="E22" s="130">
        <f t="shared" si="2"/>
        <v>11410.09</v>
      </c>
      <c r="F22" s="2827"/>
      <c r="G22" s="2828">
        <f>'数据-基础表'!O13</f>
        <v>11410.09</v>
      </c>
      <c r="H22" s="935">
        <f t="shared" si="6"/>
        <v>267.01</v>
      </c>
      <c r="I22" s="112">
        <f t="shared" si="7"/>
        <v>565.62</v>
      </c>
      <c r="J22" s="1737"/>
      <c r="K22" s="2214">
        <f t="shared" si="3"/>
        <v>565.62</v>
      </c>
      <c r="L22" s="266">
        <f t="shared" si="4"/>
        <v>0</v>
      </c>
      <c r="M22" s="2215">
        <f t="shared" si="8"/>
        <v>565.62</v>
      </c>
      <c r="N22" s="2216"/>
      <c r="O22" s="2217"/>
      <c r="P22" s="2218">
        <f t="shared" si="9"/>
        <v>0</v>
      </c>
      <c r="R22" s="266">
        <f t="shared" si="5"/>
        <v>5653.27</v>
      </c>
      <c r="S22" s="2018">
        <f t="shared" si="5"/>
        <v>11975.710000000001</v>
      </c>
    </row>
    <row r="23" spans="1:19">
      <c r="A23" s="133"/>
      <c r="B23" s="111" t="s">
        <v>192</v>
      </c>
      <c r="C23" s="3336"/>
      <c r="D23" s="107">
        <f>ROUND($D$3*E23/$E$3,2)</f>
        <v>0</v>
      </c>
      <c r="E23" s="130">
        <f>SUM(F23:G23)</f>
        <v>0</v>
      </c>
      <c r="F23" s="2827"/>
      <c r="G23" s="2828"/>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7"/>
      <c r="G24" s="2828"/>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7"/>
      <c r="G25" s="2828"/>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7"/>
      <c r="G26" s="2828"/>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65601.67</v>
      </c>
      <c r="E27" s="136">
        <f>IF(SUM(E19:E26)='数据-基础表'!BA5,SUM(E19:E26),IF(F27="地上面积有误","面积有误","地下面积有误"))</f>
        <v>138968.59999999998</v>
      </c>
      <c r="F27" s="130">
        <f>IF(SUM(F19:F26)=E8,SUM(F19:F26),"地上面积有误")</f>
        <v>109460.71999999999</v>
      </c>
      <c r="G27" s="108">
        <f>SUM(G19:G26)</f>
        <v>29507.88</v>
      </c>
      <c r="H27" s="936">
        <f>SUM(H19:H26)</f>
        <v>3591.8900000000003</v>
      </c>
      <c r="I27" s="937">
        <f>SUM(I19:I26)</f>
        <v>7608.95</v>
      </c>
      <c r="J27" s="1737"/>
      <c r="K27" s="2223">
        <f t="shared" ref="K27:P27" si="10">SUM(K19:K26)</f>
        <v>6888.95</v>
      </c>
      <c r="L27" s="2224">
        <f t="shared" si="10"/>
        <v>720</v>
      </c>
      <c r="M27" s="2225">
        <f t="shared" si="10"/>
        <v>7608.95</v>
      </c>
      <c r="N27" s="2223">
        <f t="shared" si="10"/>
        <v>0</v>
      </c>
      <c r="O27" s="2224">
        <f t="shared" si="10"/>
        <v>0</v>
      </c>
      <c r="P27" s="2226">
        <f t="shared" si="10"/>
        <v>0</v>
      </c>
      <c r="R27" s="2022">
        <f>IF(SUM(R19:R26)=$D$3,SUM(R19:R26),SUM(R19:R26)&amp;"误差"&amp;ROUND(SUM(R19:R26)-$D$3,2))</f>
        <v>69193.56</v>
      </c>
      <c r="S27" s="266">
        <f>IF(SUM(S19:S26)=$E$3,SUM(S19:S26),SUM(S19:S26)&amp;"误差"&amp;ROUND(SUM(S19:S26)-E3,2))</f>
        <v>146577.54999999999</v>
      </c>
    </row>
    <row r="28" spans="1:19">
      <c r="A28" s="133"/>
      <c r="B28" s="111" t="s">
        <v>193</v>
      </c>
      <c r="C28" s="131" t="s">
        <v>194</v>
      </c>
      <c r="D28" s="107">
        <f>ROUND($D$3*E28/$E$3,2)</f>
        <v>3252.01</v>
      </c>
      <c r="E28" s="130">
        <f>SUM(F28:G28)</f>
        <v>6888.9500000000007</v>
      </c>
      <c r="F28" s="137">
        <f>'数据-基础表'!BQ5+'数据-基础表'!BS5</f>
        <v>695.51</v>
      </c>
      <c r="G28" s="138">
        <f>'数据-基础表'!BR5+'数据-基础表'!BT5</f>
        <v>6193.4400000000005</v>
      </c>
      <c r="H28" s="2823"/>
      <c r="I28" s="2823"/>
      <c r="J28" s="2823"/>
      <c r="K28" s="2823"/>
      <c r="L28" s="2823"/>
      <c r="M28" s="2823"/>
      <c r="N28" s="2823"/>
      <c r="O28" s="2823"/>
      <c r="P28" s="2823"/>
    </row>
    <row r="29" spans="1:19">
      <c r="A29" s="133"/>
      <c r="B29" s="111" t="s">
        <v>193</v>
      </c>
      <c r="C29" s="2030" t="s">
        <v>1677</v>
      </c>
      <c r="D29" s="107">
        <f>ROUND($D$3*E29/$E$3,2)</f>
        <v>339.88</v>
      </c>
      <c r="E29" s="130">
        <f>SUM(F29:G29)</f>
        <v>720</v>
      </c>
      <c r="F29" s="137">
        <f>'数据-基础表'!BM5+'数据-基础表'!BO5</f>
        <v>470</v>
      </c>
      <c r="G29" s="139">
        <f>'数据-基础表'!BN5+'数据-基础表'!BP5</f>
        <v>250</v>
      </c>
      <c r="H29" s="2823"/>
      <c r="I29" s="2823"/>
      <c r="J29" s="2823"/>
      <c r="K29" s="2823"/>
      <c r="L29" s="2823"/>
      <c r="M29" s="2823"/>
      <c r="N29" s="2823"/>
      <c r="O29" s="2823"/>
      <c r="P29" s="2823"/>
    </row>
    <row r="30" spans="1:19">
      <c r="A30" s="133"/>
      <c r="B30" s="107"/>
      <c r="C30" s="140" t="s">
        <v>181</v>
      </c>
      <c r="D30" s="130">
        <f>SUM(D28:D29)</f>
        <v>3591.8900000000003</v>
      </c>
      <c r="E30" s="130">
        <f>SUM(E28:E29)</f>
        <v>7608.9500000000007</v>
      </c>
      <c r="F30" s="130">
        <f>SUM(F28:F29)</f>
        <v>1165.51</v>
      </c>
      <c r="G30" s="108">
        <f>SUM(G28:G29)</f>
        <v>6443.4400000000005</v>
      </c>
      <c r="H30" s="2823"/>
      <c r="I30" s="2823"/>
      <c r="J30" s="2823"/>
      <c r="K30" s="2823"/>
      <c r="L30" s="2823"/>
      <c r="M30" s="2823"/>
      <c r="N30" s="2823"/>
      <c r="O30" s="2823"/>
      <c r="P30" s="2823"/>
    </row>
    <row r="31" spans="1:19" ht="32.25" customHeight="1" thickBot="1">
      <c r="A31" s="1226"/>
      <c r="B31" s="1227" t="s">
        <v>195</v>
      </c>
      <c r="C31" s="2047" t="s">
        <v>1679</v>
      </c>
      <c r="D31" s="1228">
        <f>D27+D30</f>
        <v>69193.56</v>
      </c>
      <c r="E31" s="1228">
        <f>E27+E30</f>
        <v>146577.54999999999</v>
      </c>
      <c r="F31" s="1229">
        <f>F27+F30</f>
        <v>110626.22999999998</v>
      </c>
      <c r="G31" s="1230">
        <f>G27+G30</f>
        <v>35951.32</v>
      </c>
      <c r="H31" s="2823"/>
      <c r="I31" s="2823"/>
      <c r="J31" s="2823"/>
      <c r="K31" s="2823"/>
      <c r="L31" s="2823"/>
      <c r="M31" s="2823"/>
      <c r="N31" s="2823"/>
      <c r="O31" s="2823"/>
      <c r="P31" s="2823"/>
    </row>
    <row r="32" spans="1:19">
      <c r="A32" s="1737"/>
      <c r="B32" s="2059" t="s">
        <v>1678</v>
      </c>
      <c r="C32" s="2250"/>
      <c r="D32" s="1098"/>
      <c r="E32" s="1098">
        <f>SUMIF(C19:C26,"*住宅*",E19:E26)</f>
        <v>109460.71999999999</v>
      </c>
      <c r="F32" s="1098"/>
      <c r="G32" s="1098"/>
      <c r="H32" s="2823"/>
      <c r="I32" s="2823"/>
      <c r="J32" s="2823"/>
      <c r="K32" s="2823"/>
      <c r="L32" s="2823"/>
      <c r="M32" s="2823"/>
      <c r="N32" s="2823"/>
      <c r="O32" s="2823"/>
      <c r="P32" s="2823"/>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
  <sheetViews>
    <sheetView workbookViewId="0">
      <pane xSplit="1" topLeftCell="B1" activePane="topRight" state="frozen"/>
      <selection pane="topRight" activeCell="J7" sqref="J7"/>
    </sheetView>
  </sheetViews>
  <sheetFormatPr defaultColWidth="8.875" defaultRowHeight="14.25"/>
  <cols>
    <col min="1" max="1" width="16" style="3667" customWidth="1"/>
    <col min="2" max="2" width="12.625" style="3667" customWidth="1"/>
    <col min="3" max="3" width="10.75" style="3667" customWidth="1"/>
    <col min="4" max="7" width="8.875" style="3667"/>
    <col min="8" max="8" width="12.75" style="3667" customWidth="1"/>
    <col min="9" max="16384" width="8.875" style="3667"/>
  </cols>
  <sheetData>
    <row r="1" spans="1:32">
      <c r="F1" s="3667" t="s">
        <v>3262</v>
      </c>
      <c r="G1" s="3667">
        <f>(4.9+0.69+1.54+5.3)*10000</f>
        <v>124300</v>
      </c>
      <c r="H1" s="3667" t="s">
        <v>3263</v>
      </c>
    </row>
    <row r="2" spans="1:32">
      <c r="F2" s="3667" t="s">
        <v>3264</v>
      </c>
      <c r="G2" s="3667">
        <f>B4/10000-G1</f>
        <v>118700</v>
      </c>
      <c r="H2" s="3667" t="s">
        <v>3263</v>
      </c>
      <c r="J2" s="3667" t="s">
        <v>3439</v>
      </c>
    </row>
    <row r="3" spans="1:32">
      <c r="A3" s="3667" t="s">
        <v>3265</v>
      </c>
      <c r="B3" s="3667">
        <v>69193.56</v>
      </c>
      <c r="E3" s="3667" t="s">
        <v>3266</v>
      </c>
      <c r="G3" s="3667">
        <f>B7*0.6*0.25*AF18/10000</f>
        <v>612.37710000000004</v>
      </c>
      <c r="H3" s="3667" t="s">
        <v>3263</v>
      </c>
      <c r="I3" s="3667">
        <v>612.38</v>
      </c>
      <c r="J3" s="3667">
        <f>ROUND(G3*1.0305,2)</f>
        <v>631.04999999999995</v>
      </c>
    </row>
    <row r="4" spans="1:32">
      <c r="A4" s="3667" t="s">
        <v>3267</v>
      </c>
      <c r="B4" s="3667">
        <f>559353200+1870646800</f>
        <v>2430000000</v>
      </c>
      <c r="E4" s="3667" t="s">
        <v>3268</v>
      </c>
      <c r="G4" s="3667">
        <f>B7*0.25*0.25*AF20/10000</f>
        <v>1565.2504088124999</v>
      </c>
      <c r="H4" s="3667" t="s">
        <v>3263</v>
      </c>
      <c r="I4" s="3667">
        <v>1565.25</v>
      </c>
      <c r="J4" s="3667">
        <f t="shared" ref="J4:J5" si="0">ROUND(G4*1.0305,2)</f>
        <v>1612.99</v>
      </c>
    </row>
    <row r="5" spans="1:32">
      <c r="A5" s="3667" t="s">
        <v>3269</v>
      </c>
      <c r="B5" s="3667">
        <v>110709.69</v>
      </c>
      <c r="E5" s="3667" t="s">
        <v>3270</v>
      </c>
      <c r="G5" s="3667">
        <f>B7*0.15*0.25*AF23/10000</f>
        <v>1336.5121976624998</v>
      </c>
      <c r="H5" s="3667" t="s">
        <v>3263</v>
      </c>
      <c r="I5" s="3667">
        <v>1336.51</v>
      </c>
      <c r="J5" s="3667">
        <f t="shared" si="0"/>
        <v>1377.28</v>
      </c>
    </row>
    <row r="6" spans="1:32">
      <c r="A6" s="3667" t="s">
        <v>1550</v>
      </c>
      <c r="B6" s="3667">
        <f>B5/B3</f>
        <v>1.599999913286728</v>
      </c>
      <c r="G6" s="3667">
        <f>SUM(G3:G5)</f>
        <v>3514.1397064749999</v>
      </c>
      <c r="H6" s="3667" t="s">
        <v>3263</v>
      </c>
      <c r="I6" s="3667">
        <f>SUM(I3:I5)</f>
        <v>3514.1400000000003</v>
      </c>
      <c r="J6" s="3667">
        <f>SUM(J3:J5)</f>
        <v>3621.3199999999997</v>
      </c>
    </row>
    <row r="7" spans="1:32">
      <c r="A7" s="3667" t="s">
        <v>3271</v>
      </c>
      <c r="B7" s="3667">
        <f>ROUND(B4/B5,0)</f>
        <v>21949</v>
      </c>
      <c r="G7" s="3667">
        <f>G2+G6</f>
        <v>122214.13970647501</v>
      </c>
      <c r="I7" s="3667">
        <f>G2+I6</f>
        <v>122214.14</v>
      </c>
    </row>
    <row r="8" spans="1:32">
      <c r="A8" s="3667" t="s">
        <v>3272</v>
      </c>
      <c r="B8" s="3667">
        <f>ROUND(B4/B3,0)</f>
        <v>35119</v>
      </c>
      <c r="H8" s="3668"/>
    </row>
    <row r="9" spans="1:32">
      <c r="B9" s="3667">
        <f>B4/(B3/666.67)/10000</f>
        <v>2341.2700546120191</v>
      </c>
      <c r="C9" s="3667" t="s">
        <v>3273</v>
      </c>
    </row>
    <row r="11" spans="1:32">
      <c r="B11" s="3667" t="s">
        <v>3274</v>
      </c>
      <c r="C11" s="3667" t="s">
        <v>3275</v>
      </c>
      <c r="D11" s="3667" t="s">
        <v>3276</v>
      </c>
      <c r="E11" s="3667" t="s">
        <v>3277</v>
      </c>
      <c r="F11" s="3667" t="s">
        <v>3278</v>
      </c>
      <c r="G11" s="3667" t="s">
        <v>3279</v>
      </c>
      <c r="H11" s="3667" t="s">
        <v>3280</v>
      </c>
      <c r="I11" s="3667" t="s">
        <v>3281</v>
      </c>
      <c r="J11" s="3667" t="s">
        <v>3282</v>
      </c>
      <c r="K11" s="3667" t="s">
        <v>3283</v>
      </c>
      <c r="L11" s="3667" t="s">
        <v>3284</v>
      </c>
      <c r="M11" s="3667" t="s">
        <v>3285</v>
      </c>
      <c r="N11" s="3667" t="s">
        <v>3286</v>
      </c>
      <c r="O11" s="3667" t="s">
        <v>3287</v>
      </c>
      <c r="P11" s="3667" t="s">
        <v>3288</v>
      </c>
      <c r="Q11" s="3667" t="s">
        <v>3289</v>
      </c>
      <c r="R11" s="3667" t="s">
        <v>3290</v>
      </c>
      <c r="S11" s="3667" t="s">
        <v>3291</v>
      </c>
      <c r="T11" s="3667" t="s">
        <v>3292</v>
      </c>
      <c r="U11" s="3667" t="s">
        <v>3293</v>
      </c>
      <c r="V11" s="3667" t="s">
        <v>3294</v>
      </c>
      <c r="W11" s="3667" t="s">
        <v>3295</v>
      </c>
      <c r="X11" s="3667" t="s">
        <v>3296</v>
      </c>
      <c r="Y11" s="3667" t="s">
        <v>3297</v>
      </c>
      <c r="Z11" s="3667" t="s">
        <v>3298</v>
      </c>
      <c r="AA11" s="3667" t="s">
        <v>3299</v>
      </c>
      <c r="AB11" s="3667" t="s">
        <v>3300</v>
      </c>
      <c r="AC11" s="3667" t="s">
        <v>3301</v>
      </c>
      <c r="AD11" s="3667" t="s">
        <v>3302</v>
      </c>
      <c r="AE11" s="3667" t="s">
        <v>3260</v>
      </c>
    </row>
    <row r="12" spans="1:32">
      <c r="B12" s="3667">
        <v>8384.56</v>
      </c>
      <c r="C12" s="3667">
        <v>5588.86</v>
      </c>
      <c r="D12" s="3667">
        <v>6748.58</v>
      </c>
      <c r="E12" s="3667">
        <v>6799.4</v>
      </c>
      <c r="F12" s="3667">
        <v>6484.47</v>
      </c>
      <c r="G12" s="3667">
        <v>1724.16</v>
      </c>
      <c r="H12" s="3667">
        <v>6762.34</v>
      </c>
      <c r="I12" s="3667">
        <v>3403.9</v>
      </c>
      <c r="J12" s="3667">
        <v>6193.57</v>
      </c>
      <c r="K12" s="3667">
        <v>2791.06</v>
      </c>
      <c r="L12" s="3667">
        <v>3466.19</v>
      </c>
      <c r="M12" s="3667">
        <v>6133.74</v>
      </c>
      <c r="N12" s="3667">
        <v>3398.87</v>
      </c>
      <c r="O12" s="3667">
        <v>6754.2</v>
      </c>
      <c r="P12" s="3667">
        <v>2897.41</v>
      </c>
      <c r="Q12" s="3667">
        <v>2421.38</v>
      </c>
      <c r="R12" s="3667">
        <v>8947.25</v>
      </c>
      <c r="S12" s="3667">
        <v>8893.91</v>
      </c>
      <c r="T12" s="3667">
        <v>3468.53</v>
      </c>
      <c r="U12" s="3667">
        <v>2868.83</v>
      </c>
      <c r="V12" s="3667">
        <v>7149.54</v>
      </c>
      <c r="W12" s="3667">
        <v>4171.0200000000004</v>
      </c>
      <c r="X12" s="3667">
        <v>7162.85</v>
      </c>
      <c r="Y12" s="3667">
        <v>2868.49</v>
      </c>
      <c r="Z12" s="3667">
        <v>150</v>
      </c>
      <c r="AA12" s="3667">
        <v>1540</v>
      </c>
      <c r="AB12" s="3667">
        <v>335</v>
      </c>
      <c r="AC12" s="3667">
        <v>1040</v>
      </c>
      <c r="AD12" s="3667">
        <v>150</v>
      </c>
      <c r="AE12" s="3667">
        <v>27875.87</v>
      </c>
      <c r="AF12" s="3667">
        <f>SUM(B12:AE12)</f>
        <v>156573.98000000004</v>
      </c>
    </row>
    <row r="13" spans="1:32">
      <c r="A13" s="3667" t="s">
        <v>851</v>
      </c>
      <c r="B13" s="3667">
        <v>7541.09</v>
      </c>
      <c r="C13" s="3667">
        <v>4859.33</v>
      </c>
      <c r="D13" s="3667">
        <v>6037.76</v>
      </c>
      <c r="E13" s="3667">
        <v>6037.76</v>
      </c>
      <c r="F13" s="3667">
        <v>5767.56</v>
      </c>
      <c r="G13" s="3667">
        <v>1395.43</v>
      </c>
      <c r="H13" s="3667">
        <v>5766</v>
      </c>
      <c r="I13" s="3667">
        <v>2898.99</v>
      </c>
      <c r="J13" s="3667">
        <v>5378.13</v>
      </c>
      <c r="K13" s="3667">
        <v>2487.52</v>
      </c>
      <c r="L13" s="3667">
        <v>3050.47</v>
      </c>
      <c r="M13" s="3667">
        <v>5378.02</v>
      </c>
      <c r="N13" s="3667">
        <v>2898.99</v>
      </c>
      <c r="O13" s="3667">
        <v>5766</v>
      </c>
      <c r="P13" s="3667">
        <v>2494.31</v>
      </c>
      <c r="Q13" s="3667">
        <v>2081.2399999999998</v>
      </c>
      <c r="R13" s="3667">
        <v>7803.59</v>
      </c>
      <c r="S13" s="3667">
        <v>7803.59</v>
      </c>
      <c r="T13" s="3667">
        <v>3050.5</v>
      </c>
      <c r="U13" s="3667">
        <v>2500.4</v>
      </c>
      <c r="V13" s="3667">
        <v>6195.11</v>
      </c>
      <c r="W13" s="3667">
        <v>3573.42</v>
      </c>
      <c r="X13" s="3667">
        <v>6195.11</v>
      </c>
      <c r="Y13" s="3667">
        <v>2500.4</v>
      </c>
      <c r="AF13" s="3667">
        <f>SUM(B13:AE13)</f>
        <v>109460.71999999999</v>
      </c>
    </row>
    <row r="14" spans="1:32">
      <c r="A14" s="3667" t="s">
        <v>3303</v>
      </c>
      <c r="AA14" s="3667">
        <v>100</v>
      </c>
      <c r="AC14" s="3667">
        <v>370</v>
      </c>
      <c r="AF14" s="3667">
        <f>SUM(B14:AE14)</f>
        <v>470</v>
      </c>
    </row>
    <row r="15" spans="1:32">
      <c r="A15" s="3667" t="s">
        <v>3304</v>
      </c>
      <c r="B15" s="3667">
        <v>40</v>
      </c>
      <c r="Z15" s="3667">
        <v>150</v>
      </c>
      <c r="AB15" s="3667">
        <v>335</v>
      </c>
      <c r="AD15" s="3667">
        <v>150</v>
      </c>
      <c r="AE15" s="3667">
        <v>20.51</v>
      </c>
      <c r="AF15" s="3667">
        <f t="shared" ref="AF15:AF23" si="1">SUM(B15:AE15)</f>
        <v>695.51</v>
      </c>
    </row>
    <row r="16" spans="1:32">
      <c r="A16" s="3669" t="s">
        <v>3305</v>
      </c>
      <c r="L16" s="3669">
        <v>10</v>
      </c>
      <c r="AE16" s="3669">
        <f>21.26+18.92+16.64+16.64</f>
        <v>73.460000000000008</v>
      </c>
      <c r="AF16" s="3669">
        <f t="shared" si="1"/>
        <v>83.460000000000008</v>
      </c>
    </row>
    <row r="17" spans="1:32">
      <c r="A17" s="3669" t="s">
        <v>3306</v>
      </c>
      <c r="AE17" s="3669">
        <v>9912.9699999999993</v>
      </c>
      <c r="AF17" s="3669">
        <f t="shared" si="1"/>
        <v>9912.9699999999993</v>
      </c>
    </row>
    <row r="18" spans="1:32">
      <c r="A18" s="3667" t="s">
        <v>3259</v>
      </c>
      <c r="AA18" s="3667">
        <v>1440</v>
      </c>
      <c r="AC18" s="3667">
        <v>420</v>
      </c>
      <c r="AF18" s="3667">
        <f t="shared" si="1"/>
        <v>1860</v>
      </c>
    </row>
    <row r="19" spans="1:32">
      <c r="A19" s="3667" t="s">
        <v>3307</v>
      </c>
      <c r="B19" s="3667">
        <v>305.08</v>
      </c>
      <c r="C19" s="3667">
        <v>202.89</v>
      </c>
      <c r="D19" s="3667">
        <v>250.62</v>
      </c>
      <c r="E19" s="3667">
        <v>247.38</v>
      </c>
      <c r="F19" s="3667">
        <v>239.99</v>
      </c>
      <c r="G19" s="3667">
        <v>65.849999999999994</v>
      </c>
      <c r="H19" s="3667">
        <v>240.21</v>
      </c>
      <c r="I19" s="3667">
        <v>126.59</v>
      </c>
      <c r="J19" s="3667">
        <v>221.33</v>
      </c>
      <c r="K19" s="3667">
        <v>104.13</v>
      </c>
      <c r="L19" s="3667">
        <v>127.66</v>
      </c>
      <c r="M19" s="3667">
        <v>223.09</v>
      </c>
      <c r="N19" s="3667">
        <v>123.43</v>
      </c>
      <c r="O19" s="3667">
        <v>239.77</v>
      </c>
      <c r="P19" s="3667">
        <v>107.09</v>
      </c>
      <c r="Q19" s="3667">
        <v>89.25</v>
      </c>
      <c r="R19" s="3667">
        <v>324.27</v>
      </c>
      <c r="S19" s="3667">
        <v>321.72000000000003</v>
      </c>
      <c r="T19" s="3667">
        <v>127.32</v>
      </c>
      <c r="U19" s="3667">
        <v>105.89</v>
      </c>
      <c r="V19" s="3667">
        <v>254.68</v>
      </c>
      <c r="W19" s="3667">
        <v>151.79</v>
      </c>
      <c r="X19" s="3667">
        <v>255.52</v>
      </c>
      <c r="Y19" s="3667">
        <v>106.75</v>
      </c>
      <c r="AE19" s="3667">
        <f>200+15+15+6+180+1215.14</f>
        <v>1631.14</v>
      </c>
      <c r="AF19" s="3667">
        <f t="shared" si="1"/>
        <v>6193.4400000000005</v>
      </c>
    </row>
    <row r="20" spans="1:32">
      <c r="A20" s="3667" t="s">
        <v>3261</v>
      </c>
      <c r="B20" s="3667">
        <v>498.39</v>
      </c>
      <c r="C20" s="3667">
        <v>526.64</v>
      </c>
      <c r="D20" s="3667">
        <v>460.2</v>
      </c>
      <c r="E20" s="3667">
        <v>514.26</v>
      </c>
      <c r="F20" s="3667">
        <v>476.92</v>
      </c>
      <c r="G20" s="3667">
        <v>262.88</v>
      </c>
      <c r="H20" s="3667">
        <v>756.13</v>
      </c>
      <c r="I20" s="3667">
        <v>378.32</v>
      </c>
      <c r="J20" s="3667">
        <v>594.11</v>
      </c>
      <c r="K20" s="3667">
        <v>199.41</v>
      </c>
      <c r="L20" s="3667">
        <v>278.06</v>
      </c>
      <c r="M20" s="3667">
        <v>532.63</v>
      </c>
      <c r="N20" s="3667">
        <v>376.45</v>
      </c>
      <c r="O20" s="3667">
        <v>748.43</v>
      </c>
      <c r="P20" s="3667">
        <v>296.01</v>
      </c>
      <c r="Q20" s="3667">
        <v>250.89</v>
      </c>
      <c r="R20" s="3667">
        <v>819.39</v>
      </c>
      <c r="S20" s="3667">
        <v>768.6</v>
      </c>
      <c r="T20" s="3667">
        <v>290.70999999999998</v>
      </c>
      <c r="U20" s="3667">
        <v>262.54000000000002</v>
      </c>
      <c r="V20" s="3667">
        <v>699.75</v>
      </c>
      <c r="W20" s="3667">
        <v>445.81</v>
      </c>
      <c r="X20" s="3667">
        <v>712.22</v>
      </c>
      <c r="Y20" s="3667">
        <v>261.33999999999997</v>
      </c>
      <c r="AF20" s="3667">
        <f t="shared" si="1"/>
        <v>11410.09</v>
      </c>
    </row>
    <row r="21" spans="1:32">
      <c r="A21" s="3667" t="s">
        <v>3308</v>
      </c>
      <c r="AC21" s="3667">
        <v>200</v>
      </c>
      <c r="AF21" s="3667">
        <f t="shared" si="1"/>
        <v>200</v>
      </c>
    </row>
    <row r="22" spans="1:32">
      <c r="A22" s="3667" t="s">
        <v>3309</v>
      </c>
      <c r="AC22" s="3667">
        <v>50</v>
      </c>
      <c r="AF22" s="3667">
        <f t="shared" si="1"/>
        <v>50</v>
      </c>
    </row>
    <row r="23" spans="1:32">
      <c r="A23" s="3667" t="s">
        <v>3260</v>
      </c>
      <c r="AE23" s="3667">
        <f>26150.76-AE17</f>
        <v>16237.789999999999</v>
      </c>
      <c r="AF23" s="3667">
        <f t="shared" si="1"/>
        <v>16237.789999999999</v>
      </c>
    </row>
    <row r="24" spans="1:32">
      <c r="B24" s="3667" t="s">
        <v>3310</v>
      </c>
      <c r="C24" s="3667" t="s">
        <v>3311</v>
      </c>
      <c r="D24" s="3667" t="s">
        <v>3310</v>
      </c>
      <c r="E24" s="3667" t="s">
        <v>3310</v>
      </c>
      <c r="F24" s="3667" t="s">
        <v>3310</v>
      </c>
      <c r="G24" s="3667" t="s">
        <v>3312</v>
      </c>
      <c r="H24" s="3667" t="s">
        <v>3313</v>
      </c>
      <c r="I24" s="3667" t="s">
        <v>3313</v>
      </c>
      <c r="J24" s="3667" t="s">
        <v>3311</v>
      </c>
      <c r="K24" s="3667" t="s">
        <v>3310</v>
      </c>
      <c r="L24" s="3667" t="s">
        <v>3310</v>
      </c>
      <c r="M24" s="3667" t="s">
        <v>3311</v>
      </c>
      <c r="N24" s="3667" t="s">
        <v>3313</v>
      </c>
      <c r="O24" s="3667" t="s">
        <v>3313</v>
      </c>
      <c r="P24" s="3667" t="s">
        <v>3311</v>
      </c>
      <c r="Q24" s="3667" t="s">
        <v>3311</v>
      </c>
      <c r="R24" s="3667" t="s">
        <v>3311</v>
      </c>
      <c r="S24" s="3667" t="s">
        <v>3311</v>
      </c>
      <c r="T24" s="3667" t="s">
        <v>3310</v>
      </c>
      <c r="U24" s="3667" t="s">
        <v>3310</v>
      </c>
      <c r="V24" s="3667" t="s">
        <v>3311</v>
      </c>
      <c r="W24" s="3667" t="s">
        <v>3313</v>
      </c>
      <c r="X24" s="3667" t="s">
        <v>3311</v>
      </c>
      <c r="Y24" s="3667" t="s">
        <v>3310</v>
      </c>
      <c r="Z24" s="3667" t="s">
        <v>3314</v>
      </c>
      <c r="AA24" s="3667" t="s">
        <v>3314</v>
      </c>
      <c r="AB24" s="3667" t="s">
        <v>3314</v>
      </c>
      <c r="AC24" s="3667" t="s">
        <v>3314</v>
      </c>
      <c r="AD24" s="3667" t="s">
        <v>3314</v>
      </c>
    </row>
    <row r="25" spans="1:32">
      <c r="AF25" s="3667">
        <f>AF12-AF16-AF17</f>
        <v>146577.55000000005</v>
      </c>
    </row>
  </sheetData>
  <phoneticPr fontId="22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J25" sqref="J25"/>
    </sheetView>
  </sheetViews>
  <sheetFormatPr defaultColWidth="13.75" defaultRowHeight="12.75"/>
  <cols>
    <col min="1" max="1" width="21.62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0"/>
      <c r="AO1" s="2830"/>
      <c r="AP1" s="2830"/>
      <c r="AQ1" s="2830"/>
      <c r="AR1" s="2830"/>
      <c r="AS1" s="2830"/>
      <c r="AT1" s="2830"/>
      <c r="AU1" s="2830"/>
      <c r="AV1" s="2830"/>
      <c r="AW1" s="2830"/>
      <c r="AX1" s="2830"/>
      <c r="AY1" s="2830"/>
      <c r="AZ1" s="2830"/>
    </row>
    <row r="2" spans="1:83" s="1103" customFormat="1" ht="15.75" thickBot="1">
      <c r="A2" s="142" t="s">
        <v>201</v>
      </c>
      <c r="B2" s="2055">
        <f>项目基本情况!D3</f>
        <v>44929</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3"/>
      <c r="AO2" s="2833"/>
      <c r="AP2" s="2833"/>
      <c r="AQ2" s="2833"/>
      <c r="AR2" s="2833"/>
      <c r="AS2" s="2833"/>
      <c r="AT2" s="2833"/>
      <c r="AU2" s="2833"/>
      <c r="AV2" s="2833"/>
      <c r="AW2" s="2833"/>
      <c r="AX2" s="2833"/>
      <c r="AY2" s="2833"/>
      <c r="AZ2" s="2833"/>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3"/>
      <c r="AO3" s="2833"/>
      <c r="AP3" s="2833"/>
      <c r="AQ3" s="2833"/>
      <c r="AR3" s="2833"/>
      <c r="AS3" s="2833"/>
      <c r="AT3" s="2833"/>
      <c r="AU3" s="2833"/>
      <c r="AV3" s="2833"/>
      <c r="AW3" s="2833"/>
      <c r="AX3" s="2833"/>
      <c r="AY3" s="2833"/>
      <c r="AZ3" s="2833"/>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4">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3252</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4"/>
      <c r="AP5" s="2829" t="s">
        <v>2264</v>
      </c>
      <c r="AQ5" s="2844"/>
      <c r="AR5" s="2844"/>
      <c r="AS5" s="2844"/>
      <c r="AT5" s="2844"/>
      <c r="AU5" s="2844"/>
      <c r="AV5" s="2844"/>
      <c r="AW5" s="2844"/>
      <c r="AX5" s="2844"/>
      <c r="AY5" s="2844"/>
      <c r="AZ5" s="2844"/>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6" t="s">
        <v>851</v>
      </c>
      <c r="D6" s="2025">
        <f>SUMIF(项目基本情况!C$15:I$15,C6,项目基本情况!C$18:I$18)</f>
        <v>70</v>
      </c>
      <c r="E6" s="2026">
        <f>IF(B6="","",SUMIF(项目基本情况!C$15:I$15,C6,项目基本情况!C$17:I$17))</f>
        <v>70433</v>
      </c>
      <c r="F6" s="167">
        <f>SUMIF(项目基本情况!C$15:I$15,C6,项目基本情况!C$19:I$19)</f>
        <v>69.87</v>
      </c>
      <c r="G6" s="168">
        <f t="shared" ref="G6:G13" si="0">IF(ISERROR(ROUND(POWER(1+H6,D6-F6)*(POWER(1+H6,F6)-1)/(POWER(1+H6,D6)-1),3)),0,ROUND(POWER(1+H6,D6-F6)*(POWER(1+H6,F6)-1)/(POWER(1+H6,D6)-1),3))</f>
        <v>1</v>
      </c>
      <c r="H6" s="3689">
        <v>0.04</v>
      </c>
      <c r="I6" s="3689">
        <v>4.4999999999999998E-2</v>
      </c>
      <c r="J6" s="169">
        <v>7.4999999999999997E-2</v>
      </c>
      <c r="K6" s="172">
        <f>SUMIF('数据-汇总表'!C$19:C$33,'数据-取费表'!A6,'数据-汇总表'!E$19:E$33)</f>
        <v>109460.71999999999</v>
      </c>
      <c r="L6" s="2497">
        <v>5500</v>
      </c>
      <c r="M6" s="170">
        <f t="shared" ref="M6:M14" si="1">ROUND(K6*L6/10000,0)</f>
        <v>60203</v>
      </c>
      <c r="N6" s="2498">
        <v>0</v>
      </c>
      <c r="O6" s="170">
        <f>IF($N$5="成新度","——",ROUND(M6*N6,0))</f>
        <v>0</v>
      </c>
      <c r="P6" s="171">
        <f>IF($N$5="成新度","——",M6-O6)</f>
        <v>60203</v>
      </c>
      <c r="Q6" s="2499">
        <v>0.15</v>
      </c>
      <c r="R6" s="172">
        <f>SUMIF('数据-汇总表'!C$19:C$33,A6,'数据-汇总表'!R$19:R$33)</f>
        <v>54573.53</v>
      </c>
      <c r="S6" s="128">
        <f>IF('数据-汇总表'!$I$17="按面积比例",SUMIF('数据-汇总表'!C$19:C$33,A6,'数据-汇总表'!K$19:K$33),SUMIF('数据-汇总表'!C$19:C$33,A6,'数据-汇总表'!N$19:N$33))</f>
        <v>5426.19</v>
      </c>
      <c r="T6" s="1951">
        <f>IF($T$4="按面积比例",IF(ISERROR(ROUND($M$14*S6/S$16,0)),"0",ROUND($M$14*S6/S$16,0)),"需自行计算录入")</f>
        <v>2171</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8"/>
      <c r="AN6" s="2082"/>
      <c r="AO6" s="2833"/>
      <c r="AP6" s="1101">
        <f>ROUND(1-1/(1+H6)^F6,3)</f>
        <v>0.93500000000000005</v>
      </c>
      <c r="AQ6" s="2833"/>
      <c r="AR6" s="2833"/>
      <c r="AS6" s="2833"/>
      <c r="AT6" s="2833"/>
      <c r="AU6" s="2833"/>
      <c r="AV6" s="2833"/>
      <c r="AW6" s="2833"/>
      <c r="AX6" s="2833"/>
      <c r="AY6" s="2833"/>
      <c r="AZ6" s="2833"/>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地下商业</v>
      </c>
      <c r="B7" s="2054" t="str">
        <f t="shared" ref="B7:B13" si="2">IF(A7=0,"","经营性")</f>
        <v>经营性</v>
      </c>
      <c r="C7" s="166" t="s">
        <v>2741</v>
      </c>
      <c r="D7" s="2025">
        <f>SUMIF(项目基本情况!C$15:I$15,C7,项目基本情况!C$18:I$18)</f>
        <v>40</v>
      </c>
      <c r="E7" s="2026">
        <f>IF(B7="","",SUMIF(项目基本情况!C$15:I$15,C7,项目基本情况!C$17:I$17))</f>
        <v>59475</v>
      </c>
      <c r="F7" s="167">
        <f>SUMIF(项目基本情况!C$15:I$15,C7,项目基本情况!C$19:I$19)</f>
        <v>39.85</v>
      </c>
      <c r="G7" s="168">
        <f t="shared" si="0"/>
        <v>0.999</v>
      </c>
      <c r="H7" s="3689">
        <v>5.5E-2</v>
      </c>
      <c r="I7" s="3689">
        <v>0.06</v>
      </c>
      <c r="J7" s="169">
        <v>7.4999999999999997E-2</v>
      </c>
      <c r="K7" s="172">
        <f>SUMIF('数据-汇总表'!C$19:C$33,'数据-取费表'!A7,'数据-汇总表'!E$19:E$33)</f>
        <v>1860</v>
      </c>
      <c r="L7" s="2497">
        <v>4000</v>
      </c>
      <c r="M7" s="170">
        <f t="shared" si="1"/>
        <v>744</v>
      </c>
      <c r="N7" s="2498">
        <v>0</v>
      </c>
      <c r="O7" s="170">
        <f t="shared" ref="O7:O14" si="3">IF($N$5="成新度","——",ROUND(M7*N7,0))</f>
        <v>0</v>
      </c>
      <c r="P7" s="171">
        <f t="shared" ref="P7:P14" si="4">IF($N$5="成新度","——",M7-O7)</f>
        <v>744</v>
      </c>
      <c r="Q7" s="3691">
        <v>0.15</v>
      </c>
      <c r="R7" s="172">
        <f>SUMIF('数据-汇总表'!C$19:C$33,A7,'数据-汇总表'!R$19:R$33)</f>
        <v>921.55</v>
      </c>
      <c r="S7" s="128">
        <f>IF('数据-汇总表'!$I$17="按面积比例",SUMIF('数据-汇总表'!C$19:C$33,A7,'数据-汇总表'!K$19:K$33),SUMIF('数据-汇总表'!C$19:C$33,A7,'数据-汇总表'!N$19:N$33))</f>
        <v>92.2</v>
      </c>
      <c r="T7" s="1951">
        <f t="shared" ref="T7:T13" si="5">IF($T$4="按面积比例",IF(ISERROR(ROUND($M$14*S7/S$16,0)),"0",ROUND($M$14*S7/S$16,0)),"需自行计算录入")</f>
        <v>37</v>
      </c>
      <c r="U7" s="173">
        <v>3</v>
      </c>
      <c r="V7" s="174">
        <v>0</v>
      </c>
      <c r="W7" s="174">
        <v>0.1</v>
      </c>
      <c r="X7" s="2038"/>
      <c r="Y7" s="175">
        <v>1</v>
      </c>
      <c r="Z7" s="176"/>
      <c r="AA7" s="169"/>
      <c r="AB7" s="169"/>
      <c r="AC7" s="2041"/>
      <c r="AD7" s="177"/>
      <c r="AE7" s="933">
        <f t="shared" ref="AE7:AE13" ca="1" si="6">IF(AN7="",0,SUMIF(INDIRECT("'"&amp;AN7&amp;"'"&amp;"!E:E"),$AE$5,INDIRECT("'"&amp;AN7&amp;"'"&amp;"!F:F")))</f>
        <v>37.85</v>
      </c>
      <c r="AF7" s="134"/>
      <c r="AG7" s="1110">
        <f t="shared" ref="AG7:AG13" si="7">IF(AF7="",0,AE7-AF7)</f>
        <v>0</v>
      </c>
      <c r="AH7" s="134"/>
      <c r="AI7" s="180">
        <v>365</v>
      </c>
      <c r="AJ7" s="181"/>
      <c r="AK7" s="182">
        <v>0.01</v>
      </c>
      <c r="AL7" s="183">
        <v>1.5E-3</v>
      </c>
      <c r="AM7" s="2508">
        <v>1.4999999999999999E-2</v>
      </c>
      <c r="AN7" s="2082" t="s">
        <v>3323</v>
      </c>
      <c r="AO7" s="2833"/>
      <c r="AP7" s="1101">
        <f t="shared" ref="AP7:AP13" si="8">ROUND(1-1/(1+H7)^F7,3)</f>
        <v>0.88200000000000001</v>
      </c>
      <c r="AQ7" s="2833"/>
      <c r="AR7" s="2833"/>
      <c r="AS7" s="2833"/>
      <c r="AT7" s="2833"/>
      <c r="AU7" s="2833"/>
      <c r="AV7" s="2833"/>
      <c r="AW7" s="2833"/>
      <c r="AX7" s="2833"/>
      <c r="AY7" s="2833"/>
      <c r="AZ7" s="2833"/>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t="str">
        <f>'数据-汇总表'!C21</f>
        <v>地下车库</v>
      </c>
      <c r="B8" s="2054" t="str">
        <f t="shared" si="2"/>
        <v>经营性</v>
      </c>
      <c r="C8" s="166" t="s">
        <v>2742</v>
      </c>
      <c r="D8" s="2025">
        <f>SUMIF(项目基本情况!C$15:I$15,C8,项目基本情况!C$18:I$18)</f>
        <v>50</v>
      </c>
      <c r="E8" s="2026">
        <f>IF(B8="","",SUMIF(项目基本情况!C$15:I$15,C8,项目基本情况!C$17:I$17))</f>
        <v>63128</v>
      </c>
      <c r="F8" s="167">
        <f>SUMIF(项目基本情况!C$15:I$15,C8,项目基本情况!C$19:I$19)</f>
        <v>49.86</v>
      </c>
      <c r="G8" s="168">
        <f t="shared" si="0"/>
        <v>0.999</v>
      </c>
      <c r="H8" s="3689">
        <v>4.4999999999999998E-2</v>
      </c>
      <c r="I8" s="3689">
        <v>0.05</v>
      </c>
      <c r="J8" s="169">
        <v>7.4999999999999997E-2</v>
      </c>
      <c r="K8" s="172">
        <f>SUMIF('数据-汇总表'!C$19:C$33,'数据-取费表'!A8,'数据-汇总表'!E$19:E$33)</f>
        <v>16237.789999999999</v>
      </c>
      <c r="L8" s="2497">
        <v>4000</v>
      </c>
      <c r="M8" s="170">
        <f>ROUND(K8*L8/10000,0)</f>
        <v>6495</v>
      </c>
      <c r="N8" s="2498">
        <v>0</v>
      </c>
      <c r="O8" s="170">
        <f t="shared" si="3"/>
        <v>0</v>
      </c>
      <c r="P8" s="171">
        <f t="shared" si="4"/>
        <v>6495</v>
      </c>
      <c r="Q8" s="3691">
        <v>0.05</v>
      </c>
      <c r="R8" s="172">
        <f>SUMIF('数据-汇总表'!C$19:C$33,A8,'数据-汇总表'!R$19:R$33)</f>
        <v>8045.2099999999991</v>
      </c>
      <c r="S8" s="128">
        <f>IF('数据-汇总表'!$I$17="按面积比例",SUMIF('数据-汇总表'!C$19:C$33,A8,'数据-汇总表'!K$19:K$33),SUMIF('数据-汇总表'!C$19:C$33,A8,'数据-汇总表'!N$19:N$33))</f>
        <v>804.94</v>
      </c>
      <c r="T8" s="1951">
        <f t="shared" si="5"/>
        <v>322</v>
      </c>
      <c r="U8" s="173"/>
      <c r="V8" s="174"/>
      <c r="W8" s="174"/>
      <c r="X8" s="2038"/>
      <c r="Y8" s="175"/>
      <c r="Z8" s="176"/>
      <c r="AA8" s="169"/>
      <c r="AB8" s="169"/>
      <c r="AC8" s="2041"/>
      <c r="AD8" s="177"/>
      <c r="AE8" s="933">
        <f t="shared" ca="1" si="6"/>
        <v>0</v>
      </c>
      <c r="AF8" s="134"/>
      <c r="AG8" s="1110">
        <f t="shared" si="7"/>
        <v>0</v>
      </c>
      <c r="AH8" s="134">
        <v>610</v>
      </c>
      <c r="AI8" s="180"/>
      <c r="AJ8" s="181"/>
      <c r="AK8" s="182"/>
      <c r="AL8" s="183"/>
      <c r="AM8" s="2508"/>
      <c r="AN8" s="2082"/>
      <c r="AO8" s="2833"/>
      <c r="AP8" s="1101">
        <f t="shared" si="8"/>
        <v>0.88900000000000001</v>
      </c>
      <c r="AQ8" s="2833"/>
      <c r="AR8" s="2833"/>
      <c r="AS8" s="2833"/>
      <c r="AT8" s="2833"/>
      <c r="AU8" s="2833"/>
      <c r="AV8" s="2833"/>
      <c r="AW8" s="2833"/>
      <c r="AX8" s="2833"/>
      <c r="AY8" s="2833"/>
      <c r="AZ8" s="2833"/>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t="str">
        <f>'数据-汇总表'!C22</f>
        <v>地下仓储</v>
      </c>
      <c r="B9" s="2054" t="str">
        <f t="shared" si="2"/>
        <v>经营性</v>
      </c>
      <c r="C9" s="166" t="s">
        <v>2743</v>
      </c>
      <c r="D9" s="2025">
        <f>SUMIF(项目基本情况!C$15:I$15,C9,项目基本情况!C$18:I$18)</f>
        <v>50</v>
      </c>
      <c r="E9" s="2026">
        <f>IF(B9="","",SUMIF(项目基本情况!C$15:I$15,C9,项目基本情况!C$17:I$17))</f>
        <v>63128</v>
      </c>
      <c r="F9" s="167">
        <f>SUMIF(项目基本情况!C$15:I$15,C9,项目基本情况!C$19:I$19)</f>
        <v>49.86</v>
      </c>
      <c r="G9" s="168">
        <f t="shared" si="0"/>
        <v>0.999</v>
      </c>
      <c r="H9" s="3690">
        <v>4.4999999999999998E-2</v>
      </c>
      <c r="I9" s="3690">
        <v>0.05</v>
      </c>
      <c r="J9" s="169">
        <v>7.4999999999999997E-2</v>
      </c>
      <c r="K9" s="172">
        <f>SUMIF('数据-汇总表'!C$19:C$33,'数据-取费表'!A9,'数据-汇总表'!E$19:E$33)</f>
        <v>11410.09</v>
      </c>
      <c r="L9" s="2497">
        <v>4000</v>
      </c>
      <c r="M9" s="170">
        <f t="shared" si="1"/>
        <v>4564</v>
      </c>
      <c r="N9" s="2498">
        <v>0</v>
      </c>
      <c r="O9" s="170">
        <f t="shared" si="3"/>
        <v>0</v>
      </c>
      <c r="P9" s="171">
        <f t="shared" si="4"/>
        <v>4564</v>
      </c>
      <c r="Q9" s="3692">
        <v>0.08</v>
      </c>
      <c r="R9" s="172">
        <f>SUMIF('数据-汇总表'!C$19:C$33,A9,'数据-汇总表'!R$19:R$33)</f>
        <v>5653.27</v>
      </c>
      <c r="S9" s="128">
        <f>IF('数据-汇总表'!$I$17="按面积比例",SUMIF('数据-汇总表'!C$19:C$33,A9,'数据-汇总表'!K$19:K$33),SUMIF('数据-汇总表'!C$19:C$33,A9,'数据-汇总表'!N$19:N$33))</f>
        <v>565.62</v>
      </c>
      <c r="T9" s="1951">
        <f t="shared" si="5"/>
        <v>226</v>
      </c>
      <c r="U9" s="173">
        <v>1.2</v>
      </c>
      <c r="V9" s="174">
        <v>0</v>
      </c>
      <c r="W9" s="174">
        <v>0.1</v>
      </c>
      <c r="X9" s="2038"/>
      <c r="Y9" s="175">
        <v>1</v>
      </c>
      <c r="Z9" s="176"/>
      <c r="AA9" s="169"/>
      <c r="AB9" s="169"/>
      <c r="AC9" s="2041"/>
      <c r="AD9" s="177"/>
      <c r="AE9" s="933">
        <f t="shared" ca="1" si="6"/>
        <v>47.86</v>
      </c>
      <c r="AF9" s="134"/>
      <c r="AG9" s="1110">
        <f t="shared" si="7"/>
        <v>0</v>
      </c>
      <c r="AH9" s="134"/>
      <c r="AI9" s="180">
        <v>365</v>
      </c>
      <c r="AJ9" s="181"/>
      <c r="AK9" s="182">
        <v>5.0000000000000001E-3</v>
      </c>
      <c r="AL9" s="183">
        <v>1.5E-3</v>
      </c>
      <c r="AM9" s="2508">
        <v>0.01</v>
      </c>
      <c r="AN9" s="2082" t="s">
        <v>3325</v>
      </c>
      <c r="AO9" s="2833"/>
      <c r="AP9" s="1101">
        <f t="shared" si="8"/>
        <v>0.88900000000000001</v>
      </c>
      <c r="AQ9" s="2833"/>
      <c r="AR9" s="2833"/>
      <c r="AS9" s="2833"/>
      <c r="AT9" s="2833"/>
      <c r="AU9" s="2833"/>
      <c r="AV9" s="2833"/>
      <c r="AW9" s="2833"/>
      <c r="AX9" s="2833"/>
      <c r="AY9" s="2833"/>
      <c r="AZ9" s="2833"/>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8"/>
      <c r="AN10" s="2082"/>
      <c r="AO10" s="2833"/>
      <c r="AP10" s="1101">
        <f t="shared" si="8"/>
        <v>0</v>
      </c>
      <c r="AQ10" s="2833"/>
      <c r="AR10" s="2833"/>
      <c r="AS10" s="2833"/>
      <c r="AT10" s="2833"/>
      <c r="AU10" s="2833"/>
      <c r="AV10" s="2833"/>
      <c r="AW10" s="2833"/>
      <c r="AX10" s="2833"/>
      <c r="AY10" s="2833"/>
      <c r="AZ10" s="2833"/>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8"/>
      <c r="AN11" s="2082"/>
      <c r="AO11" s="2833"/>
      <c r="AP11" s="1101">
        <f t="shared" si="8"/>
        <v>0</v>
      </c>
      <c r="AQ11" s="2833"/>
      <c r="AR11" s="2833"/>
      <c r="AS11" s="2833"/>
      <c r="AT11" s="2833"/>
      <c r="AU11" s="2833"/>
      <c r="AV11" s="2833"/>
      <c r="AW11" s="2833"/>
      <c r="AX11" s="2833"/>
      <c r="AY11" s="2833"/>
      <c r="AZ11" s="2833"/>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8"/>
      <c r="AN12" s="2082"/>
      <c r="AO12" s="2833"/>
      <c r="AP12" s="1101">
        <f t="shared" si="8"/>
        <v>0</v>
      </c>
      <c r="AQ12" s="2833"/>
      <c r="AR12" s="2833"/>
      <c r="AS12" s="2833"/>
      <c r="AT12" s="2833"/>
      <c r="AU12" s="2833"/>
      <c r="AV12" s="2833"/>
      <c r="AW12" s="2833"/>
      <c r="AX12" s="2833"/>
      <c r="AY12" s="2833"/>
      <c r="AZ12" s="2833"/>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3"/>
      <c r="AP13" s="1101">
        <f t="shared" si="8"/>
        <v>0</v>
      </c>
      <c r="AQ13" s="2833"/>
      <c r="AR13" s="2833"/>
      <c r="AS13" s="2833"/>
      <c r="AT13" s="2833"/>
      <c r="AU13" s="2833"/>
      <c r="AV13" s="2833"/>
      <c r="AW13" s="2833"/>
      <c r="AX13" s="2833"/>
      <c r="AY13" s="2833"/>
      <c r="AZ13" s="2833"/>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6888.9500000000007</v>
      </c>
      <c r="L14" s="186">
        <v>4000</v>
      </c>
      <c r="M14" s="170">
        <f t="shared" si="1"/>
        <v>2756</v>
      </c>
      <c r="N14" s="187">
        <v>0</v>
      </c>
      <c r="O14" s="170">
        <f t="shared" si="3"/>
        <v>0</v>
      </c>
      <c r="P14" s="171">
        <f t="shared" si="4"/>
        <v>2756</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3"/>
      <c r="AO14" s="2833"/>
      <c r="AP14" s="2833"/>
      <c r="AQ14" s="2833"/>
      <c r="AR14" s="2833"/>
      <c r="AS14" s="2833"/>
      <c r="AT14" s="2833"/>
      <c r="AU14" s="2833"/>
      <c r="AV14" s="2833"/>
      <c r="AW14" s="2833"/>
      <c r="AX14" s="2833"/>
      <c r="AY14" s="2833"/>
      <c r="AZ14" s="2833"/>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14.25">
      <c r="A15" s="2029" t="s">
        <v>1673</v>
      </c>
      <c r="B15" s="2023" t="s">
        <v>1213</v>
      </c>
      <c r="C15" s="2024" t="s">
        <v>1672</v>
      </c>
      <c r="D15" s="2025"/>
      <c r="E15" s="2026"/>
      <c r="F15" s="167"/>
      <c r="G15" s="168"/>
      <c r="H15" s="2027"/>
      <c r="I15" s="2027"/>
      <c r="J15" s="2027"/>
      <c r="K15" s="172">
        <f>SUMIF('数据-汇总表'!C$19:C$33,'数据-取费表'!A15,'数据-汇总表'!E$19:E$33)</f>
        <v>720</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3"/>
      <c r="AO15" s="2833"/>
      <c r="AP15" s="2833"/>
      <c r="AQ15" s="2833"/>
      <c r="AR15" s="2833"/>
      <c r="AS15" s="2833"/>
      <c r="AT15" s="2833"/>
      <c r="AU15" s="2833"/>
      <c r="AV15" s="2833"/>
      <c r="AW15" s="2833"/>
      <c r="AX15" s="2833"/>
      <c r="AY15" s="2833"/>
      <c r="AZ15" s="2833"/>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1</v>
      </c>
      <c r="H16" s="194">
        <f>ROUND(SUMPRODUCT(H6:H13,K6:K13)/SUMPRODUCT((H6:H13&gt;0)*(K6:K13)),3)</f>
        <v>4.1000000000000002E-2</v>
      </c>
      <c r="I16" s="195"/>
      <c r="J16" s="195"/>
      <c r="K16" s="196">
        <f>SUM(K6:K15)</f>
        <v>146577.54999999999</v>
      </c>
      <c r="L16" s="197">
        <f>ROUND(M16*10000/SUM(K6:K14),0)</f>
        <v>5126</v>
      </c>
      <c r="M16" s="197">
        <f>SUM(M6:M14)</f>
        <v>74762</v>
      </c>
      <c r="N16" s="198">
        <f>ROUND(SUMPRODUCT(M6:M14,N6:N14)/M16,3)</f>
        <v>0</v>
      </c>
      <c r="O16" s="197">
        <f>SUM(O6:O14)</f>
        <v>0</v>
      </c>
      <c r="P16" s="197">
        <f>SUM(P6:P14)</f>
        <v>74762</v>
      </c>
      <c r="Q16" s="199">
        <f>ROUND(SUMPRODUCT(Q6:Q13,K6:K13)/SUMPRODUCT((Q6:Q13&gt;0)*(K6:K13)),2)</f>
        <v>0.13</v>
      </c>
      <c r="R16" s="2028">
        <f>SUM(R6:R13)</f>
        <v>69193.56</v>
      </c>
      <c r="S16" s="200">
        <f>SUM(S6:S13)</f>
        <v>6888.95</v>
      </c>
      <c r="T16" s="201">
        <f>IF(SUMIF(T6:T13,"&lt;9E307")=M14,SUMIF(T6:T13,"&lt;9E307"),"有误，请检查")</f>
        <v>2756</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1">
        <f>ROUND(SUMPRODUCT(AP6:AP13,K6:K13)/SUMPRODUCT((AP6:AP13&gt;0)*(K6:K13)),3)</f>
        <v>0.92500000000000004</v>
      </c>
      <c r="AQ16" s="2833"/>
      <c r="AR16" s="2833"/>
      <c r="AS16" s="2833"/>
      <c r="AT16" s="2833"/>
      <c r="AU16" s="2833"/>
      <c r="AV16" s="2833"/>
      <c r="AW16" s="2833"/>
      <c r="AX16" s="2833"/>
      <c r="AY16" s="2833"/>
      <c r="AZ16" s="2833"/>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2276</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4"/>
      <c r="B25" s="1101"/>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2" customFormat="1" ht="27.75">
      <c r="A27" s="217" t="s">
        <v>1694</v>
      </c>
      <c r="B27" s="218">
        <v>0</v>
      </c>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223">
        <v>0</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150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50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0.1</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4"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3322</v>
      </c>
      <c r="B40" s="2128">
        <f ca="1">IF(A40="利息：取LPR",存贷款利率!E2,存贷款利率!E2+C40)</f>
        <v>4.1499999999999995E-2</v>
      </c>
      <c r="C40" s="3020">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40"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40"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780" t="s">
        <v>1198</v>
      </c>
      <c r="B1" s="3781"/>
      <c r="C1" s="3781"/>
      <c r="D1" s="3781"/>
      <c r="E1" s="3781"/>
      <c r="F1" s="3781"/>
      <c r="G1" s="3781"/>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4" sqref="G34"/>
    </sheetView>
  </sheetViews>
  <sheetFormatPr defaultColWidth="14.625" defaultRowHeight="13.5"/>
  <cols>
    <col min="1" max="1" width="24.375" style="2927" customWidth="1"/>
    <col min="2" max="16384" width="14.625" style="2927"/>
  </cols>
  <sheetData>
    <row r="1" spans="1:10">
      <c r="A1" s="2926" t="s">
        <v>2118</v>
      </c>
      <c r="B1" s="2926">
        <f>SUM(B14:B23)</f>
        <v>146577.54999999999</v>
      </c>
      <c r="C1" s="2935"/>
      <c r="D1" s="2935"/>
      <c r="E1" s="2935"/>
      <c r="F1" s="2935"/>
      <c r="G1" s="2936"/>
      <c r="H1" s="2936"/>
      <c r="I1" s="2936"/>
      <c r="J1" s="2936"/>
    </row>
    <row r="2" spans="1:10">
      <c r="A2" s="2926" t="s">
        <v>2119</v>
      </c>
      <c r="B2" s="2926">
        <f>SUM(C14:C23)</f>
        <v>69193.56</v>
      </c>
      <c r="C2" s="2935"/>
      <c r="D2" s="2935"/>
      <c r="E2" s="2935"/>
      <c r="F2" s="2935"/>
      <c r="G2" s="2936"/>
      <c r="H2" s="2936"/>
      <c r="I2" s="2936"/>
      <c r="J2" s="2936"/>
    </row>
    <row r="3" spans="1:10">
      <c r="A3" s="2926" t="s">
        <v>2120</v>
      </c>
      <c r="B3" s="2928">
        <f>项目基本情况!D3</f>
        <v>44929</v>
      </c>
      <c r="C3" s="2935"/>
      <c r="D3" s="2935"/>
      <c r="E3" s="2935"/>
      <c r="F3" s="2935"/>
      <c r="G3" s="2936"/>
      <c r="H3" s="2936"/>
      <c r="I3" s="2936"/>
      <c r="J3" s="2936"/>
    </row>
    <row r="4" spans="1:10" ht="27">
      <c r="A4" s="2926" t="s">
        <v>2121</v>
      </c>
      <c r="B4" s="2926" t="s">
        <v>2122</v>
      </c>
      <c r="C4" s="2926" t="s">
        <v>2123</v>
      </c>
      <c r="D4" s="2926" t="s">
        <v>2124</v>
      </c>
      <c r="E4" s="2935"/>
      <c r="F4" s="2935"/>
      <c r="G4" s="2936"/>
      <c r="H4" s="2936"/>
      <c r="I4" s="2936"/>
      <c r="J4" s="2936"/>
    </row>
    <row r="5" spans="1:10">
      <c r="A5" s="2926" t="s">
        <v>2125</v>
      </c>
      <c r="B5" s="2926">
        <f ca="1">SUM(D14:D23)</f>
        <v>256640</v>
      </c>
      <c r="C5" s="2926">
        <f ca="1">ROUND(B5*10000/$B$1,0)</f>
        <v>17509</v>
      </c>
      <c r="D5" s="2926">
        <f ca="1">ROUND(B5*10000/$B$2,0)</f>
        <v>37090</v>
      </c>
      <c r="E5" s="2935"/>
      <c r="F5" s="2935"/>
      <c r="G5" s="2936"/>
      <c r="H5" s="2936"/>
      <c r="I5" s="2936"/>
      <c r="J5" s="2936"/>
    </row>
    <row r="6" spans="1:10">
      <c r="A6" s="2926" t="s">
        <v>2126</v>
      </c>
      <c r="B6" s="2926">
        <f ca="1">SUM(G14:G23)</f>
        <v>256640</v>
      </c>
      <c r="C6" s="2926">
        <f ca="1">ROUND(B6*10000/$B$1,0)</f>
        <v>17509</v>
      </c>
      <c r="D6" s="2926">
        <f ca="1">ROUND(B6*10000/$B$2,0)</f>
        <v>37090</v>
      </c>
      <c r="E6" s="2935"/>
      <c r="F6" s="2935"/>
      <c r="G6" s="2936"/>
      <c r="H6" s="2936"/>
      <c r="I6" s="2936"/>
      <c r="J6" s="2936"/>
    </row>
    <row r="7" spans="1:10">
      <c r="A7" s="2926" t="s">
        <v>2127</v>
      </c>
      <c r="B7" s="2926">
        <f>SUM(H14:H23)</f>
        <v>0</v>
      </c>
      <c r="C7" s="2926">
        <f>ROUND(B7*10000/$B$1,0)</f>
        <v>0</v>
      </c>
      <c r="D7" s="2926">
        <f>ROUND(B7*10000/$B$2,0)</f>
        <v>0</v>
      </c>
      <c r="E7" s="2935"/>
      <c r="F7" s="2935"/>
      <c r="G7" s="2936"/>
      <c r="H7" s="2936"/>
      <c r="I7" s="2936"/>
      <c r="J7" s="2936"/>
    </row>
    <row r="8" spans="1:10">
      <c r="A8" s="2926" t="s">
        <v>2128</v>
      </c>
      <c r="B8" s="2926">
        <f>SUM(I14:I23)</f>
        <v>0</v>
      </c>
      <c r="C8" s="2926">
        <f>ROUND(B8*10000/$B$1,0)</f>
        <v>0</v>
      </c>
      <c r="D8" s="2926">
        <f>ROUND(B8*10000/$B$2,0)</f>
        <v>0</v>
      </c>
      <c r="E8" s="2935"/>
      <c r="F8" s="2935"/>
      <c r="G8" s="2936"/>
      <c r="H8" s="2936"/>
      <c r="I8" s="2936"/>
      <c r="J8" s="2936"/>
    </row>
    <row r="9" spans="1:10">
      <c r="A9" s="2926" t="s">
        <v>2129</v>
      </c>
      <c r="B9" s="2934"/>
      <c r="C9" s="2935"/>
      <c r="D9" s="2935"/>
      <c r="E9" s="2935"/>
      <c r="F9" s="2935"/>
      <c r="G9" s="2936"/>
      <c r="H9" s="2936"/>
      <c r="I9" s="2936"/>
      <c r="J9" s="2936"/>
    </row>
    <row r="10" spans="1:10">
      <c r="A10" s="2926" t="s">
        <v>2130</v>
      </c>
      <c r="B10" s="2934"/>
      <c r="C10" s="2935"/>
      <c r="D10" s="2935"/>
      <c r="E10" s="2935"/>
      <c r="F10" s="2935"/>
      <c r="G10" s="2936"/>
      <c r="H10" s="2936"/>
      <c r="I10" s="2936"/>
      <c r="J10" s="2936"/>
    </row>
    <row r="11" spans="1:10">
      <c r="A11" s="2926" t="s">
        <v>2147</v>
      </c>
      <c r="B11" s="2934"/>
      <c r="C11" s="2935"/>
      <c r="D11" s="2935"/>
      <c r="E11" s="2935"/>
      <c r="F11" s="2935"/>
      <c r="G11" s="2936"/>
      <c r="H11" s="2936"/>
      <c r="I11" s="2936"/>
      <c r="J11" s="2936"/>
    </row>
    <row r="12" spans="1:10">
      <c r="A12" s="2935"/>
      <c r="B12" s="2935"/>
      <c r="C12" s="2935"/>
      <c r="D12" s="2935"/>
      <c r="E12" s="2935"/>
      <c r="F12" s="2935"/>
      <c r="G12" s="2936"/>
      <c r="H12" s="2936"/>
      <c r="I12" s="2936"/>
      <c r="J12" s="2936"/>
    </row>
    <row r="13" spans="1:10" ht="27">
      <c r="A13" s="2929" t="s">
        <v>2146</v>
      </c>
      <c r="B13" s="2930" t="s">
        <v>2118</v>
      </c>
      <c r="C13" s="2930" t="s">
        <v>2119</v>
      </c>
      <c r="D13" s="2930" t="s">
        <v>2131</v>
      </c>
      <c r="E13" s="2926" t="s">
        <v>2145</v>
      </c>
      <c r="F13" s="2926" t="s">
        <v>2124</v>
      </c>
      <c r="G13" s="2930" t="s">
        <v>2132</v>
      </c>
      <c r="H13" s="2930" t="s">
        <v>2133</v>
      </c>
      <c r="I13" s="2930" t="s">
        <v>2134</v>
      </c>
      <c r="J13" s="2936"/>
    </row>
    <row r="14" spans="1:10">
      <c r="A14" s="2931" t="s">
        <v>2144</v>
      </c>
      <c r="B14" s="2932">
        <f>'数据-基础表'!B3</f>
        <v>146577.54999999999</v>
      </c>
      <c r="C14" s="2932">
        <f>'数据-基础表'!A3</f>
        <v>69193.56</v>
      </c>
      <c r="D14" s="2932">
        <f ca="1">结果表!G19</f>
        <v>256640</v>
      </c>
      <c r="E14" s="2932">
        <f ca="1">ROUND(D14*10000/B14,0)</f>
        <v>17509</v>
      </c>
      <c r="F14" s="2932">
        <f ca="1">ROUND(D14*10000/C14,0)</f>
        <v>37090</v>
      </c>
      <c r="G14" s="2932">
        <f ca="1">D14</f>
        <v>256640</v>
      </c>
      <c r="H14" s="2932"/>
      <c r="I14" s="2932"/>
      <c r="J14" s="2936"/>
    </row>
    <row r="15" spans="1:10">
      <c r="A15" s="2931" t="s">
        <v>2135</v>
      </c>
      <c r="B15" s="2933"/>
      <c r="C15" s="2933"/>
      <c r="D15" s="2933"/>
      <c r="E15" s="2932" t="e">
        <f t="shared" ref="E15:E23" si="0">ROUND(D15*10000/B15,0)</f>
        <v>#DIV/0!</v>
      </c>
      <c r="F15" s="2932" t="e">
        <f t="shared" ref="F15:F23" si="1">ROUND(D15*10000/C15,0)</f>
        <v>#DIV/0!</v>
      </c>
      <c r="G15" s="2512"/>
      <c r="H15" s="2512"/>
      <c r="I15" s="2933"/>
      <c r="J15" s="2936"/>
    </row>
    <row r="16" spans="1:10">
      <c r="A16" s="2931" t="s">
        <v>2136</v>
      </c>
      <c r="B16" s="2933"/>
      <c r="C16" s="2933"/>
      <c r="D16" s="2933"/>
      <c r="E16" s="2932" t="e">
        <f t="shared" si="0"/>
        <v>#DIV/0!</v>
      </c>
      <c r="F16" s="2932" t="e">
        <f t="shared" si="1"/>
        <v>#DIV/0!</v>
      </c>
      <c r="G16" s="2512"/>
      <c r="H16" s="2512"/>
      <c r="I16" s="2933"/>
      <c r="J16" s="2936"/>
    </row>
    <row r="17" spans="1:10">
      <c r="A17" s="2931" t="s">
        <v>2137</v>
      </c>
      <c r="B17" s="2933"/>
      <c r="C17" s="2933"/>
      <c r="D17" s="2933"/>
      <c r="E17" s="2932" t="e">
        <f t="shared" si="0"/>
        <v>#DIV/0!</v>
      </c>
      <c r="F17" s="2932" t="e">
        <f t="shared" si="1"/>
        <v>#DIV/0!</v>
      </c>
      <c r="G17" s="2512"/>
      <c r="H17" s="2512"/>
      <c r="I17" s="2933"/>
      <c r="J17" s="2936"/>
    </row>
    <row r="18" spans="1:10">
      <c r="A18" s="2931" t="s">
        <v>2138</v>
      </c>
      <c r="B18" s="2933"/>
      <c r="C18" s="2933"/>
      <c r="D18" s="2933"/>
      <c r="E18" s="2932" t="e">
        <f t="shared" si="0"/>
        <v>#DIV/0!</v>
      </c>
      <c r="F18" s="2932" t="e">
        <f t="shared" si="1"/>
        <v>#DIV/0!</v>
      </c>
      <c r="G18" s="2933"/>
      <c r="H18" s="2933"/>
      <c r="I18" s="2933"/>
      <c r="J18" s="2936"/>
    </row>
    <row r="19" spans="1:10">
      <c r="A19" s="2931" t="s">
        <v>2139</v>
      </c>
      <c r="B19" s="2933"/>
      <c r="C19" s="2933"/>
      <c r="D19" s="2933"/>
      <c r="E19" s="2932" t="e">
        <f t="shared" si="0"/>
        <v>#DIV/0!</v>
      </c>
      <c r="F19" s="2932" t="e">
        <f t="shared" si="1"/>
        <v>#DIV/0!</v>
      </c>
      <c r="G19" s="2933"/>
      <c r="H19" s="2933"/>
      <c r="I19" s="2933"/>
      <c r="J19" s="2936"/>
    </row>
    <row r="20" spans="1:10">
      <c r="A20" s="2931" t="s">
        <v>2140</v>
      </c>
      <c r="B20" s="2933"/>
      <c r="C20" s="2933"/>
      <c r="D20" s="2933"/>
      <c r="E20" s="2932" t="e">
        <f t="shared" si="0"/>
        <v>#DIV/0!</v>
      </c>
      <c r="F20" s="2932" t="e">
        <f t="shared" si="1"/>
        <v>#DIV/0!</v>
      </c>
      <c r="G20" s="2933"/>
      <c r="H20" s="2933"/>
      <c r="I20" s="2933"/>
      <c r="J20" s="2936"/>
    </row>
    <row r="21" spans="1:10">
      <c r="A21" s="2931" t="s">
        <v>2141</v>
      </c>
      <c r="B21" s="2933"/>
      <c r="C21" s="2933"/>
      <c r="D21" s="2933"/>
      <c r="E21" s="2932" t="e">
        <f t="shared" si="0"/>
        <v>#DIV/0!</v>
      </c>
      <c r="F21" s="2932" t="e">
        <f t="shared" si="1"/>
        <v>#DIV/0!</v>
      </c>
      <c r="G21" s="2933"/>
      <c r="H21" s="2933"/>
      <c r="I21" s="2933"/>
      <c r="J21" s="2936"/>
    </row>
    <row r="22" spans="1:10">
      <c r="A22" s="2931" t="s">
        <v>2142</v>
      </c>
      <c r="B22" s="2933"/>
      <c r="C22" s="2933"/>
      <c r="D22" s="2933"/>
      <c r="E22" s="2932" t="e">
        <f t="shared" si="0"/>
        <v>#DIV/0!</v>
      </c>
      <c r="F22" s="2932" t="e">
        <f t="shared" si="1"/>
        <v>#DIV/0!</v>
      </c>
      <c r="G22" s="2933"/>
      <c r="H22" s="2933"/>
      <c r="I22" s="2933"/>
      <c r="J22" s="2936"/>
    </row>
    <row r="23" spans="1:10">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F24" sqref="F24"/>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6" t="str">
        <f>项目基本情况!K2</f>
        <v>北京市出让国有建设用地使用权</v>
      </c>
      <c r="B2" s="3827"/>
      <c r="C2" s="3828"/>
      <c r="D2" s="3828"/>
      <c r="E2" s="3828"/>
      <c r="F2" s="3828"/>
      <c r="G2" s="3827"/>
      <c r="H2" s="3827"/>
      <c r="I2" s="3829"/>
      <c r="J2" s="1752"/>
      <c r="K2" s="1751"/>
      <c r="L2" s="1751"/>
      <c r="M2" s="1751"/>
      <c r="N2" s="1751"/>
      <c r="O2" s="1751"/>
      <c r="P2" s="1751"/>
      <c r="Q2" s="1751"/>
      <c r="R2" s="1751"/>
      <c r="S2" s="1751"/>
      <c r="T2" s="1751"/>
      <c r="U2" s="1751"/>
      <c r="V2" s="1751"/>
    </row>
    <row r="3" spans="1:22" ht="14.25">
      <c r="A3" s="3837" t="s">
        <v>264</v>
      </c>
      <c r="B3" s="3838"/>
      <c r="C3" s="3838"/>
      <c r="D3" s="3838"/>
      <c r="E3" s="3838"/>
      <c r="F3" s="3838"/>
      <c r="G3" s="3838"/>
      <c r="H3" s="3838"/>
      <c r="I3" s="3838"/>
      <c r="J3" s="1752"/>
      <c r="K3" s="1751"/>
      <c r="L3" s="1751"/>
      <c r="M3" s="1751"/>
      <c r="N3" s="1751"/>
      <c r="O3" s="1751"/>
      <c r="P3" s="1751"/>
      <c r="Q3" s="1751"/>
      <c r="R3" s="1751"/>
      <c r="S3" s="1751"/>
      <c r="T3" s="1751"/>
      <c r="U3" s="1751"/>
      <c r="V3" s="1751"/>
    </row>
    <row r="4" spans="1:22" ht="14.25">
      <c r="A4" s="249" t="s">
        <v>265</v>
      </c>
      <c r="B4" s="250" t="s">
        <v>266</v>
      </c>
      <c r="C4" s="251" t="s">
        <v>3409</v>
      </c>
      <c r="D4" s="251" t="s">
        <v>3410</v>
      </c>
      <c r="E4" s="3801" t="s">
        <v>267</v>
      </c>
      <c r="F4" s="3843"/>
      <c r="G4" s="3843"/>
      <c r="H4" s="3843"/>
      <c r="I4" s="3802"/>
      <c r="J4" s="1752"/>
      <c r="K4" s="1751"/>
      <c r="L4" s="2937"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30" t="s">
        <v>268</v>
      </c>
      <c r="B5" s="3831">
        <v>25</v>
      </c>
      <c r="C5" s="3839"/>
      <c r="D5" s="3842"/>
      <c r="E5" s="252" t="s">
        <v>269</v>
      </c>
      <c r="F5" s="253"/>
      <c r="G5" s="253"/>
      <c r="H5" s="253"/>
      <c r="I5" s="254"/>
      <c r="J5" s="1752"/>
      <c r="K5" s="1751"/>
      <c r="L5" s="1751"/>
      <c r="M5" s="1751"/>
      <c r="N5" s="1751"/>
      <c r="O5" s="1751"/>
      <c r="P5" s="1751"/>
      <c r="Q5" s="1751"/>
      <c r="R5" s="1751"/>
      <c r="S5" s="1751"/>
      <c r="T5" s="1751"/>
      <c r="U5" s="1751"/>
      <c r="V5" s="1751"/>
    </row>
    <row r="6" spans="1:22" ht="14.25">
      <c r="A6" s="3830"/>
      <c r="B6" s="3831"/>
      <c r="C6" s="3840"/>
      <c r="D6" s="3842"/>
      <c r="E6" s="252" t="s">
        <v>270</v>
      </c>
      <c r="F6" s="253"/>
      <c r="G6" s="253"/>
      <c r="H6" s="253"/>
      <c r="I6" s="254"/>
      <c r="J6" s="1752"/>
      <c r="K6" s="1751"/>
      <c r="L6" s="1751"/>
      <c r="M6" s="1751"/>
      <c r="N6" s="1751"/>
      <c r="O6" s="1751"/>
      <c r="P6" s="1751"/>
      <c r="Q6" s="1751"/>
      <c r="R6" s="1751"/>
      <c r="S6" s="1751"/>
      <c r="T6" s="1751"/>
      <c r="U6" s="1751"/>
      <c r="V6" s="1751"/>
    </row>
    <row r="7" spans="1:22" ht="14.25">
      <c r="A7" s="3830"/>
      <c r="B7" s="3831"/>
      <c r="C7" s="3841"/>
      <c r="D7" s="3842"/>
      <c r="E7" s="252" t="s">
        <v>271</v>
      </c>
      <c r="F7" s="253"/>
      <c r="G7" s="253"/>
      <c r="H7" s="253"/>
      <c r="I7" s="254"/>
      <c r="J7" s="1752"/>
      <c r="K7" s="1751"/>
      <c r="L7" s="1751"/>
      <c r="M7" s="1751"/>
      <c r="N7" s="1751"/>
      <c r="O7" s="1751"/>
      <c r="P7" s="1751"/>
      <c r="Q7" s="1751"/>
      <c r="R7" s="1751"/>
      <c r="S7" s="1751"/>
      <c r="T7" s="1751"/>
      <c r="U7" s="1751"/>
      <c r="V7" s="1751"/>
    </row>
    <row r="8" spans="1:22" ht="14.25">
      <c r="A8" s="3830" t="s">
        <v>272</v>
      </c>
      <c r="B8" s="3831">
        <v>15</v>
      </c>
      <c r="C8" s="3839"/>
      <c r="D8" s="3842"/>
      <c r="E8" s="252" t="s">
        <v>273</v>
      </c>
      <c r="F8" s="253"/>
      <c r="G8" s="253"/>
      <c r="H8" s="253"/>
      <c r="I8" s="254"/>
      <c r="J8" s="1752"/>
      <c r="K8" s="1751"/>
      <c r="L8" s="1751"/>
      <c r="M8" s="1751"/>
      <c r="N8" s="1751"/>
      <c r="O8" s="1751"/>
      <c r="P8" s="1751"/>
      <c r="Q8" s="1751"/>
      <c r="R8" s="1751"/>
      <c r="S8" s="1751"/>
      <c r="T8" s="1751"/>
      <c r="U8" s="1751"/>
      <c r="V8" s="1751"/>
    </row>
    <row r="9" spans="1:22" ht="14.25">
      <c r="A9" s="3830"/>
      <c r="B9" s="3831"/>
      <c r="C9" s="3841"/>
      <c r="D9" s="3842"/>
      <c r="E9" s="252" t="s">
        <v>274</v>
      </c>
      <c r="F9" s="253"/>
      <c r="G9" s="253"/>
      <c r="H9" s="253"/>
      <c r="I9" s="254"/>
      <c r="J9" s="1752"/>
      <c r="K9" s="1751"/>
      <c r="L9" s="1751"/>
      <c r="M9" s="1751"/>
      <c r="N9" s="1751"/>
      <c r="O9" s="1751"/>
      <c r="P9" s="1751"/>
      <c r="Q9" s="1751"/>
      <c r="R9" s="1751"/>
      <c r="S9" s="1751"/>
      <c r="T9" s="1751"/>
      <c r="U9" s="1751"/>
      <c r="V9" s="1751"/>
    </row>
    <row r="10" spans="1:22" ht="14.25">
      <c r="A10" s="3830" t="s">
        <v>275</v>
      </c>
      <c r="B10" s="3831">
        <v>15</v>
      </c>
      <c r="C10" s="3839"/>
      <c r="D10" s="3842"/>
      <c r="E10" s="252" t="s">
        <v>276</v>
      </c>
      <c r="F10" s="253"/>
      <c r="G10" s="253"/>
      <c r="H10" s="253"/>
      <c r="I10" s="254"/>
      <c r="J10" s="1752"/>
      <c r="K10" s="1751"/>
      <c r="L10" s="1751"/>
      <c r="M10" s="1751"/>
      <c r="N10" s="1751"/>
      <c r="O10" s="1751"/>
      <c r="P10" s="1751"/>
      <c r="Q10" s="1751"/>
      <c r="R10" s="1751"/>
      <c r="S10" s="1751"/>
      <c r="T10" s="1751"/>
      <c r="U10" s="1751"/>
      <c r="V10" s="1751"/>
    </row>
    <row r="11" spans="1:22" ht="14.25">
      <c r="A11" s="3830"/>
      <c r="B11" s="3831"/>
      <c r="C11" s="3841"/>
      <c r="D11" s="3842"/>
      <c r="E11" s="252" t="s">
        <v>277</v>
      </c>
      <c r="F11" s="253"/>
      <c r="G11" s="253"/>
      <c r="H11" s="253"/>
      <c r="I11" s="254"/>
      <c r="J11" s="1752"/>
      <c r="K11" s="1751"/>
      <c r="L11" s="1751"/>
      <c r="M11" s="1751"/>
      <c r="N11" s="1751"/>
      <c r="O11" s="1751"/>
      <c r="P11" s="1751"/>
      <c r="Q11" s="1751"/>
      <c r="R11" s="1751"/>
      <c r="S11" s="1751"/>
      <c r="T11" s="1751"/>
      <c r="U11" s="1751"/>
      <c r="V11" s="1751"/>
    </row>
    <row r="12" spans="1:22" ht="14.25">
      <c r="A12" s="3830" t="s">
        <v>278</v>
      </c>
      <c r="B12" s="3831">
        <v>15</v>
      </c>
      <c r="C12" s="3839"/>
      <c r="D12" s="3842"/>
      <c r="E12" s="252" t="s">
        <v>279</v>
      </c>
      <c r="F12" s="253"/>
      <c r="G12" s="253"/>
      <c r="H12" s="253"/>
      <c r="I12" s="254"/>
      <c r="J12" s="1752"/>
      <c r="K12" s="1751"/>
      <c r="L12" s="1751"/>
      <c r="M12" s="1751"/>
      <c r="N12" s="1751"/>
      <c r="O12" s="1751"/>
      <c r="P12" s="1751"/>
      <c r="Q12" s="1751"/>
      <c r="R12" s="1751"/>
      <c r="S12" s="1751"/>
      <c r="T12" s="1751"/>
      <c r="U12" s="1751"/>
      <c r="V12" s="1751"/>
    </row>
    <row r="13" spans="1:22" ht="14.25">
      <c r="A13" s="3830"/>
      <c r="B13" s="3831"/>
      <c r="C13" s="3841"/>
      <c r="D13" s="3842"/>
      <c r="E13" s="252" t="s">
        <v>280</v>
      </c>
      <c r="F13" s="253"/>
      <c r="G13" s="253"/>
      <c r="H13" s="253"/>
      <c r="I13" s="254"/>
      <c r="J13" s="1752"/>
      <c r="K13" s="1751"/>
      <c r="L13" s="1751"/>
      <c r="M13" s="1751"/>
      <c r="N13" s="1751"/>
      <c r="O13" s="1751"/>
      <c r="P13" s="1751"/>
      <c r="Q13" s="1751"/>
      <c r="R13" s="1751"/>
      <c r="S13" s="1751"/>
      <c r="T13" s="1751"/>
      <c r="U13" s="1751"/>
      <c r="V13" s="1751"/>
    </row>
    <row r="14" spans="1:22" ht="14.25">
      <c r="A14" s="3830" t="s">
        <v>281</v>
      </c>
      <c r="B14" s="3831">
        <v>30</v>
      </c>
      <c r="C14" s="3839">
        <v>5</v>
      </c>
      <c r="D14" s="3842">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30"/>
      <c r="B15" s="3831"/>
      <c r="C15" s="3840"/>
      <c r="D15" s="3842"/>
      <c r="E15" s="252" t="s">
        <v>283</v>
      </c>
      <c r="F15" s="253"/>
      <c r="G15" s="253"/>
      <c r="H15" s="253"/>
      <c r="I15" s="254"/>
      <c r="J15" s="1752"/>
      <c r="K15" s="1751"/>
      <c r="L15" s="1751"/>
      <c r="M15" s="1751"/>
      <c r="N15" s="1751"/>
      <c r="O15" s="1751"/>
      <c r="P15" s="1751"/>
      <c r="Q15" s="1751"/>
      <c r="R15" s="1751"/>
      <c r="S15" s="1751"/>
      <c r="T15" s="1751"/>
      <c r="U15" s="1751"/>
      <c r="V15" s="1751"/>
    </row>
    <row r="16" spans="1:22" ht="14.25">
      <c r="A16" s="3830"/>
      <c r="B16" s="3831"/>
      <c r="C16" s="3841"/>
      <c r="D16" s="3842"/>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44" t="s">
        <v>2254</v>
      </c>
      <c r="F18" s="3845"/>
      <c r="G18" s="3845"/>
      <c r="H18" s="3845"/>
      <c r="I18" s="3845"/>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255671</v>
      </c>
      <c r="D19" s="262">
        <f ca="1">SUMIF(INDIRECT("'"&amp;D4&amp;"'"&amp;"!A:A"),结果表!B19,INDIRECT("'"&amp;D4&amp;"'"&amp;"!B:B"))</f>
        <v>257608</v>
      </c>
      <c r="E19" s="259" t="s">
        <v>289</v>
      </c>
      <c r="F19" s="260" t="s">
        <v>288</v>
      </c>
      <c r="G19" s="263">
        <f ca="1">ROUND(C19*$C$18+D19*$D$18,0)</f>
        <v>256640</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17443</v>
      </c>
      <c r="D20" s="268">
        <f ca="1">SUMIF(INDIRECT("'"&amp;D4&amp;"'"&amp;"!A:A"),结果表!B20,INDIRECT("'"&amp;D4&amp;"'"&amp;"!B:B"))</f>
        <v>17575</v>
      </c>
      <c r="E20" s="265"/>
      <c r="F20" s="266" t="s">
        <v>291</v>
      </c>
      <c r="G20" s="269">
        <f ca="1">ROUND(C20*$C$18+D20*$D$18,0)</f>
        <v>17509</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36950</v>
      </c>
      <c r="D21" s="144">
        <f ca="1">SUMIF(INDIRECT("'"&amp;D4&amp;"'"&amp;"!A:A"),结果表!B21,INDIRECT("'"&amp;D4&amp;"'"&amp;"!B:B"))</f>
        <v>37230</v>
      </c>
      <c r="E21" s="265"/>
      <c r="F21" s="271" t="s">
        <v>293</v>
      </c>
      <c r="G21" s="273">
        <f ca="1">ROUND(C21*$C$18+D21*$D$18,0)</f>
        <v>37090</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f ca="1">IF(C19&lt;D19,D19/C19-1,C19/D19-1)</f>
        <v>7.5761427772411682E-3</v>
      </c>
      <c r="E22" s="275"/>
      <c r="F22" s="276"/>
      <c r="G22" s="277">
        <f ca="1">ROUND(G19/('数据-汇总表'!D3/666.67),0)</f>
        <v>2473</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03"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50"/>
      <c r="B25" s="1189" t="s">
        <v>297</v>
      </c>
      <c r="C25" s="281">
        <f>IF(B30=0,0,C30)</f>
        <v>0</v>
      </c>
      <c r="D25" s="282"/>
      <c r="E25" s="302"/>
      <c r="F25" s="302"/>
      <c r="G25" s="302"/>
      <c r="H25" s="302"/>
      <c r="I25" s="302"/>
      <c r="J25" s="1751"/>
      <c r="K25" s="1123" t="str">
        <f ca="1">项目基本情况!A17&amp;"国有建设用地使用权价格："&amp;O38&amp;"万元"</f>
        <v>出让国有建设用地使用权价格：256640万元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大写金额：人民币贰拾伍亿陆仟陆佰肆拾万元整</v>
      </c>
      <c r="L26" s="1120"/>
      <c r="M26" s="1120"/>
      <c r="N26" s="1120"/>
      <c r="O26" s="1119"/>
      <c r="P26" s="1751"/>
      <c r="Q26" s="1751"/>
      <c r="R26" s="1751"/>
      <c r="S26" s="1751"/>
      <c r="T26" s="1751"/>
      <c r="U26" s="1751"/>
      <c r="V26" s="1751"/>
      <c r="W26" s="283"/>
      <c r="X26" s="283"/>
      <c r="Y26" s="283"/>
      <c r="Z26" s="283"/>
    </row>
    <row r="27" spans="1:26" ht="18">
      <c r="A27" s="284"/>
      <c r="B27" s="285"/>
      <c r="C27" s="3683" t="s">
        <v>3411</v>
      </c>
      <c r="D27" s="286">
        <f ca="1">G19-面积表、补缴!J6</f>
        <v>253018.68</v>
      </c>
      <c r="E27" s="302"/>
      <c r="F27" s="302"/>
      <c r="G27" s="302"/>
      <c r="H27" s="302"/>
      <c r="I27" s="302"/>
      <c r="J27" s="1751"/>
      <c r="K27" s="1126" t="str">
        <f ca="1">"单位面积地价："&amp;M38&amp;"元/平方米"</f>
        <v>单位面积地价：37090元/平方米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楼面地价：17509元/平方米</v>
      </c>
      <c r="L28" s="1120"/>
      <c r="M28" s="1120"/>
      <c r="N28" s="1120"/>
      <c r="O28" s="1119"/>
      <c r="P28" s="1751"/>
      <c r="V28" s="1751"/>
    </row>
    <row r="29" spans="1:26" ht="18">
      <c r="A29" s="284"/>
      <c r="B29" s="285"/>
      <c r="C29" s="285"/>
      <c r="D29" s="286"/>
      <c r="E29" s="302"/>
      <c r="F29" s="302"/>
      <c r="G29" s="302"/>
      <c r="H29" s="302"/>
      <c r="I29" s="302"/>
      <c r="J29" s="1751"/>
      <c r="K29" s="1126" t="str">
        <f ca="1">IF(OR(项目基本情况!E8="抵押价格",项目基本情况!E8="已注销及未注销"),"抵押价格："&amp;O39&amp;"万元","——")</f>
        <v>抵押价格：256640万元</v>
      </c>
      <c r="L29" s="1120"/>
      <c r="M29" s="1120"/>
      <c r="N29" s="1120"/>
      <c r="O29" s="1119"/>
      <c r="P29" s="1751"/>
      <c r="V29" s="1751"/>
    </row>
    <row r="30" spans="1:26" ht="18.75" thickBot="1">
      <c r="A30" s="2553" t="s">
        <v>302</v>
      </c>
      <c r="B30" s="300"/>
      <c r="C30" s="300"/>
      <c r="D30" s="301"/>
      <c r="E30" s="2744" t="s">
        <v>2255</v>
      </c>
      <c r="F30" s="302"/>
      <c r="G30" s="302"/>
      <c r="H30" s="302"/>
      <c r="I30" s="302"/>
      <c r="J30" s="1751"/>
      <c r="K30" s="1126" t="str">
        <f ca="1">IF(K29="——","——","大写金额：人民币"&amp;NUMBERSTRING(INT(O39*10000),2)&amp;"元整")</f>
        <v>大写金额：人民币贰拾伍亿陆仟陆佰肆拾万元整</v>
      </c>
      <c r="L30" s="1120"/>
      <c r="M30" s="1120"/>
      <c r="N30" s="1120"/>
      <c r="O30" s="1119"/>
      <c r="P30" s="1751"/>
      <c r="V30" s="1751"/>
    </row>
    <row r="31" spans="1:26" ht="24" customHeight="1" thickBot="1">
      <c r="A31" s="3846" t="s">
        <v>2256</v>
      </c>
      <c r="B31" s="3846"/>
      <c r="C31" s="3846"/>
      <c r="D31" s="3846"/>
      <c r="E31" s="3846"/>
      <c r="F31" s="3846"/>
      <c r="G31" s="3846"/>
      <c r="H31" s="3846"/>
      <c r="I31" s="3846"/>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5" t="s">
        <v>1221</v>
      </c>
      <c r="C32" s="257">
        <f ca="1">G19-C24</f>
        <v>256640</v>
      </c>
      <c r="D32" s="2746"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1223</v>
      </c>
      <c r="C33" s="255">
        <f ca="1">ROUND(C32*10000/'数据-汇总表'!E3,0)</f>
        <v>17509</v>
      </c>
      <c r="D33" s="1239" t="s">
        <v>1224</v>
      </c>
      <c r="E33" s="3803" t="s">
        <v>304</v>
      </c>
      <c r="F33" s="287" t="s">
        <v>305</v>
      </c>
      <c r="G33" s="288"/>
      <c r="H33" s="941"/>
      <c r="I33" s="1127"/>
      <c r="J33" s="1751"/>
      <c r="K33" s="1126" t="str">
        <f>IF(项目基本情况!E9="——","——","抵押净值："&amp;C46&amp;"万元")</f>
        <v>抵押净值：——万元</v>
      </c>
      <c r="L33" s="1120"/>
      <c r="M33" s="1120"/>
      <c r="N33" s="1120"/>
      <c r="O33" s="1119"/>
      <c r="P33" s="1751"/>
      <c r="V33" s="1751"/>
    </row>
    <row r="34" spans="1:26" s="1122" customFormat="1" ht="18.75" thickBot="1">
      <c r="A34" s="291"/>
      <c r="B34" s="1240" t="s">
        <v>1225</v>
      </c>
      <c r="C34" s="255">
        <f ca="1">ROUND(C32*10000/'数据-汇总表'!D3,0)</f>
        <v>37090</v>
      </c>
      <c r="D34" s="1241" t="s">
        <v>1224</v>
      </c>
      <c r="E34" s="3804"/>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2473</v>
      </c>
      <c r="D35" s="1244" t="s">
        <v>1226</v>
      </c>
      <c r="E35" s="3805"/>
      <c r="F35" s="292" t="s">
        <v>308</v>
      </c>
      <c r="G35" s="943"/>
      <c r="H35" s="942" t="s">
        <v>309</v>
      </c>
      <c r="I35" s="302"/>
      <c r="J35" s="1751"/>
      <c r="K35" s="3809" t="s">
        <v>316</v>
      </c>
      <c r="L35" s="3809" t="s">
        <v>317</v>
      </c>
      <c r="M35" s="1132" t="s">
        <v>318</v>
      </c>
      <c r="N35" s="3809" t="s">
        <v>319</v>
      </c>
      <c r="O35" s="3809" t="s">
        <v>320</v>
      </c>
      <c r="P35" s="1751"/>
      <c r="V35" s="1751"/>
    </row>
    <row r="36" spans="1:26" ht="16.5" customHeight="1">
      <c r="A36" s="294" t="s">
        <v>310</v>
      </c>
      <c r="B36" s="295" t="s">
        <v>299</v>
      </c>
      <c r="C36" s="296" t="s">
        <v>311</v>
      </c>
      <c r="D36" s="296" t="s">
        <v>312</v>
      </c>
      <c r="E36" s="297" t="s">
        <v>313</v>
      </c>
      <c r="F36" s="302"/>
      <c r="G36" s="302"/>
      <c r="H36" s="302"/>
      <c r="I36" s="302"/>
      <c r="J36" s="1753"/>
      <c r="K36" s="3810"/>
      <c r="L36" s="3810"/>
      <c r="M36" s="1134" t="s">
        <v>321</v>
      </c>
      <c r="N36" s="3810"/>
      <c r="O36" s="3810"/>
      <c r="P36" s="1751"/>
      <c r="V36" s="1751"/>
    </row>
    <row r="37" spans="1:26" ht="16.5" customHeight="1" thickBot="1">
      <c r="A37" s="1128" t="s">
        <v>314</v>
      </c>
      <c r="B37" s="298"/>
      <c r="C37" s="285"/>
      <c r="D37" s="285"/>
      <c r="E37" s="286"/>
      <c r="F37" s="302"/>
      <c r="G37" s="302"/>
      <c r="H37" s="302"/>
      <c r="I37" s="302"/>
      <c r="J37" s="1753"/>
      <c r="K37" s="3811"/>
      <c r="L37" s="3811"/>
      <c r="M37" s="1135"/>
      <c r="N37" s="3811"/>
      <c r="O37" s="3811"/>
      <c r="P37" s="1751"/>
      <c r="V37" s="1751"/>
    </row>
    <row r="38" spans="1:26" ht="16.5" customHeight="1" thickBot="1">
      <c r="A38" s="1128" t="s">
        <v>315</v>
      </c>
      <c r="B38" s="298"/>
      <c r="C38" s="285"/>
      <c r="D38" s="285"/>
      <c r="E38" s="286"/>
      <c r="F38" s="302"/>
      <c r="G38" s="302"/>
      <c r="H38" s="302"/>
      <c r="I38" s="302"/>
      <c r="J38" s="1753"/>
      <c r="K38" s="1136">
        <f>'数据-汇总表'!D3</f>
        <v>69193.56</v>
      </c>
      <c r="L38" s="1137">
        <f>'数据-汇总表'!E3</f>
        <v>146577.54999999999</v>
      </c>
      <c r="M38" s="1137">
        <f ca="1">C34</f>
        <v>37090</v>
      </c>
      <c r="N38" s="1137">
        <f ca="1">C33</f>
        <v>17509</v>
      </c>
      <c r="O38" s="1138">
        <f ca="1">C32</f>
        <v>256640</v>
      </c>
      <c r="P38" s="1751"/>
      <c r="V38" s="1751"/>
    </row>
    <row r="39" spans="1:26" ht="16.5" customHeight="1" thickBot="1">
      <c r="A39" s="1133"/>
      <c r="B39" s="299"/>
      <c r="C39" s="300"/>
      <c r="D39" s="300"/>
      <c r="E39" s="301"/>
      <c r="F39" s="302"/>
      <c r="G39" s="302"/>
      <c r="H39" s="302"/>
      <c r="I39" s="302"/>
      <c r="J39" s="1753"/>
      <c r="K39" s="3822" t="str">
        <f>MID(A44,3,LEN(A44)-2)</f>
        <v>抵押价格</v>
      </c>
      <c r="L39" s="3823"/>
      <c r="M39" s="3823"/>
      <c r="N39" s="3824"/>
      <c r="O39" s="1246">
        <f ca="1">C44</f>
        <v>256640</v>
      </c>
      <c r="P39" s="1751"/>
      <c r="V39" s="1751"/>
    </row>
    <row r="40" spans="1:26" ht="19.5" thickBot="1">
      <c r="A40" s="100" t="s">
        <v>810</v>
      </c>
      <c r="B40" s="302"/>
      <c r="C40" s="302"/>
      <c r="D40" s="302"/>
      <c r="E40" s="302"/>
      <c r="F40" s="302"/>
      <c r="G40" s="302"/>
      <c r="H40" s="302"/>
      <c r="I40" s="302"/>
      <c r="J40" s="1753"/>
      <c r="K40" s="3822" t="str">
        <f>MID(A45,3,LEN(A45)-2)</f>
        <v/>
      </c>
      <c r="L40" s="3823"/>
      <c r="M40" s="3823"/>
      <c r="N40" s="3824"/>
      <c r="O40" s="1246" t="str">
        <f>C45</f>
        <v>——</v>
      </c>
      <c r="P40" s="1751"/>
      <c r="V40" s="1751"/>
    </row>
    <row r="41" spans="1:26" ht="16.5" thickBot="1">
      <c r="A41" s="303" t="s">
        <v>322</v>
      </c>
      <c r="B41" s="304"/>
      <c r="C41" s="305" t="s">
        <v>323</v>
      </c>
      <c r="D41" s="306" t="s">
        <v>324</v>
      </c>
      <c r="E41" s="306" t="s">
        <v>325</v>
      </c>
      <c r="F41" s="307" t="s">
        <v>326</v>
      </c>
      <c r="G41" s="302"/>
      <c r="H41" s="302"/>
      <c r="I41" s="302"/>
      <c r="J41" s="1753"/>
      <c r="K41" s="3822" t="str">
        <f>MID(A46,3,LEN(A46)-2)</f>
        <v/>
      </c>
      <c r="L41" s="3823"/>
      <c r="M41" s="3823"/>
      <c r="N41" s="3824"/>
      <c r="O41" s="1246" t="str">
        <f>C46</f>
        <v>——</v>
      </c>
      <c r="P41" s="1751"/>
      <c r="V41" s="1751"/>
    </row>
    <row r="42" spans="1:26" ht="29.25">
      <c r="A42" s="3851" t="s">
        <v>1585</v>
      </c>
      <c r="B42" s="3852"/>
      <c r="C42" s="255">
        <f ca="1">C32</f>
        <v>256640</v>
      </c>
      <c r="D42" s="308">
        <f ca="1">C33</f>
        <v>17509</v>
      </c>
      <c r="E42" s="308">
        <f ca="1">C34</f>
        <v>37090</v>
      </c>
      <c r="F42" s="309">
        <f ca="1">C35</f>
        <v>2473</v>
      </c>
      <c r="G42" s="302"/>
      <c r="H42" s="302"/>
      <c r="I42" s="310"/>
      <c r="J42" s="1753"/>
      <c r="K42" s="1139" t="s">
        <v>327</v>
      </c>
      <c r="L42" s="1770" t="s">
        <v>328</v>
      </c>
      <c r="M42" s="1140" t="s">
        <v>329</v>
      </c>
      <c r="N42" s="1771" t="s">
        <v>330</v>
      </c>
      <c r="O42" s="1772" t="s">
        <v>331</v>
      </c>
      <c r="P42" s="1751"/>
      <c r="V42" s="1751"/>
    </row>
    <row r="43" spans="1:26" ht="30">
      <c r="A43" s="3861" t="s">
        <v>2012</v>
      </c>
      <c r="B43" s="3862"/>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255671</v>
      </c>
      <c r="M43" s="1143">
        <f>C18</f>
        <v>0.5</v>
      </c>
      <c r="N43" s="1144">
        <f ca="1">IF(N42="测算结果/万元",G19,G20)</f>
        <v>256640</v>
      </c>
      <c r="O43" s="1145">
        <f ca="1">IF(O42="最终结果/万元",C32,C33)</f>
        <v>256640</v>
      </c>
      <c r="P43" s="1751"/>
      <c r="V43" s="1751"/>
    </row>
    <row r="44" spans="1:26" ht="30.75" thickBot="1">
      <c r="A44" s="3851" t="str">
        <f>IF(OR(项目基本情况!E8="抵押价格",项目基本情况!E8="已注销及未注销"),"3.抵押价格","——")</f>
        <v>3.抵押价格</v>
      </c>
      <c r="B44" s="3852"/>
      <c r="C44" s="255">
        <f ca="1">IF(A44="——","——",C42-C43)</f>
        <v>256640</v>
      </c>
      <c r="D44" s="308">
        <f ca="1">ROUND(C44*10000/'数据-汇总表'!E3,0)</f>
        <v>17509</v>
      </c>
      <c r="E44" s="308">
        <f ca="1">ROUND(C44*10000/'数据-汇总表'!D3,0)</f>
        <v>37090</v>
      </c>
      <c r="F44" s="309">
        <f ca="1">ROUND(C44/('数据-汇总表'!D3/666.67),0)</f>
        <v>2473</v>
      </c>
      <c r="G44" s="302"/>
      <c r="H44" s="302"/>
      <c r="I44" s="310"/>
      <c r="J44" s="1753"/>
      <c r="K44" s="1146" t="str">
        <f>D4</f>
        <v>剩余法-待开发</v>
      </c>
      <c r="L44" s="1147">
        <f ca="1">IF(L42="估价结果/万元",D19,D20)</f>
        <v>257608</v>
      </c>
      <c r="M44" s="1148">
        <f>D18</f>
        <v>0.5</v>
      </c>
      <c r="N44" s="1149"/>
      <c r="O44" s="1150"/>
      <c r="P44" s="1751"/>
      <c r="V44" s="1751"/>
    </row>
    <row r="45" spans="1:26" ht="15">
      <c r="A45" s="3856" t="str">
        <f>IF(项目基本情况!E8="已注销及未注销","4.抵押担保权已注销时的抵押价格",IF(项目基本情况!E8="已注销","3.抵押担保权已注销时的抵押价格","——"))</f>
        <v>——</v>
      </c>
      <c r="B45" s="3857"/>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53" t="str">
        <f>IF(项目基本情况!E9="抵押净值",IF(A45="——","4.抵押净值","5.抵押净值"),"——")</f>
        <v>——</v>
      </c>
      <c r="B46" s="3854"/>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14" t="s">
        <v>340</v>
      </c>
      <c r="B63" s="3815"/>
      <c r="C63" s="3816"/>
      <c r="D63" s="332">
        <f ca="1">ROUND(C42*F63,0)</f>
        <v>256640</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58" t="s">
        <v>344</v>
      </c>
      <c r="B64" s="3859"/>
      <c r="C64" s="3859"/>
      <c r="D64" s="3859"/>
      <c r="E64" s="3859"/>
      <c r="F64" s="3859"/>
      <c r="G64" s="3860"/>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855" t="s">
        <v>352</v>
      </c>
      <c r="B66" s="3821"/>
      <c r="C66" s="3821"/>
      <c r="D66" s="252" t="b">
        <f>IF(H66="情况1",0,IF(H66="情况2",D70,IF(H66="情况3",D71,IF(H66="情况4",D72))))</f>
        <v>0</v>
      </c>
      <c r="E66" s="954" t="str">
        <f>IF(H66="情况4","(销售额-原购置价)×税（费）率","销售额×税（费）率")</f>
        <v>销售额×税（费）率</v>
      </c>
      <c r="F66" s="341">
        <f>IF(H66="情况1","免征",'数据-取费表'!B41)</f>
        <v>5.5000000000000007E-2</v>
      </c>
      <c r="G66" s="342" t="s">
        <v>353</v>
      </c>
      <c r="H66" s="184"/>
      <c r="I66" s="1156"/>
      <c r="J66" s="1757"/>
      <c r="K66" s="1159">
        <v>1</v>
      </c>
      <c r="L66" s="3782" t="s">
        <v>351</v>
      </c>
      <c r="M66" s="3783"/>
      <c r="N66" s="2109"/>
      <c r="O66" s="2110"/>
      <c r="P66" s="2111"/>
      <c r="Q66" s="1751"/>
      <c r="R66" s="1751"/>
      <c r="S66" s="1751"/>
      <c r="T66" s="1751"/>
      <c r="U66" s="1751"/>
      <c r="V66" s="1751"/>
    </row>
    <row r="67" spans="1:22" ht="25.5" customHeight="1">
      <c r="A67" s="343" t="s">
        <v>355</v>
      </c>
      <c r="B67" s="3833" t="s">
        <v>356</v>
      </c>
      <c r="C67" s="3833"/>
      <c r="D67" s="344">
        <v>0</v>
      </c>
      <c r="E67" s="39" t="s">
        <v>357</v>
      </c>
      <c r="F67" s="60" t="s">
        <v>15</v>
      </c>
      <c r="G67" s="3817"/>
      <c r="H67" s="2747" t="s">
        <v>2257</v>
      </c>
      <c r="I67" s="2749"/>
      <c r="J67" s="1758"/>
      <c r="K67" s="1730">
        <v>2</v>
      </c>
      <c r="L67" s="3787" t="s">
        <v>354</v>
      </c>
      <c r="M67" s="3787"/>
      <c r="N67" s="1193">
        <f>'数据-取费表'!B2</f>
        <v>44929</v>
      </c>
      <c r="O67" s="1193"/>
      <c r="P67" s="1193"/>
      <c r="Q67" s="1751"/>
      <c r="R67" s="1751"/>
      <c r="S67" s="1751"/>
      <c r="T67" s="1751"/>
      <c r="U67" s="1751"/>
      <c r="V67" s="1751"/>
    </row>
    <row r="68" spans="1:22" ht="25.5" customHeight="1">
      <c r="A68" s="345"/>
      <c r="B68" s="3833" t="s">
        <v>359</v>
      </c>
      <c r="C68" s="3833"/>
      <c r="D68" s="346"/>
      <c r="E68" s="75"/>
      <c r="F68" s="347"/>
      <c r="G68" s="3818"/>
      <c r="H68" s="2748" t="s">
        <v>2258</v>
      </c>
      <c r="I68" s="2749"/>
      <c r="J68" s="1758"/>
      <c r="K68" s="1730">
        <v>3</v>
      </c>
      <c r="L68" s="3787" t="s">
        <v>358</v>
      </c>
      <c r="M68" s="3787"/>
      <c r="N68" s="1161">
        <f ca="1">C42</f>
        <v>256640</v>
      </c>
      <c r="O68" s="1161"/>
      <c r="P68" s="1161"/>
      <c r="Q68" s="1751"/>
      <c r="R68" s="1751"/>
      <c r="S68" s="1751"/>
      <c r="T68" s="1751"/>
      <c r="U68" s="1751"/>
      <c r="V68" s="1751"/>
    </row>
    <row r="69" spans="1:22" ht="23.45" customHeight="1">
      <c r="A69" s="348"/>
      <c r="B69" s="3833" t="s">
        <v>360</v>
      </c>
      <c r="C69" s="3833"/>
      <c r="D69" s="349"/>
      <c r="E69" s="71"/>
      <c r="F69" s="347"/>
      <c r="G69" s="3819"/>
      <c r="H69" s="2748" t="s">
        <v>2259</v>
      </c>
      <c r="I69" s="2749"/>
      <c r="J69" s="1758"/>
      <c r="K69" s="1162">
        <v>4</v>
      </c>
      <c r="L69" s="3788" t="s">
        <v>2157</v>
      </c>
      <c r="M69" s="3789"/>
      <c r="N69" s="1163">
        <f ca="1">C44</f>
        <v>256640</v>
      </c>
      <c r="O69" s="1163"/>
      <c r="P69" s="1163"/>
      <c r="Q69" s="1751"/>
      <c r="R69" s="1751"/>
      <c r="S69" s="1751"/>
      <c r="T69" s="1751"/>
      <c r="U69" s="1751"/>
      <c r="V69" s="1751"/>
    </row>
    <row r="70" spans="1:22" ht="24" customHeight="1">
      <c r="A70" s="350" t="s">
        <v>361</v>
      </c>
      <c r="B70" s="3833" t="s">
        <v>362</v>
      </c>
      <c r="C70" s="3833"/>
      <c r="D70" s="349">
        <f ca="1">ROUND(D63*'数据-取费表'!B41/(1+'数据-取费表'!C42),0)</f>
        <v>13443</v>
      </c>
      <c r="E70" s="15" t="s">
        <v>363</v>
      </c>
      <c r="F70" s="351">
        <f>'数据-取费表'!B41</f>
        <v>5.5000000000000007E-2</v>
      </c>
      <c r="G70" s="352"/>
      <c r="H70" s="302"/>
      <c r="I70" s="1160"/>
      <c r="J70" s="1758"/>
      <c r="K70" s="2520"/>
      <c r="L70" s="2521"/>
      <c r="M70" s="2521"/>
      <c r="N70" s="2522" t="s">
        <v>2161</v>
      </c>
      <c r="O70" s="2521"/>
      <c r="P70" s="2523"/>
      <c r="Q70" s="1751"/>
      <c r="R70" s="1751"/>
      <c r="S70" s="1751"/>
      <c r="T70" s="1751"/>
      <c r="U70" s="1751"/>
      <c r="V70" s="1751"/>
    </row>
    <row r="71" spans="1:22" ht="12" customHeight="1">
      <c r="A71" s="350" t="s">
        <v>369</v>
      </c>
      <c r="B71" s="3832" t="s">
        <v>2286</v>
      </c>
      <c r="C71" s="3849"/>
      <c r="D71" s="349">
        <f ca="1">ROUND(D63*'数据-取费表'!B41/(1+'数据-取费表'!C42),0)</f>
        <v>13443</v>
      </c>
      <c r="E71" s="15" t="s">
        <v>363</v>
      </c>
      <c r="F71" s="351">
        <f>'数据-取费表'!B41</f>
        <v>5.5000000000000007E-2</v>
      </c>
      <c r="G71" s="352"/>
      <c r="H71" s="302"/>
      <c r="I71" s="1160"/>
      <c r="J71" s="1758"/>
      <c r="K71" s="2519" t="s">
        <v>364</v>
      </c>
      <c r="L71" s="3790" t="s">
        <v>365</v>
      </c>
      <c r="M71" s="3790"/>
      <c r="N71" s="2519" t="s">
        <v>366</v>
      </c>
      <c r="O71" s="2519" t="s">
        <v>367</v>
      </c>
      <c r="P71" s="2519" t="s">
        <v>368</v>
      </c>
      <c r="Q71" s="1751"/>
      <c r="R71" s="1751"/>
      <c r="S71" s="1751"/>
      <c r="T71" s="1751"/>
      <c r="U71" s="1751"/>
      <c r="V71" s="1751"/>
    </row>
    <row r="72" spans="1:22" ht="12" customHeight="1">
      <c r="A72" s="350" t="s">
        <v>371</v>
      </c>
      <c r="B72" s="3832" t="s">
        <v>2287</v>
      </c>
      <c r="C72" s="3849"/>
      <c r="D72" s="349">
        <f ca="1">C86</f>
        <v>13443</v>
      </c>
      <c r="E72" s="71" t="s">
        <v>372</v>
      </c>
      <c r="F72" s="351">
        <f>'数据-取费表'!B41</f>
        <v>5.5000000000000007E-2</v>
      </c>
      <c r="G72" s="352"/>
      <c r="H72" s="1166"/>
      <c r="I72" s="1160"/>
      <c r="J72" s="1758"/>
      <c r="K72" s="1730">
        <v>1</v>
      </c>
      <c r="L72" s="3786" t="s">
        <v>370</v>
      </c>
      <c r="M72" s="3786"/>
      <c r="N72" s="1164" t="b">
        <f>D66</f>
        <v>0</v>
      </c>
      <c r="O72" s="1635" t="str">
        <f>E66</f>
        <v>销售额×税（费）率</v>
      </c>
      <c r="P72" s="1165">
        <f>F66</f>
        <v>5.5000000000000007E-2</v>
      </c>
      <c r="Q72" s="1751"/>
      <c r="R72" s="1751"/>
      <c r="S72" s="1751"/>
      <c r="T72" s="1751"/>
      <c r="U72" s="1751"/>
      <c r="V72" s="1751"/>
    </row>
    <row r="73" spans="1:22" ht="24" customHeight="1">
      <c r="A73" s="3820" t="s">
        <v>374</v>
      </c>
      <c r="B73" s="3821"/>
      <c r="C73" s="3821"/>
      <c r="D73" s="353">
        <f ca="1">IF(H73="个人住宅",0,ROUND(D63*I73,0))</f>
        <v>128</v>
      </c>
      <c r="E73" s="15" t="s">
        <v>375</v>
      </c>
      <c r="F73" s="351" t="str">
        <f>IF(H73="正常",I73,"免征")</f>
        <v>免征</v>
      </c>
      <c r="G73" s="352"/>
      <c r="H73" s="184"/>
      <c r="I73" s="351">
        <f>'数据-取费表'!B49</f>
        <v>5.0000000000000001E-4</v>
      </c>
      <c r="J73" s="1758"/>
      <c r="K73" s="1730">
        <v>2</v>
      </c>
      <c r="L73" s="3786" t="s">
        <v>373</v>
      </c>
      <c r="M73" s="3786"/>
      <c r="N73" s="1164">
        <f t="shared" ref="N73:P74" ca="1" si="0">D73</f>
        <v>128</v>
      </c>
      <c r="O73" s="1635" t="str">
        <f t="shared" si="0"/>
        <v>销售额×税（费）率</v>
      </c>
      <c r="P73" s="1165" t="str">
        <f t="shared" si="0"/>
        <v>免征</v>
      </c>
      <c r="Q73" s="1751"/>
      <c r="R73" s="1751"/>
      <c r="S73" s="1751"/>
      <c r="T73" s="1751"/>
      <c r="U73" s="1751"/>
      <c r="V73" s="1751"/>
    </row>
    <row r="74" spans="1:22" ht="24.75">
      <c r="A74" s="3820" t="s">
        <v>377</v>
      </c>
      <c r="B74" s="3821"/>
      <c r="C74" s="3821"/>
      <c r="D74" s="353">
        <f ca="1">IF(H74="个人住宅",D75,D76)</f>
        <v>145491</v>
      </c>
      <c r="E74" s="15" t="s">
        <v>378</v>
      </c>
      <c r="F74" s="351" t="str">
        <f>IF(H74="正常",F76,"免征")</f>
        <v>免征</v>
      </c>
      <c r="G74" s="944" t="s">
        <v>379</v>
      </c>
      <c r="H74" s="354"/>
      <c r="I74" s="40"/>
      <c r="J74" s="1758"/>
      <c r="K74" s="1730">
        <v>3</v>
      </c>
      <c r="L74" s="3786" t="s">
        <v>376</v>
      </c>
      <c r="M74" s="3786"/>
      <c r="N74" s="1164">
        <f t="shared" ca="1" si="0"/>
        <v>145491</v>
      </c>
      <c r="O74" s="1635" t="str">
        <f t="shared" si="0"/>
        <v>增值额×税（费）率</v>
      </c>
      <c r="P74" s="1167" t="str">
        <f t="shared" si="0"/>
        <v>免征</v>
      </c>
      <c r="Q74" s="1751"/>
      <c r="R74" s="1751"/>
      <c r="S74" s="1751"/>
      <c r="T74" s="1751"/>
      <c r="U74" s="1751"/>
      <c r="V74" s="1751"/>
    </row>
    <row r="75" spans="1:22" ht="12.75">
      <c r="A75" s="350" t="s">
        <v>380</v>
      </c>
      <c r="B75" s="3801" t="s">
        <v>381</v>
      </c>
      <c r="C75" s="3802"/>
      <c r="D75" s="355">
        <v>0</v>
      </c>
      <c r="E75" s="39" t="s">
        <v>382</v>
      </c>
      <c r="F75" s="356"/>
      <c r="G75" s="352"/>
      <c r="H75" s="40"/>
      <c r="I75" s="40"/>
      <c r="J75" s="1758"/>
      <c r="K75" s="2513">
        <f>IF(H77="非个人房产","",4)</f>
        <v>4</v>
      </c>
      <c r="L75" s="3786" t="str">
        <f>IF(H77="非个人房产","——","个人所得税")</f>
        <v>个人所得税</v>
      </c>
      <c r="M75" s="3786"/>
      <c r="N75" s="1168">
        <f>D77</f>
        <v>0</v>
      </c>
      <c r="O75" s="1636" t="str">
        <f>E77</f>
        <v>差额计税</v>
      </c>
      <c r="P75" s="1169">
        <f>F77</f>
        <v>0.01</v>
      </c>
      <c r="Q75" s="1751"/>
      <c r="R75" s="1751"/>
      <c r="S75" s="1751"/>
      <c r="T75" s="1751"/>
      <c r="U75" s="1751"/>
      <c r="V75" s="1751"/>
    </row>
    <row r="76" spans="1:22" ht="24.75">
      <c r="A76" s="350" t="s">
        <v>361</v>
      </c>
      <c r="B76" s="3801" t="s">
        <v>384</v>
      </c>
      <c r="C76" s="3843"/>
      <c r="D76" s="353">
        <f ca="1">IF(H76="转让取得",C99,C115)</f>
        <v>145491</v>
      </c>
      <c r="E76" s="15" t="s">
        <v>385</v>
      </c>
      <c r="F76" s="51" t="s">
        <v>15</v>
      </c>
      <c r="G76" s="352"/>
      <c r="H76" s="354"/>
      <c r="I76" s="40"/>
      <c r="J76" s="1758"/>
      <c r="K76" s="2513" t="str">
        <f>IF(项目基本情况!K6="上海银行",IF(K75="",4,K75+1),"")</f>
        <v/>
      </c>
      <c r="L76" s="3797" t="str">
        <f>IF(项目基本情况!K6="上海银行","其他处置费用","")</f>
        <v/>
      </c>
      <c r="M76" s="3798"/>
      <c r="N76" s="1164" t="str">
        <f>IF(项目基本情况!K6="上海银行",N89,"")</f>
        <v/>
      </c>
      <c r="O76" s="3799" t="str">
        <f>IF(项目基本情况!K6="上海银行","包含处置中涉及的律师、诉讼、拍卖、评估等费用","")</f>
        <v/>
      </c>
      <c r="P76" s="3800"/>
      <c r="Q76" s="1751"/>
      <c r="R76" s="1751"/>
      <c r="S76" s="1751"/>
      <c r="T76" s="1751"/>
      <c r="U76" s="1751"/>
      <c r="V76" s="1751"/>
    </row>
    <row r="77" spans="1:22" ht="24.75" thickBot="1">
      <c r="A77" s="3812" t="s">
        <v>387</v>
      </c>
      <c r="B77" s="3813"/>
      <c r="C77" s="3813"/>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5" t="s">
        <v>379</v>
      </c>
      <c r="H77" s="2751"/>
      <c r="I77" s="2750" t="s">
        <v>2260</v>
      </c>
      <c r="J77" s="1758"/>
      <c r="K77" s="3808">
        <f>IF(AND(K75="",K76=""),4,IF(项目基本情况!K6="上海银行",K76+1,K75+1))</f>
        <v>5</v>
      </c>
      <c r="L77" s="3786" t="s">
        <v>2158</v>
      </c>
      <c r="M77" s="2518" t="s">
        <v>383</v>
      </c>
      <c r="N77" s="1170"/>
      <c r="O77" s="1171">
        <f ca="1">SUMIF(N72:N76,"&lt;9e307")</f>
        <v>145619</v>
      </c>
      <c r="P77" s="1172"/>
      <c r="Q77" s="2516">
        <f ca="1">O77/N69</f>
        <v>0.56740570448877803</v>
      </c>
      <c r="R77" s="1751"/>
      <c r="S77" s="1751"/>
      <c r="T77" s="1751"/>
      <c r="U77" s="1751"/>
      <c r="V77" s="1751"/>
    </row>
    <row r="78" spans="1:22" ht="12" customHeight="1">
      <c r="A78" s="1173"/>
      <c r="B78" s="302"/>
      <c r="C78" s="302"/>
      <c r="D78" s="302"/>
      <c r="E78" s="40"/>
      <c r="F78" s="40"/>
      <c r="G78" s="40"/>
      <c r="H78" s="964"/>
      <c r="I78" s="302"/>
      <c r="J78" s="1758"/>
      <c r="K78" s="3808"/>
      <c r="L78" s="3786"/>
      <c r="M78" s="2518" t="s">
        <v>386</v>
      </c>
      <c r="N78" s="1170"/>
      <c r="O78" s="1171" t="str">
        <f ca="1">NUMBERSTRING(INT(O77*10000),2)&amp;"元整"</f>
        <v>壹拾肆亿伍仟陆佰壹拾玖万元整</v>
      </c>
      <c r="P78" s="1172"/>
      <c r="Q78" s="1751"/>
      <c r="R78" s="1751"/>
      <c r="S78" s="1751"/>
      <c r="T78" s="1751"/>
      <c r="U78" s="1751"/>
      <c r="V78" s="1751"/>
    </row>
    <row r="79" spans="1:22" ht="13.5" thickBot="1">
      <c r="A79" s="3863" t="s">
        <v>388</v>
      </c>
      <c r="B79" s="3863"/>
      <c r="C79" s="3863"/>
      <c r="D79" s="3863"/>
      <c r="E79" s="3863"/>
      <c r="F79" s="40"/>
      <c r="G79" s="40"/>
      <c r="H79" s="964"/>
      <c r="I79" s="302"/>
      <c r="J79" s="1758"/>
      <c r="K79" s="3784">
        <f>K77+1</f>
        <v>6</v>
      </c>
      <c r="L79" s="3786" t="s">
        <v>2159</v>
      </c>
      <c r="M79" s="2518" t="s">
        <v>383</v>
      </c>
      <c r="N79" s="1170"/>
      <c r="O79" s="1171">
        <f ca="1">N69-O77</f>
        <v>111021</v>
      </c>
      <c r="P79" s="1172"/>
      <c r="Q79" s="1751"/>
      <c r="R79" s="1751"/>
      <c r="S79" s="1751"/>
      <c r="T79" s="1751"/>
      <c r="U79" s="1751"/>
      <c r="V79" s="1751"/>
    </row>
    <row r="80" spans="1:22" ht="25.5">
      <c r="A80" s="3794" t="s">
        <v>389</v>
      </c>
      <c r="B80" s="3795"/>
      <c r="C80" s="955"/>
      <c r="D80" s="955" t="s">
        <v>390</v>
      </c>
      <c r="E80" s="357" t="s">
        <v>391</v>
      </c>
      <c r="F80" s="40"/>
      <c r="G80" s="40"/>
      <c r="H80" s="964"/>
      <c r="I80" s="302"/>
      <c r="J80" s="1751"/>
      <c r="K80" s="3785"/>
      <c r="L80" s="3786"/>
      <c r="M80" s="2518" t="s">
        <v>386</v>
      </c>
      <c r="N80" s="1170"/>
      <c r="O80" s="1171" t="str">
        <f ca="1">NUMBERSTRING(INT(O79*10000),2)&amp;"元整"</f>
        <v>壹拾壹亿壹仟零贰拾壹万元整</v>
      </c>
      <c r="P80" s="1172"/>
      <c r="Q80" s="1751"/>
      <c r="R80" s="1751"/>
      <c r="S80" s="1751"/>
      <c r="T80" s="1751"/>
      <c r="U80" s="1751"/>
      <c r="V80" s="1751"/>
    </row>
    <row r="81" spans="1:26" ht="13.5" thickBot="1">
      <c r="A81" s="368" t="s">
        <v>1352</v>
      </c>
      <c r="B81" s="358" t="s">
        <v>392</v>
      </c>
      <c r="C81" s="359">
        <f ca="1">ROUND((C82+C83)/(1+'数据-取费表'!C42),0)</f>
        <v>244419</v>
      </c>
      <c r="D81" s="360"/>
      <c r="E81" s="361"/>
      <c r="F81" s="40"/>
      <c r="G81" s="40"/>
      <c r="H81" s="964"/>
      <c r="I81" s="302"/>
      <c r="J81" s="1751"/>
      <c r="K81" s="2513">
        <f>K79+1</f>
        <v>7</v>
      </c>
      <c r="L81" s="3806" t="s">
        <v>2160</v>
      </c>
      <c r="M81" s="3807"/>
      <c r="N81" s="1174"/>
      <c r="O81" s="1175">
        <f ca="1">ROUND(O79*10000/'数据-汇总表'!E3,0)</f>
        <v>7574</v>
      </c>
      <c r="P81" s="1176"/>
      <c r="Q81" s="1751"/>
      <c r="R81" s="1751"/>
      <c r="S81" s="1751"/>
      <c r="T81" s="1751"/>
      <c r="U81" s="1751"/>
      <c r="V81" s="1751"/>
    </row>
    <row r="82" spans="1:26" ht="13.5" thickTop="1">
      <c r="A82" s="362" t="s">
        <v>1353</v>
      </c>
      <c r="B82" s="363" t="s">
        <v>393</v>
      </c>
      <c r="C82" s="364">
        <f ca="1">D63</f>
        <v>256640</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796" t="s">
        <v>2148</v>
      </c>
      <c r="L83" s="2524" t="s">
        <v>2149</v>
      </c>
      <c r="M83" s="2514">
        <f ca="1">IF(N69&gt;10000,N69*0.5%,IF(AND(N69&gt;1000,N69&lt;=10000),N69*1%,IF(AND(N69&gt;100,N69&lt;=1000),N69*3%,IF(AND(N69&gt;10,N69&lt;=100),N69*5%,N69*8%))))</f>
        <v>1283.2</v>
      </c>
      <c r="N83" s="51">
        <f ca="1">ROUND(M83,1)</f>
        <v>1283.2</v>
      </c>
      <c r="O83" s="2517"/>
      <c r="P83" s="1751"/>
      <c r="Q83" s="1751"/>
      <c r="R83" s="1751"/>
      <c r="S83" s="1751"/>
      <c r="T83" s="1751"/>
      <c r="U83" s="1751"/>
      <c r="V83" s="1751"/>
    </row>
    <row r="84" spans="1:26" ht="12.75">
      <c r="A84" s="368" t="s">
        <v>1355</v>
      </c>
      <c r="B84" s="369" t="s">
        <v>395</v>
      </c>
      <c r="C84" s="370"/>
      <c r="D84" s="371" t="s">
        <v>13</v>
      </c>
      <c r="E84" s="2540" t="s">
        <v>2203</v>
      </c>
      <c r="F84" s="40"/>
      <c r="G84" s="40"/>
      <c r="H84" s="964"/>
      <c r="I84" s="302"/>
      <c r="J84" s="1751"/>
      <c r="K84" s="3796"/>
      <c r="L84" s="2524" t="s">
        <v>2150</v>
      </c>
      <c r="M84" s="2514">
        <f ca="1">IF(N69&gt;2000,N69*0.5%,IF(AND(N69&gt;1000,N69&lt;=2000),N69*0.6%,IF(AND(N69&gt;500,N69&lt;=1000),N69*0.7%,IF(AND(N69&gt;200,N69&lt;=500),N69*0.8%,IF(AND(N69&gt;100,N69&lt;=200),N69*0.9%,IF(AND(N69&gt;50,N69&lt;=100),N69*1%,IF(AND(N69&gt;20,N69&lt;=50),N69*1.5%,IF(AND(N69&gt;10,N69&lt;=20),N69*2%,IF(AND(N69&gt;1,N69&lt;=10),N69*2.5%)))))))))</f>
        <v>1283.2</v>
      </c>
      <c r="N84" s="51">
        <f ca="1">ROUND(M84,1)</f>
        <v>1283.2</v>
      </c>
      <c r="O84" s="1751" t="s">
        <v>2151</v>
      </c>
      <c r="P84" s="1751"/>
      <c r="Q84" s="1751"/>
      <c r="R84" s="1751"/>
      <c r="S84" s="1751"/>
      <c r="T84" s="1751"/>
      <c r="U84" s="1751"/>
      <c r="V84" s="1751"/>
    </row>
    <row r="85" spans="1:26" ht="12.75">
      <c r="A85" s="368" t="s">
        <v>1356</v>
      </c>
      <c r="B85" s="369" t="s">
        <v>396</v>
      </c>
      <c r="C85" s="372">
        <f ca="1">C81-C84</f>
        <v>244419</v>
      </c>
      <c r="D85" s="365" t="s">
        <v>13</v>
      </c>
      <c r="E85" s="366"/>
      <c r="F85" s="40"/>
      <c r="G85" s="40"/>
      <c r="H85" s="964"/>
      <c r="I85" s="302"/>
      <c r="J85" s="1751"/>
      <c r="K85" s="3796"/>
      <c r="L85" s="2524" t="s">
        <v>2152</v>
      </c>
      <c r="M85" s="2514">
        <f ca="1">IF(N69&gt;1000,N69*0.1%,IF(AND(N69&gt;500,N69&lt;=1000),N69*0.5%,IF(AND(N69&gt;50,N69&lt;=500),N69*1%,IF(AND(N69&gt;1,N69&lt;=50),N69*1.5%))))</f>
        <v>256.64</v>
      </c>
      <c r="N85" s="51">
        <f ca="1">ROUND(M85,1)</f>
        <v>256.60000000000002</v>
      </c>
      <c r="O85" s="1751" t="s">
        <v>2151</v>
      </c>
      <c r="P85" s="1751"/>
      <c r="Q85" s="1751"/>
      <c r="R85" s="1751"/>
      <c r="S85" s="1751"/>
      <c r="T85" s="1751"/>
      <c r="U85" s="1751"/>
      <c r="V85" s="1751"/>
    </row>
    <row r="86" spans="1:26" ht="13.5" thickBot="1">
      <c r="A86" s="373" t="s">
        <v>1357</v>
      </c>
      <c r="B86" s="374" t="s">
        <v>397</v>
      </c>
      <c r="C86" s="375">
        <f ca="1">IF(C85&lt;=0,0,ROUND(C85*D86,0))</f>
        <v>13443</v>
      </c>
      <c r="D86" s="376">
        <f>'数据-取费表'!B41</f>
        <v>5.5000000000000007E-2</v>
      </c>
      <c r="E86" s="377"/>
      <c r="F86" s="40"/>
      <c r="G86" s="40"/>
      <c r="H86" s="964"/>
      <c r="I86" s="302"/>
      <c r="J86" s="1751"/>
      <c r="K86" s="3796"/>
      <c r="L86" s="2524" t="s">
        <v>2153</v>
      </c>
      <c r="M86" s="2514">
        <f ca="1">N69*0.5%</f>
        <v>1283.2</v>
      </c>
      <c r="N86" s="51">
        <f ca="1">IF(M86&gt;0.5,0.5,ROUND(M86,0))</f>
        <v>0.5</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796"/>
      <c r="L87" s="2524" t="s">
        <v>2155</v>
      </c>
      <c r="M87" s="2514">
        <f ca="1">IF(N69&gt;=10000,(8.25+(N69-10000)*0.01%),IF(AND(N69&gt;=8000,N69&lt;10000),(7.85+(N69-8000)*0.02%),IF(AND(N69&gt;=5000,N69&lt;8000),(6.65+(N69-5000)*0.04%),IF(AND(N69&gt;=2000,N69&lt;5000),(4.25+(PN69-2000)*0.08%),IF(AND(N69&gt;=1000,N69&lt;2000),(2.75+(N69-1000)*0.15%),IF(AND(N69&gt;=100,N69&lt;1000),(0.5+(N69-100)*0.25%),IF(AND(N69&gt;0,N69&lt;100),N69*0.5%)))))))</f>
        <v>32.914000000000001</v>
      </c>
      <c r="N87" s="51">
        <f ca="1">ROUND(M87*0.9,1)</f>
        <v>29.6</v>
      </c>
      <c r="O87" s="2517"/>
      <c r="P87" s="1751"/>
      <c r="Q87" s="1751"/>
      <c r="R87" s="1751"/>
      <c r="S87" s="1751"/>
      <c r="T87" s="1751"/>
      <c r="U87" s="1751"/>
      <c r="V87" s="1751"/>
      <c r="W87" s="283"/>
      <c r="X87" s="283"/>
      <c r="Y87" s="283"/>
      <c r="Z87" s="283"/>
    </row>
    <row r="88" spans="1:26" s="1182" customFormat="1" ht="15" thickBot="1">
      <c r="A88" s="3835" t="s">
        <v>398</v>
      </c>
      <c r="B88" s="3836"/>
      <c r="C88" s="3836"/>
      <c r="D88" s="3836"/>
      <c r="E88" s="3836"/>
      <c r="F88" s="3836"/>
      <c r="G88" s="3836"/>
      <c r="H88" s="3836"/>
      <c r="I88" s="1183"/>
      <c r="J88" s="1759"/>
      <c r="K88" s="3796"/>
      <c r="L88" s="2524" t="s">
        <v>2156</v>
      </c>
      <c r="M88" s="2514">
        <f ca="1">IF(N69&gt;10000,N69*0.5%,IF(AND(N69&gt;5000,N69&lt;=10000),N69*1%,IF(AND(N69&gt;1000,N69&lt;=5000),N69*2%,IF(AND(N69&gt;200,N69&lt;=1000),N69*3%,N69*5%))))</f>
        <v>1283.2</v>
      </c>
      <c r="N88" s="51">
        <f ca="1">ROUND(M88,1)</f>
        <v>1283.2</v>
      </c>
      <c r="O88" s="2517"/>
      <c r="P88" s="1756"/>
      <c r="Q88" s="1756"/>
      <c r="R88" s="1756"/>
      <c r="S88" s="1756"/>
      <c r="T88" s="1756"/>
      <c r="U88" s="1756"/>
      <c r="V88" s="1756"/>
      <c r="W88" s="1760"/>
      <c r="X88" s="1760"/>
      <c r="Y88" s="1760"/>
      <c r="Z88" s="1760"/>
    </row>
    <row r="89" spans="1:26" s="1182" customFormat="1" ht="14.25">
      <c r="A89" s="3794" t="s">
        <v>389</v>
      </c>
      <c r="B89" s="3795"/>
      <c r="C89" s="955"/>
      <c r="D89" s="955" t="s">
        <v>390</v>
      </c>
      <c r="E89" s="378" t="s">
        <v>399</v>
      </c>
      <c r="F89" s="379"/>
      <c r="G89" s="379"/>
      <c r="H89" s="380"/>
      <c r="I89" s="1184"/>
      <c r="J89" s="1761"/>
      <c r="K89" s="3796"/>
      <c r="L89" s="2524" t="s">
        <v>16</v>
      </c>
      <c r="M89" s="2515"/>
      <c r="N89" s="51">
        <f ca="1">ROUND(SUM(N83:N88),0)</f>
        <v>4136</v>
      </c>
      <c r="O89" s="2525">
        <f ca="1">N89/N69</f>
        <v>1.6115960099750623E-2</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244419</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1222</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32" t="s">
        <v>407</v>
      </c>
      <c r="F94" s="3833"/>
      <c r="G94" s="3833"/>
      <c r="H94" s="3834"/>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1222</v>
      </c>
      <c r="D96" s="393">
        <f>'数据-取费表'!B43</f>
        <v>5.000000000000001E-3</v>
      </c>
      <c r="E96" s="3791" t="s">
        <v>1780</v>
      </c>
      <c r="F96" s="3792"/>
      <c r="G96" s="3792"/>
      <c r="H96" s="3793"/>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243197</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199.01554828150572</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145491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35" t="s">
        <v>414</v>
      </c>
      <c r="B101" s="3836"/>
      <c r="C101" s="3836"/>
      <c r="D101" s="3836"/>
      <c r="E101" s="3836"/>
      <c r="F101" s="3836"/>
      <c r="G101" s="3836"/>
      <c r="H101" s="3836"/>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794" t="s">
        <v>389</v>
      </c>
      <c r="B102" s="3795"/>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244419</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1222</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847" t="s">
        <v>2252</v>
      </c>
      <c r="H108" s="3848"/>
      <c r="I108" s="2610"/>
      <c r="J108" s="1756"/>
      <c r="K108" s="2984"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25" t="s">
        <v>422</v>
      </c>
      <c r="F109" s="3792"/>
      <c r="G109" s="3792"/>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25" t="s">
        <v>424</v>
      </c>
      <c r="F110" s="3792"/>
      <c r="G110" s="3792"/>
      <c r="H110" s="3793"/>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1222</v>
      </c>
      <c r="D111" s="393">
        <f>'数据-取费表'!B43</f>
        <v>5.000000000000001E-3</v>
      </c>
      <c r="E111" s="3791" t="s">
        <v>1780</v>
      </c>
      <c r="F111" s="3792"/>
      <c r="G111" s="3792"/>
      <c r="H111" s="3793"/>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25" t="s">
        <v>1799</v>
      </c>
      <c r="F112" s="3792"/>
      <c r="G112" s="3792"/>
      <c r="H112" s="3793"/>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243197</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199.01554828150572</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145491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53" zoomScale="80" zoomScaleNormal="95" zoomScaleSheetLayoutView="80" workbookViewId="0">
      <selection activeCell="B59" sqref="B59"/>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f>F67</f>
        <v>255671</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f>ROUND(B2*10000/'数据-汇总表'!E3,0)</f>
        <v>17443</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f>IF(B48="单位面积地价",C50,ROUND(B2*10000/'数据-汇总表'!D3,0))</f>
        <v>36950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2463</v>
      </c>
      <c r="C5" s="418" t="s">
        <v>429</v>
      </c>
      <c r="D5" s="2962"/>
      <c r="E5" s="3684" t="s">
        <v>3361</v>
      </c>
      <c r="F5" s="2962"/>
      <c r="G5" s="3685" t="s">
        <v>3412</v>
      </c>
      <c r="H5" s="2963"/>
      <c r="I5" s="3685" t="s">
        <v>3413</v>
      </c>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87" t="s">
        <v>471</v>
      </c>
      <c r="D6" s="3888"/>
      <c r="E6" s="3887" t="s">
        <v>472</v>
      </c>
      <c r="F6" s="3888"/>
      <c r="G6" s="3887" t="s">
        <v>473</v>
      </c>
      <c r="H6" s="3888"/>
      <c r="I6" s="3887" t="s">
        <v>474</v>
      </c>
      <c r="J6" s="3888"/>
      <c r="K6" s="484" t="s">
        <v>475</v>
      </c>
      <c r="L6" s="1855"/>
      <c r="M6" s="1854"/>
      <c r="N6" s="1854"/>
      <c r="O6" s="1856"/>
      <c r="P6" s="3889" t="s">
        <v>476</v>
      </c>
      <c r="Q6" s="3890"/>
      <c r="R6" s="3873" t="s">
        <v>472</v>
      </c>
      <c r="S6" s="3874"/>
      <c r="T6" s="3873" t="s">
        <v>473</v>
      </c>
      <c r="U6" s="3874"/>
      <c r="V6" s="3895" t="s">
        <v>474</v>
      </c>
      <c r="W6" s="3895"/>
      <c r="X6" s="1379"/>
      <c r="Y6" s="3873" t="s">
        <v>476</v>
      </c>
      <c r="Z6" s="3874"/>
      <c r="AA6" s="3868" t="s">
        <v>472</v>
      </c>
      <c r="AB6" s="3869" t="s">
        <v>473</v>
      </c>
      <c r="AC6" s="3868" t="s">
        <v>474</v>
      </c>
    </row>
    <row r="7" spans="1:30" ht="20.25">
      <c r="A7" s="485"/>
      <c r="B7" s="486"/>
      <c r="C7" s="3898" t="s">
        <v>2192</v>
      </c>
      <c r="D7" s="3899"/>
      <c r="E7" s="3898" t="str">
        <f>土地案例!A7</f>
        <v>北京市顺义区顺义新城第5街区平各庄旧村改造项目SY00-0005-6046地块R2二类居住用地、SY00-0005-6045地块A334托幼用地</v>
      </c>
      <c r="F7" s="3899"/>
      <c r="G7" s="3898" t="str">
        <f>土地案例!A9</f>
        <v>北京市顺义区顺义新城第13街区SY00-0013-6055、6056地块二类居住用地</v>
      </c>
      <c r="H7" s="3899"/>
      <c r="I7" s="3898" t="str">
        <f>土地案例!A13</f>
        <v>北京市顺义区仁和镇临河村棚户区改造土地开发B片区SY00-0007-6072、6073、6075、6076、6078地块二类居住用地、托幼用地</v>
      </c>
      <c r="J7" s="3899"/>
      <c r="K7" s="484"/>
      <c r="L7" s="1855"/>
      <c r="M7" s="1854"/>
      <c r="N7" s="1854"/>
      <c r="O7" s="1856"/>
      <c r="P7" s="3891"/>
      <c r="Q7" s="3892"/>
      <c r="R7" s="3875"/>
      <c r="S7" s="3876"/>
      <c r="T7" s="3875"/>
      <c r="U7" s="3876"/>
      <c r="V7" s="3895"/>
      <c r="W7" s="3895"/>
      <c r="X7" s="1379"/>
      <c r="Y7" s="3875"/>
      <c r="Z7" s="3876"/>
      <c r="AA7" s="3869"/>
      <c r="AB7" s="3869"/>
      <c r="AC7" s="3869"/>
    </row>
    <row r="8" spans="1:30" ht="21" thickBot="1">
      <c r="A8" s="485"/>
      <c r="B8" s="486"/>
      <c r="C8" s="3900" t="s">
        <v>2196</v>
      </c>
      <c r="D8" s="3901"/>
      <c r="E8" s="3900" t="s">
        <v>2196</v>
      </c>
      <c r="F8" s="3901"/>
      <c r="G8" s="3896" t="s">
        <v>2196</v>
      </c>
      <c r="H8" s="3897"/>
      <c r="I8" s="3896" t="s">
        <v>2196</v>
      </c>
      <c r="J8" s="3897"/>
      <c r="K8" s="484" t="s">
        <v>477</v>
      </c>
      <c r="L8" s="1855"/>
      <c r="M8" s="1854"/>
      <c r="N8" s="1854"/>
      <c r="O8" s="1856"/>
      <c r="P8" s="3893"/>
      <c r="Q8" s="3894"/>
      <c r="R8" s="3875"/>
      <c r="S8" s="3876"/>
      <c r="T8" s="3877"/>
      <c r="U8" s="3878"/>
      <c r="V8" s="3895"/>
      <c r="W8" s="3895"/>
      <c r="X8" s="1379"/>
      <c r="Y8" s="3877"/>
      <c r="Z8" s="3878"/>
      <c r="AA8" s="3870"/>
      <c r="AB8" s="3870"/>
      <c r="AC8" s="3870"/>
    </row>
    <row r="9" spans="1:30" s="1117" customFormat="1" ht="21" thickBot="1">
      <c r="A9" s="2391"/>
      <c r="B9" s="2398" t="s">
        <v>478</v>
      </c>
      <c r="C9" s="2390">
        <f>'数据-取费表'!B2</f>
        <v>44929</v>
      </c>
      <c r="D9" s="490">
        <v>100</v>
      </c>
      <c r="E9" s="491" t="str">
        <f>土地案例!H7</f>
        <v>2022-02-16</v>
      </c>
      <c r="F9" s="492">
        <f>SUMIF(71:71,YEAR(E9)&amp;"-"&amp;INT((MONTH(E9)+2)/3),72:72)</f>
        <v>98</v>
      </c>
      <c r="G9" s="493" t="str">
        <f>土地案例!H9</f>
        <v>2021-01-26</v>
      </c>
      <c r="H9" s="490">
        <f>SUMIF(71:71,YEAR(G9)&amp;"-"&amp;INT((MONTH(G9)+2)/3),72:72)</f>
        <v>96</v>
      </c>
      <c r="I9" s="493" t="str">
        <f>土地案例!H13</f>
        <v>2020-08-27</v>
      </c>
      <c r="J9" s="490">
        <f>SUMIF(71:71,YEAR(I9)&amp;"-"&amp;INT((MONTH(I9)+2)/3),72:72)</f>
        <v>95</v>
      </c>
      <c r="K9" s="494"/>
      <c r="L9" s="1857"/>
      <c r="M9" s="1854"/>
      <c r="N9" s="1854"/>
      <c r="O9" s="1858"/>
      <c r="P9" s="3871" t="s">
        <v>479</v>
      </c>
      <c r="Q9" s="3880"/>
      <c r="R9" s="1380" t="s">
        <v>5</v>
      </c>
      <c r="S9" s="1381">
        <f t="shared" ref="S9:S17" si="0">F9</f>
        <v>98</v>
      </c>
      <c r="T9" s="1380" t="s">
        <v>5</v>
      </c>
      <c r="U9" s="1381">
        <f t="shared" ref="U9:U17" si="1">H9</f>
        <v>96</v>
      </c>
      <c r="V9" s="1380" t="s">
        <v>5</v>
      </c>
      <c r="W9" s="1381">
        <f t="shared" ref="W9:W17" si="2">J9</f>
        <v>95</v>
      </c>
      <c r="X9" s="1382"/>
      <c r="Y9" s="3871" t="s">
        <v>479</v>
      </c>
      <c r="Z9" s="3872"/>
      <c r="AA9" s="1383">
        <f>D9/F9</f>
        <v>1.0204081632653061</v>
      </c>
      <c r="AB9" s="1383">
        <f>D9/H9</f>
        <v>1.0416666666666667</v>
      </c>
      <c r="AC9" s="1383">
        <f>D9/J9</f>
        <v>1.0526315789473684</v>
      </c>
    </row>
    <row r="10" spans="1:30" s="1117" customFormat="1" ht="21" thickBot="1">
      <c r="A10" s="2392"/>
      <c r="B10" s="2399" t="s">
        <v>480</v>
      </c>
      <c r="C10" s="821" t="s">
        <v>481</v>
      </c>
      <c r="D10" s="490">
        <v>100</v>
      </c>
      <c r="E10" s="495" t="s">
        <v>3393</v>
      </c>
      <c r="F10" s="492">
        <f>SUMIF(74:74,E10,75:75)-SUMIF(74:74,C10,75:75)+100</f>
        <v>100</v>
      </c>
      <c r="G10" s="495" t="s">
        <v>3393</v>
      </c>
      <c r="H10" s="490">
        <f>SUMIF(74:74,G10,75:75)-SUMIF(74:74,C10,75:75)+100</f>
        <v>100</v>
      </c>
      <c r="I10" s="495" t="s">
        <v>3393</v>
      </c>
      <c r="J10" s="490">
        <f>SUMIF(74:74,I10,75:75)-SUMIF(74:74,C10,75:75)+100</f>
        <v>100</v>
      </c>
      <c r="K10" s="494"/>
      <c r="L10" s="1857"/>
      <c r="M10" s="1854"/>
      <c r="N10" s="1854"/>
      <c r="O10" s="1858"/>
      <c r="P10" s="3871" t="s">
        <v>482</v>
      </c>
      <c r="Q10" s="3872"/>
      <c r="R10" s="1380" t="s">
        <v>5</v>
      </c>
      <c r="S10" s="1381">
        <f t="shared" si="0"/>
        <v>100</v>
      </c>
      <c r="T10" s="1380" t="s">
        <v>5</v>
      </c>
      <c r="U10" s="1381">
        <f t="shared" si="1"/>
        <v>100</v>
      </c>
      <c r="V10" s="1380" t="s">
        <v>5</v>
      </c>
      <c r="W10" s="1381">
        <f t="shared" si="2"/>
        <v>100</v>
      </c>
      <c r="X10" s="1382"/>
      <c r="Y10" s="3871" t="s">
        <v>482</v>
      </c>
      <c r="Z10" s="3872"/>
      <c r="AA10" s="1383">
        <f t="shared" ref="AA10:AA47" si="3">D10/F10</f>
        <v>1</v>
      </c>
      <c r="AB10" s="1383">
        <f t="shared" ref="AB10:AB47" si="4">D10/H10</f>
        <v>1</v>
      </c>
      <c r="AC10" s="1383">
        <f t="shared" ref="AC10:AC47" si="5">D10/J10</f>
        <v>1</v>
      </c>
    </row>
    <row r="11" spans="1:30" s="1117" customFormat="1" ht="20.25">
      <c r="A11" s="2393"/>
      <c r="B11" s="2400" t="s">
        <v>2038</v>
      </c>
      <c r="C11" s="2387" t="s">
        <v>851</v>
      </c>
      <c r="D11" s="245">
        <v>100</v>
      </c>
      <c r="E11" s="2387" t="s">
        <v>851</v>
      </c>
      <c r="F11" s="245">
        <f>SUMIF(76:76,E11,77:77)-SUMIF(76:76,C11,77:77)+100</f>
        <v>100</v>
      </c>
      <c r="G11" s="2387" t="s">
        <v>851</v>
      </c>
      <c r="H11" s="245">
        <f>SUMIF(76:76,G11,77:77)-SUMIF(76:76,C11,77:77)+100</f>
        <v>100</v>
      </c>
      <c r="I11" s="2387" t="s">
        <v>851</v>
      </c>
      <c r="J11" s="245">
        <f>SUMIF(76:76,I11,77:77)-SUMIF(76:76,C11,77:77)+100</f>
        <v>100</v>
      </c>
      <c r="K11" s="494"/>
      <c r="L11" s="1857"/>
      <c r="M11" s="1854"/>
      <c r="N11" s="1854"/>
      <c r="O11" s="1859"/>
      <c r="P11" s="3879" t="s">
        <v>484</v>
      </c>
      <c r="Q11" s="1049" t="str">
        <f t="shared" ref="Q11:Q17" si="6">B11</f>
        <v>用途</v>
      </c>
      <c r="R11" s="1380" t="s">
        <v>5</v>
      </c>
      <c r="S11" s="1381">
        <f t="shared" si="0"/>
        <v>100</v>
      </c>
      <c r="T11" s="1380" t="s">
        <v>5</v>
      </c>
      <c r="U11" s="1381">
        <f t="shared" si="1"/>
        <v>100</v>
      </c>
      <c r="V11" s="1380" t="s">
        <v>5</v>
      </c>
      <c r="W11" s="1381">
        <f t="shared" si="2"/>
        <v>100</v>
      </c>
      <c r="X11" s="1382"/>
      <c r="Y11" s="3831" t="s">
        <v>485</v>
      </c>
      <c r="Z11" s="1048" t="str">
        <f t="shared" ref="Z11:Z17" si="7">Q11</f>
        <v>用途</v>
      </c>
      <c r="AA11" s="1383">
        <f t="shared" si="3"/>
        <v>1</v>
      </c>
      <c r="AB11" s="1383">
        <f t="shared" si="4"/>
        <v>1</v>
      </c>
      <c r="AC11" s="1383">
        <f t="shared" si="5"/>
        <v>1</v>
      </c>
    </row>
    <row r="12" spans="1:30" s="1198" customFormat="1" ht="27">
      <c r="A12" s="2394"/>
      <c r="B12" s="2399" t="s">
        <v>2039</v>
      </c>
      <c r="C12" s="872"/>
      <c r="D12" s="246">
        <v>100</v>
      </c>
      <c r="E12" s="499"/>
      <c r="F12" s="246">
        <f>ROUND(100/'数据-取费表'!G16,0)</f>
        <v>100</v>
      </c>
      <c r="G12" s="500"/>
      <c r="H12" s="246">
        <f>ROUND(100/'数据-取费表'!G16,0)</f>
        <v>100</v>
      </c>
      <c r="I12" s="500"/>
      <c r="J12" s="246">
        <f>ROUND(100/'数据-取费表'!G16,0)</f>
        <v>100</v>
      </c>
      <c r="K12" s="501"/>
      <c r="L12" s="1860"/>
      <c r="M12" s="1854"/>
      <c r="N12" s="1854"/>
      <c r="O12" s="1861"/>
      <c r="P12" s="3879"/>
      <c r="Q12" s="1049" t="str">
        <f t="shared" si="6"/>
        <v>土地使用年限（年）</v>
      </c>
      <c r="R12" s="1380" t="s">
        <v>5</v>
      </c>
      <c r="S12" s="1381">
        <f t="shared" si="0"/>
        <v>100</v>
      </c>
      <c r="T12" s="1380" t="s">
        <v>5</v>
      </c>
      <c r="U12" s="1381">
        <f t="shared" si="1"/>
        <v>100</v>
      </c>
      <c r="V12" s="1380" t="s">
        <v>5</v>
      </c>
      <c r="W12" s="1381">
        <f t="shared" si="2"/>
        <v>100</v>
      </c>
      <c r="X12" s="1382"/>
      <c r="Y12" s="3831"/>
      <c r="Z12" s="1048" t="str">
        <f t="shared" si="7"/>
        <v>土地使用年限（年）</v>
      </c>
      <c r="AA12" s="1383">
        <f t="shared" si="3"/>
        <v>1</v>
      </c>
      <c r="AB12" s="1383">
        <f t="shared" si="4"/>
        <v>1</v>
      </c>
      <c r="AC12" s="1383">
        <f t="shared" si="5"/>
        <v>1</v>
      </c>
    </row>
    <row r="13" spans="1:30" ht="20.25">
      <c r="A13" s="2395"/>
      <c r="B13" s="2399" t="s">
        <v>2040</v>
      </c>
      <c r="C13" s="504">
        <v>1.6</v>
      </c>
      <c r="D13" s="246">
        <v>100</v>
      </c>
      <c r="E13" s="503">
        <v>2</v>
      </c>
      <c r="F13" s="246">
        <f>LOOKUP(E13,81:81,82:82)-LOOKUP(C13,81:81,82:82)+100</f>
        <v>98</v>
      </c>
      <c r="G13" s="504">
        <v>1.6</v>
      </c>
      <c r="H13" s="246">
        <f>LOOKUP(G13,81:81,82:82)-LOOKUP(C13,81:81,82:82)+100</f>
        <v>100</v>
      </c>
      <c r="I13" s="503">
        <v>1.6</v>
      </c>
      <c r="J13" s="246">
        <f>LOOKUP(I13,81:81,82:82)-LOOKUP(C13,81:81,82:82)+100</f>
        <v>100</v>
      </c>
      <c r="K13" s="505">
        <v>2</v>
      </c>
      <c r="L13" s="1862"/>
      <c r="M13" s="1854"/>
      <c r="N13" s="1854"/>
      <c r="O13" s="1863"/>
      <c r="P13" s="3879"/>
      <c r="Q13" s="1049" t="str">
        <f t="shared" si="6"/>
        <v>容积率</v>
      </c>
      <c r="R13" s="1380" t="s">
        <v>5</v>
      </c>
      <c r="S13" s="1381">
        <f t="shared" si="0"/>
        <v>98</v>
      </c>
      <c r="T13" s="1380" t="s">
        <v>5</v>
      </c>
      <c r="U13" s="1381">
        <f t="shared" si="1"/>
        <v>100</v>
      </c>
      <c r="V13" s="1380" t="s">
        <v>5</v>
      </c>
      <c r="W13" s="1381">
        <f t="shared" si="2"/>
        <v>100</v>
      </c>
      <c r="X13" s="1382"/>
      <c r="Y13" s="3831"/>
      <c r="Z13" s="1048" t="str">
        <f t="shared" si="7"/>
        <v>容积率</v>
      </c>
      <c r="AA13" s="1383">
        <f t="shared" si="3"/>
        <v>1.0204081632653061</v>
      </c>
      <c r="AB13" s="1383">
        <f t="shared" si="4"/>
        <v>1</v>
      </c>
      <c r="AC13" s="1383">
        <f t="shared" si="5"/>
        <v>1</v>
      </c>
    </row>
    <row r="14" spans="1:30" s="1117" customFormat="1" ht="20.25">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879"/>
      <c r="Q14" s="1049" t="str">
        <f t="shared" si="6"/>
        <v>配建</v>
      </c>
      <c r="R14" s="1380" t="s">
        <v>5</v>
      </c>
      <c r="S14" s="1381">
        <f t="shared" si="0"/>
        <v>100</v>
      </c>
      <c r="T14" s="1380" t="s">
        <v>5</v>
      </c>
      <c r="U14" s="1381">
        <f t="shared" si="1"/>
        <v>100</v>
      </c>
      <c r="V14" s="1380" t="s">
        <v>5</v>
      </c>
      <c r="W14" s="1381">
        <f t="shared" si="2"/>
        <v>100</v>
      </c>
      <c r="X14" s="1382"/>
      <c r="Y14" s="3831"/>
      <c r="Z14" s="1048" t="str">
        <f t="shared" si="7"/>
        <v>配建</v>
      </c>
      <c r="AA14" s="1383">
        <f>D14/F14</f>
        <v>1</v>
      </c>
      <c r="AB14" s="1383">
        <f>D14/H14</f>
        <v>1</v>
      </c>
      <c r="AC14" s="1383">
        <f>D14/J14</f>
        <v>1</v>
      </c>
    </row>
    <row r="15" spans="1:30" ht="20.25">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79"/>
      <c r="Q15" s="1049">
        <f t="shared" si="6"/>
        <v>111</v>
      </c>
      <c r="R15" s="1380" t="s">
        <v>5</v>
      </c>
      <c r="S15" s="1381">
        <f t="shared" si="0"/>
        <v>100</v>
      </c>
      <c r="T15" s="1380" t="s">
        <v>5</v>
      </c>
      <c r="U15" s="1381">
        <f t="shared" si="1"/>
        <v>100</v>
      </c>
      <c r="V15" s="1380" t="s">
        <v>5</v>
      </c>
      <c r="W15" s="1381">
        <f t="shared" si="2"/>
        <v>100</v>
      </c>
      <c r="X15" s="1382"/>
      <c r="Y15" s="3831"/>
      <c r="Z15" s="1048">
        <f t="shared" si="7"/>
        <v>111</v>
      </c>
      <c r="AA15" s="1383">
        <f>D15/F15</f>
        <v>1</v>
      </c>
      <c r="AB15" s="1383">
        <f>D15/H15</f>
        <v>1</v>
      </c>
      <c r="AC15" s="1383">
        <f>D15/J15</f>
        <v>1</v>
      </c>
    </row>
    <row r="16" spans="1:30" ht="2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79"/>
      <c r="Q16" s="1049">
        <f t="shared" si="6"/>
        <v>111</v>
      </c>
      <c r="R16" s="1380" t="s">
        <v>5</v>
      </c>
      <c r="S16" s="1381">
        <f t="shared" si="0"/>
        <v>100</v>
      </c>
      <c r="T16" s="1380" t="s">
        <v>5</v>
      </c>
      <c r="U16" s="1381">
        <f t="shared" si="1"/>
        <v>100</v>
      </c>
      <c r="V16" s="1380" t="s">
        <v>5</v>
      </c>
      <c r="W16" s="1381">
        <f t="shared" si="2"/>
        <v>100</v>
      </c>
      <c r="X16" s="1382"/>
      <c r="Y16" s="3831"/>
      <c r="Z16" s="1048">
        <f t="shared" si="7"/>
        <v>111</v>
      </c>
      <c r="AA16" s="1383">
        <f>D16/F16</f>
        <v>1</v>
      </c>
      <c r="AB16" s="1383">
        <f>D16/H16</f>
        <v>1</v>
      </c>
      <c r="AC16" s="1383">
        <f>D16/J16</f>
        <v>1</v>
      </c>
    </row>
    <row r="17" spans="1:29" ht="99.75">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98</v>
      </c>
      <c r="K17" s="505">
        <v>2</v>
      </c>
      <c r="L17" s="1864"/>
      <c r="M17" s="1854"/>
      <c r="N17" s="1854"/>
      <c r="O17" s="1863"/>
      <c r="P17" s="3881" t="s">
        <v>489</v>
      </c>
      <c r="Q17" s="1384" t="str">
        <f t="shared" si="6"/>
        <v>居住社区成熟度</v>
      </c>
      <c r="R17" s="1385" t="s">
        <v>5</v>
      </c>
      <c r="S17" s="1386">
        <f t="shared" si="0"/>
        <v>100</v>
      </c>
      <c r="T17" s="1385" t="s">
        <v>5</v>
      </c>
      <c r="U17" s="1386">
        <f t="shared" si="1"/>
        <v>100</v>
      </c>
      <c r="V17" s="1385" t="s">
        <v>5</v>
      </c>
      <c r="W17" s="1386">
        <f t="shared" si="2"/>
        <v>98</v>
      </c>
      <c r="X17" s="1379"/>
      <c r="Y17" s="3881" t="s">
        <v>489</v>
      </c>
      <c r="Z17" s="1387" t="str">
        <f t="shared" si="7"/>
        <v>居住社区成熟度</v>
      </c>
      <c r="AA17" s="1388">
        <f t="shared" si="3"/>
        <v>1</v>
      </c>
      <c r="AB17" s="1388">
        <f t="shared" si="4"/>
        <v>1</v>
      </c>
      <c r="AC17" s="1388">
        <f t="shared" si="5"/>
        <v>1.0204081632653061</v>
      </c>
    </row>
    <row r="18" spans="1:29" ht="20.25">
      <c r="A18" s="502"/>
      <c r="B18" s="523"/>
      <c r="C18" s="524" t="s">
        <v>3404</v>
      </c>
      <c r="D18" s="527"/>
      <c r="E18" s="528" t="s">
        <v>3404</v>
      </c>
      <c r="F18" s="525"/>
      <c r="G18" s="526" t="s">
        <v>3404</v>
      </c>
      <c r="H18" s="529"/>
      <c r="I18" s="528" t="s">
        <v>3407</v>
      </c>
      <c r="J18" s="525"/>
      <c r="K18" s="501"/>
      <c r="L18" s="1864"/>
      <c r="M18" s="1854"/>
      <c r="N18" s="1854"/>
      <c r="O18" s="1863"/>
      <c r="P18" s="3882"/>
      <c r="Q18" s="1384"/>
      <c r="R18" s="1385"/>
      <c r="S18" s="1386"/>
      <c r="T18" s="1385"/>
      <c r="U18" s="1386"/>
      <c r="V18" s="1385"/>
      <c r="W18" s="1386"/>
      <c r="X18" s="1379"/>
      <c r="Y18" s="3882"/>
      <c r="Z18" s="1387"/>
      <c r="AA18" s="1388">
        <v>1</v>
      </c>
      <c r="AB18" s="1388">
        <v>1</v>
      </c>
      <c r="AC18" s="1388">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99</v>
      </c>
      <c r="G19" s="532"/>
      <c r="H19" s="535">
        <f>SUMIF(91:91,G20,92:92)-SUMIF(91:91,C20,92:92)+100</f>
        <v>99</v>
      </c>
      <c r="I19" s="534"/>
      <c r="J19" s="535">
        <f>SUMIF(91:91,I20,92:92)-SUMIF(91:91,C20,92:92)+100</f>
        <v>99</v>
      </c>
      <c r="K19" s="505">
        <v>1</v>
      </c>
      <c r="L19" s="1864"/>
      <c r="M19" s="1854"/>
      <c r="N19" s="1854"/>
      <c r="O19" s="1863"/>
      <c r="P19" s="3882"/>
      <c r="Q19" s="1384" t="str">
        <f>B19</f>
        <v>商业繁华度</v>
      </c>
      <c r="R19" s="1385" t="s">
        <v>5</v>
      </c>
      <c r="S19" s="1386">
        <f>F19</f>
        <v>99</v>
      </c>
      <c r="T19" s="1385" t="s">
        <v>5</v>
      </c>
      <c r="U19" s="1386">
        <f>H19</f>
        <v>99</v>
      </c>
      <c r="V19" s="1385" t="s">
        <v>5</v>
      </c>
      <c r="W19" s="1386">
        <f>J19</f>
        <v>99</v>
      </c>
      <c r="X19" s="1379"/>
      <c r="Y19" s="3882"/>
      <c r="Z19" s="1387" t="str">
        <f>Q19</f>
        <v>商业繁华度</v>
      </c>
      <c r="AA19" s="1388">
        <f t="shared" si="3"/>
        <v>1.0101010101010102</v>
      </c>
      <c r="AB19" s="1388">
        <f t="shared" si="4"/>
        <v>1.0101010101010102</v>
      </c>
      <c r="AC19" s="1388">
        <f t="shared" si="5"/>
        <v>1.0101010101010102</v>
      </c>
    </row>
    <row r="20" spans="1:29" ht="20.25">
      <c r="A20" s="502"/>
      <c r="B20" s="536"/>
      <c r="C20" s="537" t="s">
        <v>3404</v>
      </c>
      <c r="D20" s="533"/>
      <c r="E20" s="539" t="s">
        <v>3407</v>
      </c>
      <c r="F20" s="529"/>
      <c r="G20" s="538" t="s">
        <v>3407</v>
      </c>
      <c r="H20" s="525"/>
      <c r="I20" s="539" t="s">
        <v>3407</v>
      </c>
      <c r="J20" s="525"/>
      <c r="K20" s="501"/>
      <c r="L20" s="1864"/>
      <c r="M20" s="1854"/>
      <c r="N20" s="1854"/>
      <c r="O20" s="1863"/>
      <c r="P20" s="3882"/>
      <c r="Q20" s="1384"/>
      <c r="R20" s="1385"/>
      <c r="S20" s="1386"/>
      <c r="T20" s="1385"/>
      <c r="U20" s="1386"/>
      <c r="V20" s="1385"/>
      <c r="W20" s="1386"/>
      <c r="X20" s="1379"/>
      <c r="Y20" s="3882"/>
      <c r="Z20" s="1387"/>
      <c r="AA20" s="1388">
        <v>1</v>
      </c>
      <c r="AB20" s="1388">
        <v>1</v>
      </c>
      <c r="AC20" s="1388">
        <v>1</v>
      </c>
    </row>
    <row r="21" spans="1:29" ht="71.25" hidden="1">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82"/>
      <c r="Q21" s="1384" t="str">
        <f>B21</f>
        <v>办公集聚程度</v>
      </c>
      <c r="R21" s="1385" t="s">
        <v>5</v>
      </c>
      <c r="S21" s="1386">
        <f>F21</f>
        <v>100</v>
      </c>
      <c r="T21" s="1385" t="s">
        <v>5</v>
      </c>
      <c r="U21" s="1386">
        <f>H21</f>
        <v>100</v>
      </c>
      <c r="V21" s="1385" t="s">
        <v>5</v>
      </c>
      <c r="W21" s="1386">
        <f>J21</f>
        <v>100</v>
      </c>
      <c r="X21" s="1379"/>
      <c r="Y21" s="3882"/>
      <c r="Z21" s="1387" t="str">
        <f>Q21</f>
        <v>办公集聚程度</v>
      </c>
      <c r="AA21" s="1388">
        <f t="shared" si="3"/>
        <v>1</v>
      </c>
      <c r="AB21" s="1388">
        <f t="shared" si="4"/>
        <v>1</v>
      </c>
      <c r="AC21" s="1388">
        <f t="shared" si="5"/>
        <v>1</v>
      </c>
    </row>
    <row r="22" spans="1:29" ht="20.25" hidden="1">
      <c r="A22" s="502"/>
      <c r="B22" s="536"/>
      <c r="C22" s="524"/>
      <c r="D22" s="527"/>
      <c r="E22" s="528"/>
      <c r="F22" s="525"/>
      <c r="G22" s="526"/>
      <c r="H22" s="525"/>
      <c r="I22" s="528"/>
      <c r="J22" s="525"/>
      <c r="K22" s="501"/>
      <c r="L22" s="1864"/>
      <c r="M22" s="1854"/>
      <c r="N22" s="1854"/>
      <c r="O22" s="1863"/>
      <c r="P22" s="3882"/>
      <c r="Q22" s="1384"/>
      <c r="R22" s="1385"/>
      <c r="S22" s="1386"/>
      <c r="T22" s="1385"/>
      <c r="U22" s="1386"/>
      <c r="V22" s="1385"/>
      <c r="W22" s="1386"/>
      <c r="X22" s="1379"/>
      <c r="Y22" s="3882"/>
      <c r="Z22" s="1387"/>
      <c r="AA22" s="1388">
        <v>1</v>
      </c>
      <c r="AB22" s="1388">
        <v>1</v>
      </c>
      <c r="AC22" s="1388">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v>2</v>
      </c>
      <c r="L23" s="1864"/>
      <c r="M23" s="1854"/>
      <c r="N23" s="1854"/>
      <c r="O23" s="1863"/>
      <c r="P23" s="3882"/>
      <c r="Q23" s="1384" t="str">
        <f>B23</f>
        <v>交通便捷度</v>
      </c>
      <c r="R23" s="1385" t="s">
        <v>5</v>
      </c>
      <c r="S23" s="1386">
        <f>F23</f>
        <v>100</v>
      </c>
      <c r="T23" s="1385" t="s">
        <v>5</v>
      </c>
      <c r="U23" s="1386">
        <f>H23</f>
        <v>100</v>
      </c>
      <c r="V23" s="1385" t="s">
        <v>5</v>
      </c>
      <c r="W23" s="1386">
        <f>J23</f>
        <v>100</v>
      </c>
      <c r="X23" s="1379"/>
      <c r="Y23" s="3882"/>
      <c r="Z23" s="1387" t="str">
        <f>Q23</f>
        <v>交通便捷度</v>
      </c>
      <c r="AA23" s="1388">
        <f t="shared" si="3"/>
        <v>1</v>
      </c>
      <c r="AB23" s="1388">
        <f t="shared" si="4"/>
        <v>1</v>
      </c>
      <c r="AC23" s="1388">
        <f t="shared" si="5"/>
        <v>1</v>
      </c>
    </row>
    <row r="24" spans="1:29" ht="20.25">
      <c r="A24" s="502"/>
      <c r="B24" s="548"/>
      <c r="C24" s="524" t="s">
        <v>3404</v>
      </c>
      <c r="D24" s="527"/>
      <c r="E24" s="524" t="s">
        <v>3404</v>
      </c>
      <c r="F24" s="525"/>
      <c r="G24" s="524" t="s">
        <v>3404</v>
      </c>
      <c r="H24" s="525"/>
      <c r="I24" s="524" t="s">
        <v>3404</v>
      </c>
      <c r="J24" s="525"/>
      <c r="K24" s="501"/>
      <c r="L24" s="1864"/>
      <c r="M24" s="1854"/>
      <c r="N24" s="1854"/>
      <c r="O24" s="1863"/>
      <c r="P24" s="3882"/>
      <c r="Q24" s="1384"/>
      <c r="R24" s="1385"/>
      <c r="S24" s="1386"/>
      <c r="T24" s="1385"/>
      <c r="U24" s="1386"/>
      <c r="V24" s="1385"/>
      <c r="W24" s="1386"/>
      <c r="X24" s="1379"/>
      <c r="Y24" s="3882"/>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82"/>
      <c r="Q25" s="1384" t="str">
        <f t="shared" ref="Q25:Q39" si="8">B25</f>
        <v>区域土地利用方向</v>
      </c>
      <c r="R25" s="1385" t="s">
        <v>5</v>
      </c>
      <c r="S25" s="1386">
        <f>F25</f>
        <v>100</v>
      </c>
      <c r="T25" s="1385" t="s">
        <v>5</v>
      </c>
      <c r="U25" s="1386">
        <f>H25</f>
        <v>100</v>
      </c>
      <c r="V25" s="1385" t="s">
        <v>5</v>
      </c>
      <c r="W25" s="1386">
        <f>J25</f>
        <v>100</v>
      </c>
      <c r="X25" s="1379"/>
      <c r="Y25" s="3882"/>
      <c r="Z25" s="1387" t="str">
        <f>Q25</f>
        <v>区域土地利用方向</v>
      </c>
      <c r="AA25" s="1388">
        <f t="shared" si="3"/>
        <v>1</v>
      </c>
      <c r="AB25" s="1388">
        <f t="shared" si="4"/>
        <v>1</v>
      </c>
      <c r="AC25" s="1388">
        <f t="shared" si="5"/>
        <v>1</v>
      </c>
    </row>
    <row r="26" spans="1:29" ht="20.25">
      <c r="A26" s="485"/>
      <c r="B26" s="967"/>
      <c r="C26" s="524" t="s">
        <v>3404</v>
      </c>
      <c r="D26" s="527"/>
      <c r="E26" s="524" t="s">
        <v>3404</v>
      </c>
      <c r="F26" s="525"/>
      <c r="G26" s="524" t="s">
        <v>3404</v>
      </c>
      <c r="H26" s="525"/>
      <c r="I26" s="524" t="s">
        <v>3404</v>
      </c>
      <c r="J26" s="525"/>
      <c r="K26" s="501"/>
      <c r="L26" s="1864"/>
      <c r="M26" s="1854"/>
      <c r="N26" s="1854"/>
      <c r="O26" s="1863"/>
      <c r="P26" s="3882"/>
      <c r="Q26" s="1384"/>
      <c r="R26" s="1385"/>
      <c r="S26" s="1386"/>
      <c r="T26" s="1385"/>
      <c r="U26" s="1386"/>
      <c r="V26" s="1385"/>
      <c r="W26" s="1386"/>
      <c r="X26" s="1379"/>
      <c r="Y26" s="3882"/>
      <c r="Z26" s="1387"/>
      <c r="AA26" s="1388"/>
      <c r="AB26" s="1388"/>
      <c r="AC26" s="1388"/>
    </row>
    <row r="27" spans="1:29" ht="57">
      <c r="A27" s="485"/>
      <c r="B27" s="548" t="s">
        <v>494</v>
      </c>
      <c r="C27" s="531" t="str">
        <f>估价对象房地状况!C20</f>
        <v>区域自然环境：；人文环境；综合评价环境状况一般</v>
      </c>
      <c r="D27" s="533">
        <v>100</v>
      </c>
      <c r="E27" s="534"/>
      <c r="F27" s="529">
        <f>SUMIF(99:99,E28,100:100)-SUMIF(99:99,C28,100:100)+100</f>
        <v>98</v>
      </c>
      <c r="G27" s="532"/>
      <c r="H27" s="529">
        <f>SUMIF(99:99,G28,100:100)-SUMIF(99:99,C28,100:100)+100</f>
        <v>98</v>
      </c>
      <c r="I27" s="534"/>
      <c r="J27" s="529">
        <f>SUMIF(99:99,I28,100:100)-SUMIF(99:99,C28,100:100)+100</f>
        <v>98</v>
      </c>
      <c r="K27" s="505">
        <v>2</v>
      </c>
      <c r="L27" s="1864"/>
      <c r="M27" s="1854"/>
      <c r="N27" s="1854"/>
      <c r="O27" s="1863"/>
      <c r="P27" s="3882"/>
      <c r="Q27" s="1384" t="str">
        <f t="shared" si="8"/>
        <v>自然及人文环境状况</v>
      </c>
      <c r="R27" s="1385" t="s">
        <v>5</v>
      </c>
      <c r="S27" s="1386">
        <f>F27</f>
        <v>98</v>
      </c>
      <c r="T27" s="1385" t="s">
        <v>5</v>
      </c>
      <c r="U27" s="1386">
        <f>H27</f>
        <v>98</v>
      </c>
      <c r="V27" s="1385" t="s">
        <v>5</v>
      </c>
      <c r="W27" s="1386">
        <f>J27</f>
        <v>98</v>
      </c>
      <c r="X27" s="1379"/>
      <c r="Y27" s="3882"/>
      <c r="Z27" s="1387" t="str">
        <f>Q27</f>
        <v>自然及人文环境状况</v>
      </c>
      <c r="AA27" s="1388">
        <f t="shared" si="3"/>
        <v>1.0204081632653061</v>
      </c>
      <c r="AB27" s="1388">
        <f t="shared" si="4"/>
        <v>1.0204081632653061</v>
      </c>
      <c r="AC27" s="1388">
        <f t="shared" si="5"/>
        <v>1.0204081632653061</v>
      </c>
    </row>
    <row r="28" spans="1:29" ht="20.25">
      <c r="A28" s="485"/>
      <c r="B28" s="536"/>
      <c r="C28" s="524" t="s">
        <v>3404</v>
      </c>
      <c r="D28" s="527"/>
      <c r="E28" s="546" t="s">
        <v>3407</v>
      </c>
      <c r="F28" s="525"/>
      <c r="G28" s="546" t="s">
        <v>3407</v>
      </c>
      <c r="H28" s="525"/>
      <c r="I28" s="546" t="s">
        <v>3407</v>
      </c>
      <c r="J28" s="525"/>
      <c r="K28" s="501"/>
      <c r="L28" s="1864"/>
      <c r="M28" s="1854"/>
      <c r="N28" s="1854"/>
      <c r="O28" s="1863"/>
      <c r="P28" s="3882"/>
      <c r="Q28" s="1384"/>
      <c r="R28" s="1385"/>
      <c r="S28" s="1386"/>
      <c r="T28" s="1385"/>
      <c r="U28" s="1386"/>
      <c r="V28" s="1385"/>
      <c r="W28" s="1386"/>
      <c r="X28" s="1379"/>
      <c r="Y28" s="3882"/>
      <c r="Z28" s="1387"/>
      <c r="AA28" s="1388">
        <v>1</v>
      </c>
      <c r="AB28" s="1388">
        <v>1</v>
      </c>
      <c r="AC28" s="1388">
        <v>1</v>
      </c>
    </row>
    <row r="29" spans="1:29" s="1117" customFormat="1" ht="42.75">
      <c r="A29" s="547"/>
      <c r="B29" s="2198" t="s">
        <v>1831</v>
      </c>
      <c r="C29" s="543" t="str">
        <f>估价对象房地状况!C21</f>
        <v>估价对象所在区域公共配套设施齐备情况</v>
      </c>
      <c r="D29" s="533">
        <v>100</v>
      </c>
      <c r="E29" s="534"/>
      <c r="F29" s="529">
        <f>SUMIF(101:101,E30,102:102)-SUMIF(101:101,C30,102:102)+100</f>
        <v>98</v>
      </c>
      <c r="G29" s="532"/>
      <c r="H29" s="529">
        <f>SUMIF(101:101,G30,102:102)-SUMIF(101:101,C30,102:102)+100</f>
        <v>100</v>
      </c>
      <c r="I29" s="534"/>
      <c r="J29" s="529">
        <f>SUMIF(101:101,I30,102:102)-SUMIF(101:101,C30,102:102)+100</f>
        <v>98</v>
      </c>
      <c r="K29" s="505">
        <v>2</v>
      </c>
      <c r="L29" s="1857"/>
      <c r="M29" s="1854"/>
      <c r="N29" s="1854"/>
      <c r="O29" s="1859"/>
      <c r="P29" s="3882"/>
      <c r="Q29" s="1049" t="str">
        <f t="shared" si="8"/>
        <v>公共配套设施</v>
      </c>
      <c r="R29" s="1380" t="s">
        <v>5</v>
      </c>
      <c r="S29" s="1381">
        <f>F29</f>
        <v>98</v>
      </c>
      <c r="T29" s="1380" t="s">
        <v>5</v>
      </c>
      <c r="U29" s="1381">
        <f>H29</f>
        <v>100</v>
      </c>
      <c r="V29" s="1380" t="s">
        <v>5</v>
      </c>
      <c r="W29" s="1381">
        <f>J29</f>
        <v>98</v>
      </c>
      <c r="X29" s="1382"/>
      <c r="Y29" s="3882"/>
      <c r="Z29" s="1048" t="str">
        <f>Q29</f>
        <v>公共配套设施</v>
      </c>
      <c r="AA29" s="1388">
        <f>D29/F29</f>
        <v>1.0204081632653061</v>
      </c>
      <c r="AB29" s="1388">
        <f>D29/H29</f>
        <v>1</v>
      </c>
      <c r="AC29" s="1388">
        <f>D29/J29</f>
        <v>1.0204081632653061</v>
      </c>
    </row>
    <row r="30" spans="1:29" s="1117" customFormat="1" ht="20.25">
      <c r="A30" s="547"/>
      <c r="B30" s="536"/>
      <c r="C30" s="549" t="s">
        <v>3404</v>
      </c>
      <c r="D30" s="527"/>
      <c r="E30" s="546" t="s">
        <v>3407</v>
      </c>
      <c r="F30" s="525"/>
      <c r="G30" s="524" t="s">
        <v>3404</v>
      </c>
      <c r="H30" s="525"/>
      <c r="I30" s="546" t="s">
        <v>3407</v>
      </c>
      <c r="J30" s="525"/>
      <c r="K30" s="501"/>
      <c r="L30" s="1857"/>
      <c r="M30" s="1854"/>
      <c r="N30" s="1854"/>
      <c r="O30" s="1859"/>
      <c r="P30" s="3882"/>
      <c r="Q30" s="1049"/>
      <c r="R30" s="1380"/>
      <c r="S30" s="1381"/>
      <c r="T30" s="1380"/>
      <c r="U30" s="1381"/>
      <c r="V30" s="1380"/>
      <c r="W30" s="1381"/>
      <c r="X30" s="1382"/>
      <c r="Y30" s="3882"/>
      <c r="Z30" s="1048"/>
      <c r="AA30" s="1388">
        <v>1</v>
      </c>
      <c r="AB30" s="1388">
        <v>1</v>
      </c>
      <c r="AC30" s="1388">
        <v>1</v>
      </c>
    </row>
    <row r="31" spans="1:29" s="1117"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882"/>
      <c r="Q31" s="2191" t="str">
        <f>B31</f>
        <v>基础设施水平</v>
      </c>
      <c r="R31" s="1380" t="s">
        <v>5</v>
      </c>
      <c r="S31" s="1381">
        <f>F31</f>
        <v>100</v>
      </c>
      <c r="T31" s="1380" t="s">
        <v>5</v>
      </c>
      <c r="U31" s="1381">
        <f>H31</f>
        <v>100</v>
      </c>
      <c r="V31" s="1380" t="s">
        <v>5</v>
      </c>
      <c r="W31" s="1381">
        <f>J31</f>
        <v>100</v>
      </c>
      <c r="X31" s="1382"/>
      <c r="Y31" s="3882"/>
      <c r="Z31" s="2190" t="str">
        <f>Q31</f>
        <v>基础设施水平</v>
      </c>
      <c r="AA31" s="1388">
        <f>D31/F31</f>
        <v>1</v>
      </c>
      <c r="AB31" s="1388">
        <f>D31/H31</f>
        <v>1</v>
      </c>
      <c r="AC31" s="1388">
        <f>D31/J31</f>
        <v>1</v>
      </c>
    </row>
    <row r="32" spans="1:29" s="1117" customFormat="1" ht="20.25">
      <c r="A32" s="547"/>
      <c r="B32" s="536"/>
      <c r="C32" s="549" t="s">
        <v>3399</v>
      </c>
      <c r="D32" s="527"/>
      <c r="E32" s="549" t="s">
        <v>3399</v>
      </c>
      <c r="F32" s="525"/>
      <c r="G32" s="549" t="s">
        <v>3399</v>
      </c>
      <c r="H32" s="525"/>
      <c r="I32" s="549" t="s">
        <v>3399</v>
      </c>
      <c r="J32" s="525"/>
      <c r="K32" s="501"/>
      <c r="L32" s="1857"/>
      <c r="M32" s="1854"/>
      <c r="N32" s="1854"/>
      <c r="O32" s="1859"/>
      <c r="P32" s="3882"/>
      <c r="Q32" s="2191"/>
      <c r="R32" s="1380"/>
      <c r="S32" s="1381"/>
      <c r="T32" s="1380"/>
      <c r="U32" s="1381"/>
      <c r="V32" s="1380"/>
      <c r="W32" s="1381"/>
      <c r="X32" s="1382"/>
      <c r="Y32" s="3882"/>
      <c r="Z32" s="2190"/>
      <c r="AA32" s="1388">
        <v>1</v>
      </c>
      <c r="AB32" s="1388">
        <v>1</v>
      </c>
      <c r="AC32" s="1388">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82"/>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82"/>
      <c r="Z33" s="1387" t="str">
        <f t="shared" ref="Z33:Z47" si="12">Q33</f>
        <v>临街状况</v>
      </c>
      <c r="AA33" s="1388">
        <f t="shared" si="3"/>
        <v>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82"/>
      <c r="Q34" s="1384" t="str">
        <f t="shared" si="8"/>
        <v>毗邻道路的类型与等级</v>
      </c>
      <c r="R34" s="1385" t="s">
        <v>5</v>
      </c>
      <c r="S34" s="1386">
        <f t="shared" si="9"/>
        <v>100</v>
      </c>
      <c r="T34" s="1385" t="s">
        <v>5</v>
      </c>
      <c r="U34" s="1386">
        <f t="shared" si="10"/>
        <v>100</v>
      </c>
      <c r="V34" s="1385" t="s">
        <v>5</v>
      </c>
      <c r="W34" s="1386">
        <f t="shared" si="11"/>
        <v>100</v>
      </c>
      <c r="X34" s="1379"/>
      <c r="Y34" s="3882"/>
      <c r="Z34" s="1387" t="str">
        <f t="shared" si="12"/>
        <v>毗邻道路的类型与等级</v>
      </c>
      <c r="AA34" s="1388">
        <f t="shared" si="3"/>
        <v>1</v>
      </c>
      <c r="AB34" s="1388">
        <f t="shared" si="4"/>
        <v>1</v>
      </c>
      <c r="AC34" s="1388">
        <f t="shared" si="5"/>
        <v>1</v>
      </c>
    </row>
    <row r="35" spans="1:29" ht="20.25">
      <c r="A35" s="502"/>
      <c r="B35" s="536"/>
      <c r="C35" s="524"/>
      <c r="D35" s="527"/>
      <c r="E35" s="546"/>
      <c r="F35" s="525"/>
      <c r="G35" s="524"/>
      <c r="H35" s="525"/>
      <c r="I35" s="546"/>
      <c r="J35" s="525"/>
      <c r="K35" s="551"/>
      <c r="L35" s="1864"/>
      <c r="M35" s="1854"/>
      <c r="N35" s="1854"/>
      <c r="O35" s="1863"/>
      <c r="P35" s="3882"/>
      <c r="Q35" s="1384"/>
      <c r="R35" s="1385"/>
      <c r="S35" s="1386"/>
      <c r="T35" s="1385"/>
      <c r="U35" s="1386"/>
      <c r="V35" s="1385"/>
      <c r="W35" s="1386"/>
      <c r="X35" s="1379"/>
      <c r="Y35" s="3882"/>
      <c r="Z35" s="1387"/>
      <c r="AA35" s="1388">
        <v>1</v>
      </c>
      <c r="AB35" s="1388">
        <v>1</v>
      </c>
      <c r="AC35" s="1388">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82"/>
      <c r="Q36" s="1384" t="str">
        <f t="shared" si="8"/>
        <v>土地级别</v>
      </c>
      <c r="R36" s="1385" t="s">
        <v>5</v>
      </c>
      <c r="S36" s="1386">
        <f t="shared" si="9"/>
        <v>100</v>
      </c>
      <c r="T36" s="1385" t="s">
        <v>5</v>
      </c>
      <c r="U36" s="1386">
        <f t="shared" si="10"/>
        <v>100</v>
      </c>
      <c r="V36" s="1385" t="s">
        <v>5</v>
      </c>
      <c r="W36" s="1386">
        <f t="shared" si="11"/>
        <v>100</v>
      </c>
      <c r="X36" s="1379"/>
      <c r="Y36" s="3882"/>
      <c r="Z36" s="1387" t="str">
        <f t="shared" si="12"/>
        <v>土地级别</v>
      </c>
      <c r="AA36" s="1388">
        <f t="shared" si="3"/>
        <v>1</v>
      </c>
      <c r="AB36" s="1388">
        <f t="shared" si="4"/>
        <v>1</v>
      </c>
      <c r="AC36" s="1388">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82"/>
      <c r="Q37" s="1384">
        <f t="shared" si="8"/>
        <v>111</v>
      </c>
      <c r="R37" s="1385" t="s">
        <v>5</v>
      </c>
      <c r="S37" s="1386">
        <f t="shared" si="9"/>
        <v>100</v>
      </c>
      <c r="T37" s="1385" t="s">
        <v>5</v>
      </c>
      <c r="U37" s="1386">
        <f t="shared" si="10"/>
        <v>100</v>
      </c>
      <c r="V37" s="1385" t="s">
        <v>5</v>
      </c>
      <c r="W37" s="1386">
        <f t="shared" si="11"/>
        <v>100</v>
      </c>
      <c r="X37" s="1379"/>
      <c r="Y37" s="3882"/>
      <c r="Z37" s="1387">
        <f t="shared" si="12"/>
        <v>111</v>
      </c>
      <c r="AA37" s="1388">
        <f t="shared" si="3"/>
        <v>1</v>
      </c>
      <c r="AB37" s="1388">
        <f t="shared" si="4"/>
        <v>1</v>
      </c>
      <c r="AC37" s="1388">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83" t="s">
        <v>499</v>
      </c>
      <c r="Q38" s="1384">
        <f t="shared" si="8"/>
        <v>111</v>
      </c>
      <c r="R38" s="1385" t="s">
        <v>5</v>
      </c>
      <c r="S38" s="1386">
        <f t="shared" si="9"/>
        <v>100</v>
      </c>
      <c r="T38" s="1385" t="s">
        <v>5</v>
      </c>
      <c r="U38" s="1386">
        <f t="shared" si="10"/>
        <v>100</v>
      </c>
      <c r="V38" s="1385" t="s">
        <v>5</v>
      </c>
      <c r="W38" s="1386">
        <f t="shared" si="11"/>
        <v>100</v>
      </c>
      <c r="X38" s="1379"/>
      <c r="Y38" s="3884" t="s">
        <v>499</v>
      </c>
      <c r="Z38" s="1387">
        <f t="shared" si="12"/>
        <v>111</v>
      </c>
      <c r="AA38" s="1388">
        <f t="shared" si="3"/>
        <v>1</v>
      </c>
      <c r="AB38" s="1388">
        <f t="shared" si="4"/>
        <v>1</v>
      </c>
      <c r="AC38" s="1388">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84"/>
      <c r="Q39" s="1384">
        <f t="shared" si="8"/>
        <v>111</v>
      </c>
      <c r="R39" s="1389" t="s">
        <v>5</v>
      </c>
      <c r="S39" s="1390">
        <f t="shared" si="9"/>
        <v>100</v>
      </c>
      <c r="T39" s="1389" t="s">
        <v>5</v>
      </c>
      <c r="U39" s="1390">
        <f t="shared" si="10"/>
        <v>100</v>
      </c>
      <c r="V39" s="1389" t="s">
        <v>5</v>
      </c>
      <c r="W39" s="1390">
        <f t="shared" si="11"/>
        <v>100</v>
      </c>
      <c r="X39" s="1391"/>
      <c r="Y39" s="3884"/>
      <c r="Z39" s="1392">
        <f t="shared" si="12"/>
        <v>111</v>
      </c>
      <c r="AA39" s="1388">
        <f t="shared" si="3"/>
        <v>1</v>
      </c>
      <c r="AB39" s="1388">
        <f t="shared" si="4"/>
        <v>1</v>
      </c>
      <c r="AC39" s="1388">
        <f t="shared" si="5"/>
        <v>1</v>
      </c>
    </row>
    <row r="40" spans="1:29" ht="20.25">
      <c r="A40" s="2386" t="s">
        <v>2037</v>
      </c>
      <c r="B40" s="565" t="s">
        <v>501</v>
      </c>
      <c r="C40" s="566">
        <f>土地案例!D3</f>
        <v>69193.56</v>
      </c>
      <c r="D40" s="567">
        <v>100</v>
      </c>
      <c r="E40" s="566">
        <f>土地案例!D7</f>
        <v>40739.620000000003</v>
      </c>
      <c r="F40" s="567">
        <f>LOOKUP(E40,118:118,119:119)-LOOKUP(C40,118:118,119:119)+100</f>
        <v>99</v>
      </c>
      <c r="G40" s="566">
        <f>土地案例!D9</f>
        <v>57208.800000000003</v>
      </c>
      <c r="H40" s="567">
        <f>LOOKUP(G40,118:118,119:119)-LOOKUP(C40,118:118,119:119)+100</f>
        <v>100</v>
      </c>
      <c r="I40" s="568">
        <f>土地案例!D13</f>
        <v>99454.31</v>
      </c>
      <c r="J40" s="567">
        <f>LOOKUP(I40,118:118,119:119)-LOOKUP(C40,118:118,119:119)+100</f>
        <v>100</v>
      </c>
      <c r="K40" s="551"/>
      <c r="L40" s="1864"/>
      <c r="M40" s="1854"/>
      <c r="N40" s="1854"/>
      <c r="O40" s="1863"/>
      <c r="P40" s="3884"/>
      <c r="Q40" s="1384" t="str">
        <f>B40</f>
        <v>宗地面积</v>
      </c>
      <c r="R40" s="1385" t="s">
        <v>5</v>
      </c>
      <c r="S40" s="1386">
        <f t="shared" si="9"/>
        <v>99</v>
      </c>
      <c r="T40" s="1385" t="s">
        <v>5</v>
      </c>
      <c r="U40" s="1386">
        <f t="shared" si="10"/>
        <v>100</v>
      </c>
      <c r="V40" s="1385" t="s">
        <v>5</v>
      </c>
      <c r="W40" s="1386">
        <f t="shared" si="11"/>
        <v>100</v>
      </c>
      <c r="X40" s="1379"/>
      <c r="Y40" s="3884"/>
      <c r="Z40" s="1387" t="str">
        <f t="shared" si="12"/>
        <v>宗地面积</v>
      </c>
      <c r="AA40" s="1388">
        <f t="shared" si="3"/>
        <v>1.0101010101010102</v>
      </c>
      <c r="AB40" s="1388">
        <f t="shared" si="4"/>
        <v>1</v>
      </c>
      <c r="AC40" s="1388">
        <f t="shared" si="5"/>
        <v>1</v>
      </c>
    </row>
    <row r="41" spans="1:29" ht="20.25">
      <c r="A41" s="564"/>
      <c r="B41" s="497" t="s">
        <v>502</v>
      </c>
      <c r="C41" s="569" t="s">
        <v>3396</v>
      </c>
      <c r="D41" s="510">
        <v>100</v>
      </c>
      <c r="E41" s="569" t="s">
        <v>3396</v>
      </c>
      <c r="F41" s="510">
        <f>SUMIF(120:120,E41,121:121)-SUMIF(120:120,C41,121:121)+100</f>
        <v>100</v>
      </c>
      <c r="G41" s="569" t="s">
        <v>3396</v>
      </c>
      <c r="H41" s="510">
        <f>SUMIF(120:120,G41,121:121)-SUMIF(120:120,C41,121:121)+100</f>
        <v>100</v>
      </c>
      <c r="I41" s="569" t="s">
        <v>3396</v>
      </c>
      <c r="J41" s="510">
        <f>SUMIF(120:120,I41,121:121)-SUMIF(120:120,C41,121:121)+100</f>
        <v>100</v>
      </c>
      <c r="K41" s="554">
        <v>2</v>
      </c>
      <c r="L41" s="1864"/>
      <c r="M41" s="1854"/>
      <c r="N41" s="1854"/>
      <c r="O41" s="1863"/>
      <c r="P41" s="3884"/>
      <c r="Q41" s="1384" t="str">
        <f t="shared" ref="Q41:Q47" si="13">B41</f>
        <v>宗地形状</v>
      </c>
      <c r="R41" s="1385" t="s">
        <v>5</v>
      </c>
      <c r="S41" s="1386">
        <f t="shared" si="9"/>
        <v>100</v>
      </c>
      <c r="T41" s="1385" t="s">
        <v>5</v>
      </c>
      <c r="U41" s="1386">
        <f t="shared" si="10"/>
        <v>100</v>
      </c>
      <c r="V41" s="1385" t="s">
        <v>5</v>
      </c>
      <c r="W41" s="1386">
        <f t="shared" si="11"/>
        <v>100</v>
      </c>
      <c r="X41" s="1379"/>
      <c r="Y41" s="3884"/>
      <c r="Z41" s="1387" t="str">
        <f t="shared" si="12"/>
        <v>宗地形状</v>
      </c>
      <c r="AA41" s="1388">
        <f t="shared" si="3"/>
        <v>1</v>
      </c>
      <c r="AB41" s="1388">
        <f t="shared" si="4"/>
        <v>1</v>
      </c>
      <c r="AC41" s="1388">
        <f t="shared" si="5"/>
        <v>1</v>
      </c>
    </row>
    <row r="42" spans="1:29" ht="20.25">
      <c r="A42" s="564"/>
      <c r="B42" s="497" t="s">
        <v>503</v>
      </c>
      <c r="C42" s="569" t="s">
        <v>3405</v>
      </c>
      <c r="D42" s="510">
        <v>100</v>
      </c>
      <c r="E42" s="569" t="s">
        <v>3405</v>
      </c>
      <c r="F42" s="510">
        <f>SUMIF(122:122,E42,123:123)-SUMIF(122:122,C42,123:123)+100</f>
        <v>100</v>
      </c>
      <c r="G42" s="569" t="s">
        <v>3405</v>
      </c>
      <c r="H42" s="510">
        <f>SUMIF(122:122,G42,123:123)-SUMIF(122:122,C42,123:123)+100</f>
        <v>100</v>
      </c>
      <c r="I42" s="569" t="s">
        <v>3405</v>
      </c>
      <c r="J42" s="510">
        <f>SUMIF(122:122,I42,123:123)-SUMIF(122:122,C42,123:123)+100</f>
        <v>100</v>
      </c>
      <c r="K42" s="554">
        <v>2</v>
      </c>
      <c r="L42" s="1864"/>
      <c r="M42" s="1854"/>
      <c r="N42" s="1854"/>
      <c r="O42" s="1863"/>
      <c r="P42" s="3884"/>
      <c r="Q42" s="1384" t="str">
        <f t="shared" si="13"/>
        <v>临街宽度及深度</v>
      </c>
      <c r="R42" s="1385" t="s">
        <v>5</v>
      </c>
      <c r="S42" s="1386">
        <f t="shared" si="9"/>
        <v>100</v>
      </c>
      <c r="T42" s="1385" t="s">
        <v>5</v>
      </c>
      <c r="U42" s="1386">
        <f t="shared" si="10"/>
        <v>100</v>
      </c>
      <c r="V42" s="1385" t="s">
        <v>5</v>
      </c>
      <c r="W42" s="1386">
        <f t="shared" si="11"/>
        <v>100</v>
      </c>
      <c r="X42" s="1379"/>
      <c r="Y42" s="3884"/>
      <c r="Z42" s="1387" t="str">
        <f t="shared" si="12"/>
        <v>临街宽度及深度</v>
      </c>
      <c r="AA42" s="1388">
        <f t="shared" si="3"/>
        <v>1</v>
      </c>
      <c r="AB42" s="1388">
        <f t="shared" si="4"/>
        <v>1</v>
      </c>
      <c r="AC42" s="1388">
        <f t="shared" si="5"/>
        <v>1</v>
      </c>
    </row>
    <row r="43" spans="1:29" s="1117" customFormat="1" ht="20.25">
      <c r="A43" s="570"/>
      <c r="B43" s="1650" t="s">
        <v>1776</v>
      </c>
      <c r="C43" s="571" t="s">
        <v>3400</v>
      </c>
      <c r="D43" s="246">
        <v>100</v>
      </c>
      <c r="E43" s="571" t="s">
        <v>3402</v>
      </c>
      <c r="F43" s="510">
        <f>SUMIF(124:124,E43,125:125)-SUMIF(124:124,C43,125:125)+100</f>
        <v>98</v>
      </c>
      <c r="G43" s="571" t="s">
        <v>3400</v>
      </c>
      <c r="H43" s="510">
        <f>SUMIF(124:124,G43,125:125)-SUMIF(124:124,C43,125:125)+100</f>
        <v>100</v>
      </c>
      <c r="I43" s="571" t="s">
        <v>3400</v>
      </c>
      <c r="J43" s="510">
        <f>SUMIF(124:124,I43,125:125)-SUMIF(124:124,C43,125:125)+100</f>
        <v>100</v>
      </c>
      <c r="K43" s="554">
        <v>1</v>
      </c>
      <c r="L43" s="1857"/>
      <c r="M43" s="1854"/>
      <c r="N43" s="1854"/>
      <c r="O43" s="1859"/>
      <c r="P43" s="3884"/>
      <c r="Q43" s="1384" t="str">
        <f t="shared" si="13"/>
        <v>宗地开发程度</v>
      </c>
      <c r="R43" s="1380" t="s">
        <v>5</v>
      </c>
      <c r="S43" s="1381">
        <f t="shared" si="9"/>
        <v>98</v>
      </c>
      <c r="T43" s="1380" t="s">
        <v>5</v>
      </c>
      <c r="U43" s="1381">
        <f t="shared" si="10"/>
        <v>100</v>
      </c>
      <c r="V43" s="1380" t="s">
        <v>5</v>
      </c>
      <c r="W43" s="1381">
        <f t="shared" si="11"/>
        <v>100</v>
      </c>
      <c r="X43" s="1382"/>
      <c r="Y43" s="3884"/>
      <c r="Z43" s="1048" t="str">
        <f t="shared" si="12"/>
        <v>宗地开发程度</v>
      </c>
      <c r="AA43" s="1383">
        <f t="shared" si="3"/>
        <v>1.0204081632653061</v>
      </c>
      <c r="AB43" s="1383">
        <f t="shared" si="4"/>
        <v>1</v>
      </c>
      <c r="AC43" s="1383">
        <f t="shared" si="5"/>
        <v>1</v>
      </c>
    </row>
    <row r="44" spans="1:29" ht="20.25">
      <c r="A44" s="564"/>
      <c r="B44" s="497" t="s">
        <v>504</v>
      </c>
      <c r="C44" s="569" t="s">
        <v>3404</v>
      </c>
      <c r="D44" s="510">
        <v>100</v>
      </c>
      <c r="E44" s="569" t="s">
        <v>3404</v>
      </c>
      <c r="F44" s="510">
        <f>SUMIF(126:126,E44,127:127)-SUMIF(126:126,C44,127:127)+100</f>
        <v>100</v>
      </c>
      <c r="G44" s="569" t="s">
        <v>3404</v>
      </c>
      <c r="H44" s="510">
        <f>SUMIF(126:126,G44,127:127)-SUMIF(126:126,C44,127:127)+100</f>
        <v>100</v>
      </c>
      <c r="I44" s="569" t="s">
        <v>3404</v>
      </c>
      <c r="J44" s="510">
        <f>SUMIF(126:126,I44,127:127)-SUMIF(126:126,C44,127:127)+100</f>
        <v>100</v>
      </c>
      <c r="K44" s="554">
        <v>2</v>
      </c>
      <c r="L44" s="1864"/>
      <c r="M44" s="1854"/>
      <c r="N44" s="1854"/>
      <c r="O44" s="1863"/>
      <c r="P44" s="3884" t="s">
        <v>499</v>
      </c>
      <c r="Q44" s="1384" t="str">
        <f t="shared" si="13"/>
        <v>工程地质条件</v>
      </c>
      <c r="R44" s="1385" t="s">
        <v>5</v>
      </c>
      <c r="S44" s="1386">
        <f t="shared" si="9"/>
        <v>100</v>
      </c>
      <c r="T44" s="1385" t="s">
        <v>5</v>
      </c>
      <c r="U44" s="1386">
        <f t="shared" si="10"/>
        <v>100</v>
      </c>
      <c r="V44" s="1385" t="s">
        <v>5</v>
      </c>
      <c r="W44" s="1386">
        <f t="shared" si="11"/>
        <v>100</v>
      </c>
      <c r="X44" s="1379"/>
      <c r="Y44" s="3884" t="s">
        <v>499</v>
      </c>
      <c r="Z44" s="1387" t="str">
        <f t="shared" si="12"/>
        <v>工程地质条件</v>
      </c>
      <c r="AA44" s="1388">
        <f t="shared" si="3"/>
        <v>1</v>
      </c>
      <c r="AB44" s="1388">
        <f t="shared" si="4"/>
        <v>1</v>
      </c>
      <c r="AC44" s="1388">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84"/>
      <c r="Q45" s="1384">
        <f t="shared" si="13"/>
        <v>111</v>
      </c>
      <c r="R45" s="1385" t="s">
        <v>5</v>
      </c>
      <c r="S45" s="1386">
        <f t="shared" si="9"/>
        <v>100</v>
      </c>
      <c r="T45" s="1385" t="s">
        <v>5</v>
      </c>
      <c r="U45" s="1386">
        <f t="shared" si="10"/>
        <v>100</v>
      </c>
      <c r="V45" s="1385" t="s">
        <v>5</v>
      </c>
      <c r="W45" s="1386">
        <f t="shared" si="11"/>
        <v>100</v>
      </c>
      <c r="X45" s="1379"/>
      <c r="Y45" s="3884"/>
      <c r="Z45" s="1387">
        <f t="shared" si="12"/>
        <v>111</v>
      </c>
      <c r="AA45" s="1388">
        <f t="shared" si="3"/>
        <v>1</v>
      </c>
      <c r="AB45" s="1388">
        <f t="shared" si="4"/>
        <v>1</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84"/>
      <c r="Q46" s="1384">
        <f t="shared" si="13"/>
        <v>111</v>
      </c>
      <c r="R46" s="1385" t="s">
        <v>5</v>
      </c>
      <c r="S46" s="1386">
        <f t="shared" si="9"/>
        <v>100</v>
      </c>
      <c r="T46" s="1385" t="s">
        <v>5</v>
      </c>
      <c r="U46" s="1386">
        <f t="shared" si="10"/>
        <v>100</v>
      </c>
      <c r="V46" s="1385" t="s">
        <v>5</v>
      </c>
      <c r="W46" s="1386">
        <f t="shared" si="11"/>
        <v>100</v>
      </c>
      <c r="X46" s="1379"/>
      <c r="Y46" s="3884"/>
      <c r="Z46" s="1387">
        <f t="shared" si="12"/>
        <v>111</v>
      </c>
      <c r="AA46" s="1388">
        <f t="shared" si="3"/>
        <v>1</v>
      </c>
      <c r="AB46" s="1388">
        <f t="shared" si="4"/>
        <v>1</v>
      </c>
      <c r="AC46" s="1388">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84"/>
      <c r="Q47" s="1384">
        <f t="shared" si="13"/>
        <v>111</v>
      </c>
      <c r="R47" s="1389" t="s">
        <v>5</v>
      </c>
      <c r="S47" s="1390">
        <f t="shared" si="9"/>
        <v>100</v>
      </c>
      <c r="T47" s="1389" t="s">
        <v>5</v>
      </c>
      <c r="U47" s="1390">
        <f t="shared" si="10"/>
        <v>100</v>
      </c>
      <c r="V47" s="1389" t="s">
        <v>5</v>
      </c>
      <c r="W47" s="1390">
        <f t="shared" si="11"/>
        <v>100</v>
      </c>
      <c r="X47" s="1391"/>
      <c r="Y47" s="3884"/>
      <c r="Z47" s="1392">
        <f t="shared" si="12"/>
        <v>111</v>
      </c>
      <c r="AA47" s="1388">
        <f t="shared" si="3"/>
        <v>1</v>
      </c>
      <c r="AB47" s="1388">
        <f t="shared" si="4"/>
        <v>1</v>
      </c>
      <c r="AC47" s="1388">
        <f t="shared" si="5"/>
        <v>1</v>
      </c>
    </row>
    <row r="48" spans="1:29" ht="20.25">
      <c r="A48" s="577" t="s">
        <v>505</v>
      </c>
      <c r="B48" s="578" t="s">
        <v>3408</v>
      </c>
      <c r="C48" s="579" t="s">
        <v>0</v>
      </c>
      <c r="D48" s="580"/>
      <c r="E48" s="581">
        <v>18671</v>
      </c>
      <c r="F48" s="582"/>
      <c r="G48" s="583">
        <v>22396</v>
      </c>
      <c r="H48" s="584"/>
      <c r="I48" s="581">
        <v>21190</v>
      </c>
      <c r="J48" s="584"/>
      <c r="K48" s="1200"/>
      <c r="L48" s="1866"/>
      <c r="M48" s="1854"/>
      <c r="N48" s="1854"/>
      <c r="O48" s="1867"/>
      <c r="P48" s="3879" t="str">
        <f>A48</f>
        <v>成交单价</v>
      </c>
      <c r="Q48" s="3879"/>
      <c r="R48" s="3895">
        <f>E48</f>
        <v>18671</v>
      </c>
      <c r="S48" s="3895"/>
      <c r="T48" s="3895">
        <f>G48</f>
        <v>22396</v>
      </c>
      <c r="U48" s="3895"/>
      <c r="V48" s="3895">
        <f>I48</f>
        <v>21190</v>
      </c>
      <c r="W48" s="3895"/>
      <c r="X48" s="1374"/>
      <c r="Y48" s="1393"/>
      <c r="Z48" s="1374"/>
      <c r="AA48" s="1374"/>
      <c r="AB48" s="1374"/>
      <c r="AC48" s="1374"/>
    </row>
    <row r="49" spans="1:29" ht="21" thickBot="1">
      <c r="A49" s="585" t="s">
        <v>1975</v>
      </c>
      <c r="B49" s="586"/>
      <c r="C49" s="587">
        <f>R50</f>
        <v>23020</v>
      </c>
      <c r="D49" s="2755" t="s">
        <v>2261</v>
      </c>
      <c r="E49" s="587">
        <f>R49</f>
        <v>21075</v>
      </c>
      <c r="F49" s="2756"/>
      <c r="G49" s="588">
        <f>T49</f>
        <v>24046</v>
      </c>
      <c r="H49" s="2756"/>
      <c r="I49" s="587">
        <f>V49</f>
        <v>23938</v>
      </c>
      <c r="J49" s="2756"/>
      <c r="K49" s="2757">
        <f>F49+H49+J49</f>
        <v>0</v>
      </c>
      <c r="L49" s="1866"/>
      <c r="M49" s="1854"/>
      <c r="N49" s="1854"/>
      <c r="O49" s="1867"/>
      <c r="P49" s="3879" t="str">
        <f>A49</f>
        <v>比较价格（元/平方米）</v>
      </c>
      <c r="Q49" s="3879"/>
      <c r="R49" s="3903">
        <f>ROUND(PRODUCT(R48,AA9:AA47),0)</f>
        <v>21075</v>
      </c>
      <c r="S49" s="3903"/>
      <c r="T49" s="3903">
        <f>ROUND(PRODUCT(T48,AB9:AB47),0)</f>
        <v>24046</v>
      </c>
      <c r="U49" s="3903"/>
      <c r="V49" s="3903">
        <f>ROUND(PRODUCT(V48,AC9:AC47),0)</f>
        <v>23938</v>
      </c>
      <c r="W49" s="3903"/>
      <c r="X49" s="1374"/>
      <c r="Y49" s="1374"/>
      <c r="Z49" s="1374"/>
      <c r="AA49" s="1374"/>
      <c r="AB49" s="1374"/>
      <c r="AC49" s="1374"/>
    </row>
    <row r="50" spans="1:29" ht="21" thickBot="1">
      <c r="A50" s="589" t="s">
        <v>2198</v>
      </c>
      <c r="B50" s="590"/>
      <c r="C50" s="591">
        <f>R50</f>
        <v>23020</v>
      </c>
      <c r="D50" s="591"/>
      <c r="E50" s="591"/>
      <c r="F50" s="591"/>
      <c r="G50" s="591"/>
      <c r="H50" s="591"/>
      <c r="I50" s="591"/>
      <c r="J50" s="591"/>
      <c r="K50" s="1201"/>
      <c r="L50" s="1866"/>
      <c r="M50" s="1854"/>
      <c r="N50" s="1854"/>
      <c r="O50" s="1867"/>
      <c r="P50" s="3885" t="str">
        <f>A50</f>
        <v>估价对象XX用房的比较价格（楼面单价，元/平方米）</v>
      </c>
      <c r="Q50" s="3886"/>
      <c r="R50" s="3902">
        <f>ROUND(IF(D49="简单平均",AVERAGE(R49:W49),R49*F49+T49*H49+V49*J49),0)</f>
        <v>23020</v>
      </c>
      <c r="S50" s="3902"/>
      <c r="T50" s="3902"/>
      <c r="U50" s="3902"/>
      <c r="V50" s="3902"/>
      <c r="W50" s="3902"/>
      <c r="X50" s="1374"/>
      <c r="Y50" s="1374"/>
      <c r="Z50" s="1374"/>
      <c r="AA50" s="1374"/>
      <c r="AB50" s="1374"/>
      <c r="AC50" s="1374"/>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0.12875582454073164</v>
      </c>
      <c r="F53" s="595" t="str">
        <f>IF(OR(E53&gt;=0.3,E53&lt;=-0.3),"超过30%","")</f>
        <v/>
      </c>
      <c r="G53" s="594">
        <f>IF(G48&lt;G49,G49/G48-1,G48/G49-1)</f>
        <v>7.3673870333988312E-2</v>
      </c>
      <c r="H53" s="595" t="str">
        <f>IF(OR(G53&gt;=0.3,G53&lt;=-0.3),"超过30%","")</f>
        <v/>
      </c>
      <c r="I53" s="594">
        <f>IF(I48&lt;I49,I49/I48-1,I48/I49-1)</f>
        <v>0.12968381311939603</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0.14097271648873066</v>
      </c>
      <c r="F54" s="595" t="str">
        <f>IF(OR(E54&gt;=0.2,E54&lt;=-0.2),"超过20%","")</f>
        <v/>
      </c>
      <c r="G54" s="594">
        <f>IF(G49&lt;I49,I49/G49-1,G49/I49-1)</f>
        <v>4.5116551090316204E-3</v>
      </c>
      <c r="H54" s="595" t="str">
        <f>IF(OR(G54&gt;=0.2,G54&lt;=-0.2),"超过20%","")</f>
        <v/>
      </c>
      <c r="I54" s="594">
        <f>IF(I49&lt;E49,E49/I49-1,I49/E49-1)</f>
        <v>0.13584816132858846</v>
      </c>
      <c r="J54" s="595" t="str">
        <f>IF(OR(I54&gt;=0.2,I54&lt;=-0.2),"超过20%","")</f>
        <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f>IF(E48&lt;G48,G48/E48-1,E48/G48-1)</f>
        <v>0.1995072572438541</v>
      </c>
      <c r="F55" s="595" t="str">
        <f>IF(OR(E55&gt;=0.3,E55&lt;=-0.3),"超过30%","")</f>
        <v/>
      </c>
      <c r="G55" s="594">
        <f>IF(G48&lt;I48,I48/G48-1,G48/I48-1)</f>
        <v>5.6913638508730546E-2</v>
      </c>
      <c r="H55" s="595" t="str">
        <f>IF(OR(G55&gt;=0.3,G55&lt;=-0.3),"超过30%","")</f>
        <v/>
      </c>
      <c r="I55" s="594">
        <f>IF(I48&lt;E48,E48/I48-1,I48/E48-1)</f>
        <v>0.13491510899255532</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64" t="s">
        <v>1639</v>
      </c>
      <c r="H57" s="3865"/>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23020</v>
      </c>
      <c r="C58" s="603">
        <v>1</v>
      </c>
      <c r="D58" s="1946">
        <v>1</v>
      </c>
      <c r="E58" s="603">
        <f>'数据-汇总表'!E8+'数据-汇总表'!E9</f>
        <v>109460.71999999999</v>
      </c>
      <c r="F58" s="604">
        <f t="shared" ref="F58:F66" si="14">ROUND(B58*E58/10000,0)</f>
        <v>251979</v>
      </c>
      <c r="G58" s="3866"/>
      <c r="H58" s="3867"/>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3453</v>
      </c>
      <c r="C59" s="365">
        <f t="shared" ref="C59:C66" si="15">IF($C$57="北京市系数",I59,J59)</f>
        <v>0.6</v>
      </c>
      <c r="D59" s="1947">
        <v>0.25</v>
      </c>
      <c r="E59" s="607">
        <f>'数据-基础表'!K13</f>
        <v>1860</v>
      </c>
      <c r="F59" s="604">
        <f t="shared" si="14"/>
        <v>642</v>
      </c>
      <c r="G59" s="3275" t="s">
        <v>1640</v>
      </c>
      <c r="H59" s="1703" t="str">
        <f>项目基本情况!B43</f>
        <v>七级</v>
      </c>
      <c r="I59" s="1372">
        <f>SUMIF(修正!$A$57:$A$68,H59,修正!B57:B68)</f>
        <v>0.6</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1727</v>
      </c>
      <c r="C60" s="365">
        <f t="shared" si="15"/>
        <v>0.3</v>
      </c>
      <c r="D60" s="1947">
        <v>0.25</v>
      </c>
      <c r="E60" s="607">
        <v>0</v>
      </c>
      <c r="F60" s="604">
        <f t="shared" si="14"/>
        <v>0</v>
      </c>
      <c r="G60" s="3276"/>
      <c r="H60" s="1703" t="str">
        <f>项目基本情况!B43</f>
        <v>七级</v>
      </c>
      <c r="I60" s="1372">
        <f>SUMIF(修正!$A$57:$A$68,H60,修正!C57:C68)</f>
        <v>0.3</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1439</v>
      </c>
      <c r="C61" s="365">
        <f t="shared" si="15"/>
        <v>0.25</v>
      </c>
      <c r="D61" s="1947">
        <v>0.25</v>
      </c>
      <c r="E61" s="607">
        <v>0</v>
      </c>
      <c r="F61" s="604">
        <f t="shared" si="14"/>
        <v>0</v>
      </c>
      <c r="G61" s="3276"/>
      <c r="H61" s="1703" t="str">
        <f>项目基本情况!B43</f>
        <v>七级</v>
      </c>
      <c r="I61" s="1372">
        <f>SUMIF(修正!$A$57:$A$68,H61,修正!D57:D68)</f>
        <v>0.25</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6">
        <f t="shared" si="16"/>
        <v>1439</v>
      </c>
      <c r="C62" s="365">
        <f t="shared" si="15"/>
        <v>0.25</v>
      </c>
      <c r="D62" s="1947">
        <v>0.25</v>
      </c>
      <c r="E62" s="609">
        <f>'数据-汇总表'!E11</f>
        <v>50</v>
      </c>
      <c r="F62" s="604">
        <f t="shared" si="14"/>
        <v>7</v>
      </c>
      <c r="G62" s="1700" t="s">
        <v>1641</v>
      </c>
      <c r="H62" s="1703" t="str">
        <f>项目基本情况!C43</f>
        <v>七级</v>
      </c>
      <c r="I62" s="1372">
        <f>SUMIF(修正!$A$57:$A$68,H62,修正!E57:E68)</f>
        <v>0.25</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1439</v>
      </c>
      <c r="C63" s="365">
        <f t="shared" si="15"/>
        <v>0.25</v>
      </c>
      <c r="D63" s="1947">
        <v>0.25</v>
      </c>
      <c r="E63" s="609">
        <f>'数据-汇总表'!E12</f>
        <v>11410.09</v>
      </c>
      <c r="F63" s="604">
        <f t="shared" si="14"/>
        <v>1642</v>
      </c>
      <c r="G63" s="1701" t="s">
        <v>851</v>
      </c>
      <c r="H63" s="1699" t="str">
        <f>IF(G63="商业",项目基本情况!B43,IF(G63="办公",项目基本情况!C43,IF(G63="住宅",项目基本情况!D43,项目基本情况!E43)))</f>
        <v>七级</v>
      </c>
      <c r="I63" s="1372">
        <f>SUMIF(修正!$A$57:$A$68,H63,修正!F57:F68)</f>
        <v>0.25</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863</v>
      </c>
      <c r="C64" s="365">
        <f t="shared" si="15"/>
        <v>0.15</v>
      </c>
      <c r="D64" s="1947">
        <v>0.25</v>
      </c>
      <c r="E64" s="609">
        <f>'数据-汇总表'!E13</f>
        <v>16237.789999999999</v>
      </c>
      <c r="F64" s="604">
        <f t="shared" si="14"/>
        <v>1401</v>
      </c>
      <c r="G64" s="1701" t="s">
        <v>851</v>
      </c>
      <c r="H64" s="1699" t="str">
        <f>IF(G64="商业",项目基本情况!B43,IF(G64="办公",项目基本情况!C43,IF(G64="住宅",项目基本情况!D43,项目基本情况!E43)))</f>
        <v>七级</v>
      </c>
      <c r="I64" s="1372">
        <f>SUMIF(修正!$A$57:$A$68,H64,修正!G57:G68)</f>
        <v>0.15</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863</v>
      </c>
      <c r="C65" s="365">
        <f t="shared" si="15"/>
        <v>0.15</v>
      </c>
      <c r="D65" s="1947">
        <v>0.25</v>
      </c>
      <c r="E65" s="609">
        <f>'数据-汇总表'!E14</f>
        <v>0</v>
      </c>
      <c r="F65" s="604">
        <f t="shared" si="14"/>
        <v>0</v>
      </c>
      <c r="G65" s="1700" t="s">
        <v>1640</v>
      </c>
      <c r="H65" s="1703" t="str">
        <f>项目基本情况!B43</f>
        <v>七级</v>
      </c>
      <c r="I65" s="1372">
        <f>SUMIF(修正!$A$57:$A$68,H65,修正!G57:G68)</f>
        <v>0.15</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863</v>
      </c>
      <c r="C66" s="365">
        <f t="shared" si="15"/>
        <v>0.15</v>
      </c>
      <c r="D66" s="1947">
        <v>0.25</v>
      </c>
      <c r="E66" s="609">
        <f>'数据-汇总表'!E15</f>
        <v>0</v>
      </c>
      <c r="F66" s="604">
        <f t="shared" si="14"/>
        <v>0</v>
      </c>
      <c r="G66" s="1702" t="s">
        <v>1641</v>
      </c>
      <c r="H66" s="1704" t="str">
        <f>项目基本情况!C43</f>
        <v>七级</v>
      </c>
      <c r="I66" s="1372">
        <f>SUMIF(修正!$A$57:$A$68,H66,修正!G57:G68)</f>
        <v>0.15</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1651</v>
      </c>
      <c r="E67" s="611">
        <f>IF(B48="楼面地价",SUM(E58:E66),'数据-汇总表'!D3)</f>
        <v>139018.59999999998</v>
      </c>
      <c r="F67" s="612">
        <f>IF(B48="楼面地价",SUM(F58:F66),ROUND(C50*E67/10000,0))</f>
        <v>255671</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1815</v>
      </c>
      <c r="B71" s="2185"/>
      <c r="C71" s="2275" t="str">
        <f>YEAR(C69)&amp;"-"&amp;ROUNDUP(MONTH(C69)/3,0)</f>
        <v>2023-1</v>
      </c>
      <c r="D71" s="2280" t="str">
        <f>YEAR(D69)&amp;"-"&amp;ROUNDUP(MONTH(D69)/3,0)</f>
        <v>2022-4</v>
      </c>
      <c r="E71" s="2280" t="str">
        <f t="shared" ref="E71:N71" si="18">YEAR(E69)&amp;"-"&amp;ROUNDUP(MONTH(E69)/3,0)</f>
        <v>2022-3</v>
      </c>
      <c r="F71" s="2280" t="str">
        <f t="shared" si="18"/>
        <v>2022-2</v>
      </c>
      <c r="G71" s="2280" t="str">
        <f t="shared" si="18"/>
        <v>2022-1</v>
      </c>
      <c r="H71" s="2280" t="str">
        <f t="shared" si="18"/>
        <v>2021-4</v>
      </c>
      <c r="I71" s="2280" t="str">
        <f t="shared" si="18"/>
        <v>2021-3</v>
      </c>
      <c r="J71" s="2280" t="str">
        <f t="shared" si="18"/>
        <v>2021-2</v>
      </c>
      <c r="K71" s="2280" t="str">
        <f t="shared" si="18"/>
        <v>2021-1</v>
      </c>
      <c r="L71" s="2280" t="str">
        <f t="shared" si="18"/>
        <v>2020-4</v>
      </c>
      <c r="M71" s="2280" t="str">
        <f t="shared" si="18"/>
        <v>2020-3</v>
      </c>
      <c r="N71" s="2280" t="str">
        <f t="shared" si="18"/>
        <v>2020-2</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北京市平均增长率1.47%</v>
      </c>
      <c r="C72" s="856">
        <v>100</v>
      </c>
      <c r="D72" s="3679">
        <f>C72-$C$73</f>
        <v>99.5</v>
      </c>
      <c r="E72" s="3679">
        <f t="shared" ref="E72:N72" si="19">D72-$C$73</f>
        <v>99</v>
      </c>
      <c r="F72" s="3679">
        <f t="shared" si="19"/>
        <v>98.5</v>
      </c>
      <c r="G72" s="3679">
        <f t="shared" si="19"/>
        <v>98</v>
      </c>
      <c r="H72" s="3679">
        <f t="shared" si="19"/>
        <v>97.5</v>
      </c>
      <c r="I72" s="3679">
        <f t="shared" si="19"/>
        <v>97</v>
      </c>
      <c r="J72" s="3679">
        <f t="shared" si="19"/>
        <v>96.5</v>
      </c>
      <c r="K72" s="3679">
        <f t="shared" si="19"/>
        <v>96</v>
      </c>
      <c r="L72" s="3679">
        <f t="shared" si="19"/>
        <v>95.5</v>
      </c>
      <c r="M72" s="3679">
        <f t="shared" si="19"/>
        <v>95</v>
      </c>
      <c r="N72" s="3679">
        <f t="shared" si="19"/>
        <v>94.5</v>
      </c>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v>0.5</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78" t="s">
        <v>3394</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0（含）-0.5</v>
      </c>
      <c r="D80" s="650" t="str">
        <f t="shared" ref="D80:L80" si="20">D81&amp;"（含）"&amp;"-"&amp;E81</f>
        <v>0.5（含）-1</v>
      </c>
      <c r="E80" s="650" t="str">
        <f t="shared" si="20"/>
        <v>1（含）-1.5</v>
      </c>
      <c r="F80" s="650" t="str">
        <f t="shared" si="20"/>
        <v>1.5（含）-2</v>
      </c>
      <c r="G80" s="650" t="str">
        <f t="shared" si="20"/>
        <v>2（含）-</v>
      </c>
      <c r="H80" s="650" t="str">
        <f t="shared" si="20"/>
        <v>（含）-</v>
      </c>
      <c r="I80" s="650" t="str">
        <f t="shared" si="20"/>
        <v>（含）-</v>
      </c>
      <c r="J80" s="650" t="str">
        <f t="shared" si="20"/>
        <v>（含）-</v>
      </c>
      <c r="K80" s="650" t="str">
        <f t="shared" si="20"/>
        <v>（含）-</v>
      </c>
      <c r="L80" s="650" t="str">
        <f t="shared" si="20"/>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0.5</v>
      </c>
      <c r="E81" s="511">
        <v>1</v>
      </c>
      <c r="F81" s="511">
        <v>1.5</v>
      </c>
      <c r="G81" s="511">
        <v>2</v>
      </c>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98</v>
      </c>
      <c r="E90" s="647">
        <f>D90-$K17</f>
        <v>96</v>
      </c>
      <c r="F90" s="647">
        <f>E90-$K17</f>
        <v>94</v>
      </c>
      <c r="G90" s="647">
        <f>F90-$K17</f>
        <v>92</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99</v>
      </c>
      <c r="E92" s="647">
        <f>D92-$K19</f>
        <v>98</v>
      </c>
      <c r="F92" s="647">
        <f>E92-$K19</f>
        <v>97</v>
      </c>
      <c r="G92" s="647">
        <f>F92-$K19</f>
        <v>96</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5" t="str">
        <f t="shared" si="25"/>
        <v>(含)-</v>
      </c>
      <c r="K117" s="2535" t="str">
        <f t="shared" si="25"/>
        <v>(含)-</v>
      </c>
      <c r="L117" s="2536" t="str">
        <f t="shared" si="25"/>
        <v>(含)-</v>
      </c>
      <c r="M117" s="2537"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v>50000</v>
      </c>
      <c r="E118" s="698">
        <v>100000</v>
      </c>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v>101</v>
      </c>
      <c r="E119" s="694">
        <v>102</v>
      </c>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80" t="s">
        <v>3395</v>
      </c>
      <c r="D120" s="3680" t="s">
        <v>3396</v>
      </c>
      <c r="E120" s="3680" t="s">
        <v>3397</v>
      </c>
      <c r="F120" s="3680" t="s">
        <v>3398</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2" t="s">
        <v>3405</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8">
        <f t="shared" si="27"/>
        <v>80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t="s">
        <v>3399</v>
      </c>
      <c r="D124" s="1232" t="s">
        <v>3400</v>
      </c>
      <c r="E124" s="1232" t="s">
        <v>3401</v>
      </c>
      <c r="F124" s="1232" t="s">
        <v>3402</v>
      </c>
      <c r="G124" s="1232" t="s">
        <v>3403</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681" t="s">
        <v>3406</v>
      </c>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93" t="str">
        <f>项目基本情况!B1</f>
        <v>北京市出让国有建设用地使用权抵押价格预评估</v>
      </c>
      <c r="C37" s="3693"/>
      <c r="D37" s="3693"/>
      <c r="E37" s="3693"/>
      <c r="F37" s="3693"/>
      <c r="G37" s="3693"/>
      <c r="H37" s="3693"/>
      <c r="I37" s="3693"/>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N15"/>
  <sheetViews>
    <sheetView workbookViewId="0">
      <selection activeCell="F24" sqref="F24"/>
    </sheetView>
  </sheetViews>
  <sheetFormatPr defaultColWidth="8.875" defaultRowHeight="12.75"/>
  <cols>
    <col min="1" max="1" width="65.125" style="3671" customWidth="1"/>
    <col min="2" max="2" width="7.125" style="3671" customWidth="1"/>
    <col min="3" max="3" width="15.875" style="3671" customWidth="1"/>
    <col min="4" max="4" width="10.125" style="3671" customWidth="1"/>
    <col min="5" max="5" width="12.875" style="3671" customWidth="1"/>
    <col min="6" max="6" width="41.625" style="3671" customWidth="1"/>
    <col min="7" max="7" width="9" style="3671" customWidth="1"/>
    <col min="8" max="8" width="10.25" style="3671" customWidth="1"/>
    <col min="9" max="9" width="36.25" style="3671" customWidth="1"/>
    <col min="10" max="11" width="7.25" style="3671" customWidth="1"/>
    <col min="12" max="12" width="11" style="3671" customWidth="1"/>
    <col min="13" max="13" width="7.125" style="3671" customWidth="1"/>
    <col min="14" max="16384" width="8.875" style="3671"/>
  </cols>
  <sheetData>
    <row r="1" spans="1:14">
      <c r="A1" s="3670" t="s">
        <v>3327</v>
      </c>
      <c r="B1" s="3670" t="s">
        <v>3328</v>
      </c>
      <c r="C1" s="3670" t="s">
        <v>3329</v>
      </c>
      <c r="D1" s="3670" t="s">
        <v>3330</v>
      </c>
      <c r="E1" s="3670" t="s">
        <v>3331</v>
      </c>
      <c r="F1" s="3670" t="s">
        <v>1550</v>
      </c>
      <c r="G1" s="3670" t="s">
        <v>3332</v>
      </c>
      <c r="H1" s="3670" t="s">
        <v>3333</v>
      </c>
      <c r="I1" s="3670" t="s">
        <v>3334</v>
      </c>
      <c r="J1" s="3670" t="s">
        <v>3335</v>
      </c>
      <c r="K1" s="3670" t="s">
        <v>3336</v>
      </c>
      <c r="L1" s="3670" t="s">
        <v>3337</v>
      </c>
      <c r="M1" s="3670" t="s">
        <v>3338</v>
      </c>
    </row>
    <row r="2" spans="1:14">
      <c r="A2" s="3670" t="s">
        <v>3339</v>
      </c>
      <c r="B2" s="3670" t="s">
        <v>1465</v>
      </c>
      <c r="C2" s="3670" t="s">
        <v>3340</v>
      </c>
      <c r="D2" s="3671">
        <v>89084.800000000003</v>
      </c>
      <c r="E2" s="3671">
        <v>141877.1</v>
      </c>
      <c r="F2" s="3671" t="s">
        <v>3341</v>
      </c>
      <c r="G2" s="3670" t="s">
        <v>3342</v>
      </c>
      <c r="H2" s="3671" t="s">
        <v>3343</v>
      </c>
      <c r="I2" s="3670" t="s">
        <v>3344</v>
      </c>
      <c r="J2" s="3671">
        <v>160000</v>
      </c>
      <c r="K2" s="3671">
        <v>160000</v>
      </c>
      <c r="L2" s="3671">
        <v>11277.37</v>
      </c>
      <c r="M2" s="3671">
        <v>0</v>
      </c>
    </row>
    <row r="3" spans="1:14" s="3673" customFormat="1">
      <c r="A3" s="3672" t="s">
        <v>3345</v>
      </c>
      <c r="B3" s="3672" t="s">
        <v>1465</v>
      </c>
      <c r="C3" s="3672" t="s">
        <v>3346</v>
      </c>
      <c r="D3" s="3673">
        <v>69193.56</v>
      </c>
      <c r="E3" s="3673">
        <v>110709.69</v>
      </c>
      <c r="F3" s="3673">
        <v>1.6</v>
      </c>
      <c r="G3" s="3672" t="s">
        <v>3342</v>
      </c>
      <c r="H3" s="3673" t="s">
        <v>3343</v>
      </c>
      <c r="I3" s="3672" t="s">
        <v>3347</v>
      </c>
      <c r="J3" s="3673">
        <v>243000</v>
      </c>
      <c r="K3" s="3673">
        <v>243000</v>
      </c>
      <c r="L3" s="3673">
        <v>21949.3</v>
      </c>
      <c r="M3" s="3673">
        <v>0</v>
      </c>
    </row>
    <row r="4" spans="1:14">
      <c r="A4" s="3670" t="s">
        <v>3348</v>
      </c>
      <c r="B4" s="3670" t="s">
        <v>1465</v>
      </c>
      <c r="C4" s="3670" t="s">
        <v>3340</v>
      </c>
      <c r="D4" s="3671">
        <v>157751.99</v>
      </c>
      <c r="E4" s="3671">
        <v>187262.38</v>
      </c>
      <c r="F4" s="3671" t="s">
        <v>3349</v>
      </c>
      <c r="G4" s="3670" t="s">
        <v>3342</v>
      </c>
      <c r="H4" s="3671" t="s">
        <v>3350</v>
      </c>
      <c r="I4" s="3670" t="s">
        <v>3351</v>
      </c>
      <c r="J4" s="3671">
        <v>539000</v>
      </c>
      <c r="K4" s="3671">
        <v>547000</v>
      </c>
      <c r="L4" s="3671">
        <v>29210.35</v>
      </c>
      <c r="M4" s="3671">
        <v>1.48</v>
      </c>
    </row>
    <row r="5" spans="1:14">
      <c r="A5" s="3670" t="s">
        <v>3352</v>
      </c>
      <c r="B5" s="3670" t="s">
        <v>1465</v>
      </c>
      <c r="C5" s="3670" t="s">
        <v>3340</v>
      </c>
      <c r="D5" s="3671">
        <v>39732.370000000003</v>
      </c>
      <c r="E5" s="3671">
        <v>62838.75</v>
      </c>
      <c r="F5" s="3671" t="s">
        <v>3353</v>
      </c>
      <c r="G5" s="3670" t="s">
        <v>3342</v>
      </c>
      <c r="H5" s="3671" t="s">
        <v>3350</v>
      </c>
      <c r="I5" s="3670" t="s">
        <v>3354</v>
      </c>
      <c r="J5" s="3671">
        <v>170000</v>
      </c>
      <c r="K5" s="3671">
        <v>195500</v>
      </c>
      <c r="L5" s="3671">
        <v>31111.38</v>
      </c>
      <c r="M5" s="3671">
        <v>15</v>
      </c>
    </row>
    <row r="6" spans="1:14">
      <c r="A6" s="3670" t="s">
        <v>3355</v>
      </c>
      <c r="B6" s="3670" t="s">
        <v>1465</v>
      </c>
      <c r="C6" s="3670" t="s">
        <v>3346</v>
      </c>
      <c r="D6" s="3671">
        <v>51409.62</v>
      </c>
      <c r="E6" s="3671">
        <v>83593.919999999998</v>
      </c>
      <c r="F6" s="3671">
        <v>1.6</v>
      </c>
      <c r="G6" s="3670" t="s">
        <v>3342</v>
      </c>
      <c r="H6" s="3671" t="s">
        <v>3356</v>
      </c>
      <c r="I6" s="3670" t="s">
        <v>3357</v>
      </c>
      <c r="J6" s="3671">
        <v>166000</v>
      </c>
      <c r="K6" s="3671">
        <v>166000</v>
      </c>
      <c r="L6" s="3671">
        <v>19857.900000000001</v>
      </c>
      <c r="M6" s="3671">
        <v>0</v>
      </c>
    </row>
    <row r="7" spans="1:14" s="3675" customFormat="1">
      <c r="A7" s="3674" t="s">
        <v>3358</v>
      </c>
      <c r="B7" s="3674" t="s">
        <v>1465</v>
      </c>
      <c r="C7" s="3674" t="s">
        <v>3340</v>
      </c>
      <c r="D7" s="3675">
        <v>40739.620000000003</v>
      </c>
      <c r="E7" s="3675">
        <v>75359.210000000006</v>
      </c>
      <c r="F7" s="3675" t="s">
        <v>3359</v>
      </c>
      <c r="G7" s="3674" t="s">
        <v>3342</v>
      </c>
      <c r="H7" s="3675" t="s">
        <v>3356</v>
      </c>
      <c r="I7" s="3674" t="s">
        <v>3360</v>
      </c>
      <c r="J7" s="3675">
        <v>140000</v>
      </c>
      <c r="K7" s="3675">
        <v>140700</v>
      </c>
      <c r="L7" s="3675">
        <v>18670.580000000002</v>
      </c>
      <c r="M7" s="3675">
        <v>0.5</v>
      </c>
      <c r="N7" s="3674" t="s">
        <v>3361</v>
      </c>
    </row>
    <row r="8" spans="1:14">
      <c r="A8" s="3670" t="s">
        <v>3362</v>
      </c>
      <c r="B8" s="3670" t="s">
        <v>1465</v>
      </c>
      <c r="C8" s="3670" t="s">
        <v>3346</v>
      </c>
      <c r="D8" s="3671">
        <v>105143.73</v>
      </c>
      <c r="E8" s="3671">
        <v>262859.32</v>
      </c>
      <c r="F8" s="3671" t="s">
        <v>3363</v>
      </c>
      <c r="G8" s="3670" t="s">
        <v>3342</v>
      </c>
      <c r="H8" s="3671" t="s">
        <v>3364</v>
      </c>
      <c r="I8" s="3670" t="s">
        <v>3365</v>
      </c>
      <c r="J8" s="3671">
        <v>502000</v>
      </c>
      <c r="K8" s="3671">
        <v>677700</v>
      </c>
      <c r="L8" s="3671">
        <v>25781.85</v>
      </c>
      <c r="M8" s="3671">
        <v>35</v>
      </c>
    </row>
    <row r="9" spans="1:14" s="3675" customFormat="1">
      <c r="A9" s="3674" t="s">
        <v>3366</v>
      </c>
      <c r="B9" s="3674" t="s">
        <v>1465</v>
      </c>
      <c r="C9" s="3674" t="s">
        <v>3346</v>
      </c>
      <c r="D9" s="3675">
        <v>57208.800000000003</v>
      </c>
      <c r="E9" s="3675">
        <v>91534.080000000002</v>
      </c>
      <c r="F9" s="3675" t="s">
        <v>3367</v>
      </c>
      <c r="G9" s="3674" t="s">
        <v>3342</v>
      </c>
      <c r="H9" s="3675" t="s">
        <v>3368</v>
      </c>
      <c r="I9" s="3674" t="s">
        <v>3369</v>
      </c>
      <c r="J9" s="3675">
        <v>177000</v>
      </c>
      <c r="K9" s="3675">
        <v>205000</v>
      </c>
      <c r="L9" s="3675">
        <v>22396.03</v>
      </c>
      <c r="M9" s="3675">
        <v>15.82</v>
      </c>
      <c r="N9" s="3674" t="s">
        <v>3370</v>
      </c>
    </row>
    <row r="10" spans="1:14">
      <c r="A10" s="3670" t="s">
        <v>3371</v>
      </c>
      <c r="B10" s="3670" t="s">
        <v>1465</v>
      </c>
      <c r="C10" s="3670" t="s">
        <v>3340</v>
      </c>
      <c r="D10" s="3671">
        <v>125102.17</v>
      </c>
      <c r="E10" s="3671">
        <v>219262.23</v>
      </c>
      <c r="F10" s="3671" t="s">
        <v>3372</v>
      </c>
      <c r="G10" s="3670" t="s">
        <v>3342</v>
      </c>
      <c r="H10" s="3671" t="s">
        <v>3368</v>
      </c>
      <c r="I10" s="3670" t="s">
        <v>3373</v>
      </c>
      <c r="J10" s="3671">
        <v>404000</v>
      </c>
      <c r="K10" s="3671">
        <v>406100</v>
      </c>
      <c r="L10" s="3671">
        <v>18521.2</v>
      </c>
      <c r="M10" s="3671">
        <v>0.52</v>
      </c>
    </row>
    <row r="11" spans="1:14" s="3677" customFormat="1">
      <c r="A11" s="3676" t="s">
        <v>3374</v>
      </c>
      <c r="B11" s="3676" t="s">
        <v>1465</v>
      </c>
      <c r="C11" s="3676" t="s">
        <v>3340</v>
      </c>
      <c r="D11" s="3677">
        <v>122243.7</v>
      </c>
      <c r="E11" s="3677">
        <v>206085.13</v>
      </c>
      <c r="F11" s="3677" t="s">
        <v>3375</v>
      </c>
      <c r="G11" s="3676" t="s">
        <v>3342</v>
      </c>
      <c r="H11" s="3677" t="s">
        <v>3376</v>
      </c>
      <c r="I11" s="3676" t="s">
        <v>3377</v>
      </c>
      <c r="J11" s="3677">
        <v>311800</v>
      </c>
      <c r="K11" s="3677">
        <v>311800</v>
      </c>
      <c r="L11" s="3677">
        <v>15129.67</v>
      </c>
      <c r="M11" s="3677">
        <v>0</v>
      </c>
      <c r="N11" s="3676" t="s">
        <v>3378</v>
      </c>
    </row>
    <row r="12" spans="1:14">
      <c r="A12" s="3670" t="s">
        <v>3379</v>
      </c>
      <c r="B12" s="3670" t="s">
        <v>1465</v>
      </c>
      <c r="C12" s="3670" t="s">
        <v>3340</v>
      </c>
      <c r="D12" s="3671">
        <v>83940.05</v>
      </c>
      <c r="E12" s="3671">
        <v>146004.07999999999</v>
      </c>
      <c r="F12" s="3671" t="s">
        <v>3380</v>
      </c>
      <c r="G12" s="3670" t="s">
        <v>3342</v>
      </c>
      <c r="H12" s="3671" t="s">
        <v>3376</v>
      </c>
      <c r="I12" s="3670" t="s">
        <v>3381</v>
      </c>
      <c r="J12" s="3671">
        <v>243400</v>
      </c>
      <c r="K12" s="3671">
        <v>243400</v>
      </c>
      <c r="L12" s="3671">
        <v>16670.77</v>
      </c>
      <c r="M12" s="3671">
        <v>0</v>
      </c>
    </row>
    <row r="13" spans="1:14" s="3675" customFormat="1">
      <c r="A13" s="3674" t="s">
        <v>3382</v>
      </c>
      <c r="B13" s="3674" t="s">
        <v>1465</v>
      </c>
      <c r="C13" s="3674" t="s">
        <v>3340</v>
      </c>
      <c r="D13" s="3675">
        <v>99454.31</v>
      </c>
      <c r="E13" s="3675">
        <v>153846.89000000001</v>
      </c>
      <c r="F13" s="3675" t="s">
        <v>3383</v>
      </c>
      <c r="G13" s="3674" t="s">
        <v>3342</v>
      </c>
      <c r="H13" s="3675" t="s">
        <v>3376</v>
      </c>
      <c r="I13" s="3674" t="s">
        <v>3384</v>
      </c>
      <c r="J13" s="3675">
        <v>302400</v>
      </c>
      <c r="K13" s="3675">
        <v>326000</v>
      </c>
      <c r="L13" s="3675">
        <v>21189.9</v>
      </c>
      <c r="M13" s="3675">
        <v>7.8</v>
      </c>
      <c r="N13" s="3674" t="s">
        <v>3385</v>
      </c>
    </row>
    <row r="14" spans="1:14">
      <c r="A14" s="3670" t="s">
        <v>3386</v>
      </c>
      <c r="B14" s="3670" t="s">
        <v>1465</v>
      </c>
      <c r="C14" s="3670" t="s">
        <v>3340</v>
      </c>
      <c r="D14" s="3671">
        <v>57706.7</v>
      </c>
      <c r="E14" s="3671">
        <v>86410.72</v>
      </c>
      <c r="F14" s="3671" t="s">
        <v>3387</v>
      </c>
      <c r="G14" s="3670" t="s">
        <v>3342</v>
      </c>
      <c r="H14" s="3671" t="s">
        <v>3388</v>
      </c>
      <c r="I14" s="3670" t="s">
        <v>3389</v>
      </c>
      <c r="J14" s="3671">
        <v>142400</v>
      </c>
      <c r="K14" s="3671">
        <v>167000</v>
      </c>
      <c r="L14" s="3671">
        <v>19326.310000000001</v>
      </c>
      <c r="M14" s="3671">
        <v>17.28</v>
      </c>
    </row>
    <row r="15" spans="1:14">
      <c r="A15" s="3670" t="s">
        <v>3390</v>
      </c>
      <c r="B15" s="3670" t="s">
        <v>1465</v>
      </c>
      <c r="C15" s="3670" t="s">
        <v>3340</v>
      </c>
      <c r="D15" s="3671">
        <v>87328.39</v>
      </c>
      <c r="E15" s="3671">
        <v>135355.79999999999</v>
      </c>
      <c r="F15" s="3671" t="s">
        <v>3391</v>
      </c>
      <c r="G15" s="3670" t="s">
        <v>3342</v>
      </c>
      <c r="H15" s="3671" t="s">
        <v>3388</v>
      </c>
      <c r="I15" s="3670" t="s">
        <v>3392</v>
      </c>
      <c r="J15" s="3671">
        <v>241000</v>
      </c>
      <c r="K15" s="3671">
        <v>241000</v>
      </c>
      <c r="L15" s="3671">
        <v>17804.93</v>
      </c>
      <c r="M15" s="3671">
        <v>0</v>
      </c>
    </row>
  </sheetData>
  <phoneticPr fontId="224" type="noConversion"/>
  <pageMargins left="0.75" right="0.75" top="1" bottom="1" header="0.5" footer="0.5"/>
  <pageSetup orientation="portrait" horizontalDpi="300" verticalDpi="300"/>
  <headerFooter scaleWithDoc="0"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80" zoomScaleNormal="80" zoomScaleSheetLayoutView="80" workbookViewId="0">
      <selection activeCell="G42" sqref="G42"/>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257608</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17575</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37230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2482</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461959</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851</v>
      </c>
      <c r="D7" s="423" t="s">
        <v>3259</v>
      </c>
      <c r="E7" s="423" t="s">
        <v>3260</v>
      </c>
      <c r="F7" s="423" t="s">
        <v>3261</v>
      </c>
      <c r="G7" s="423"/>
      <c r="H7" s="423"/>
      <c r="I7" s="423"/>
      <c r="J7" s="423"/>
      <c r="K7" s="424"/>
      <c r="AA7" s="1834"/>
      <c r="AB7" s="1834"/>
      <c r="AC7" s="1834"/>
      <c r="AD7" s="1834"/>
      <c r="AE7" s="1834"/>
    </row>
    <row r="8" spans="1:31" s="1837" customFormat="1" ht="13.5" customHeight="1">
      <c r="A8" s="769" t="s">
        <v>1374</v>
      </c>
      <c r="B8" s="252" t="s">
        <v>432</v>
      </c>
      <c r="C8" s="2313">
        <f>'不动产比较法-住宅'!C48</f>
        <v>40500</v>
      </c>
      <c r="D8" s="2313">
        <f ca="1">不动产收益法商业!B3</f>
        <v>10925</v>
      </c>
      <c r="E8" s="2313">
        <f>'不动产比较法-车位'!B3</f>
        <v>6592</v>
      </c>
      <c r="F8" s="2313">
        <f ca="1">不动产收益法仓储!B3</f>
        <v>5177</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109460.71999999999</v>
      </c>
      <c r="D9" s="428">
        <f>SUMIF('数据-汇总表'!$C19:$C33,'剩余法-待开发'!D7,'数据-汇总表'!$E19:$E33)</f>
        <v>1860</v>
      </c>
      <c r="E9" s="428">
        <f>SUMIF('数据-汇总表'!$C19:$C33,'剩余法-待开发'!E7,'数据-汇总表'!$E19:$E33)</f>
        <v>16237.789999999999</v>
      </c>
      <c r="F9" s="428">
        <f>SUMIF('数据-汇总表'!$C19:$C33,'剩余法-待开发'!F7,'数据-汇总表'!$E19:$E33)</f>
        <v>11410.09</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0">
        <f>'不动产比较法-住宅'!B2</f>
        <v>443316</v>
      </c>
      <c r="D10" s="2500">
        <f ca="1">不动产收益法商业!B2</f>
        <v>2032</v>
      </c>
      <c r="E10" s="2500">
        <f>'不动产比较法-车位'!B2</f>
        <v>10704</v>
      </c>
      <c r="F10" s="2316">
        <f ca="1">不动产收益法仓储!B2</f>
        <v>5907</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74762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2243</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6020</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2932</v>
      </c>
      <c r="D16" s="2323">
        <f ca="1">IF(B1="",'数据-汇总表'!E3,INDIRECT("'数据-取费表'!K"&amp;$K$1)+INDIRECT("'数据-取费表'!S"&amp;$K$1))</f>
        <v>146577.54999999999</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1121</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87078</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733</v>
      </c>
      <c r="D19" s="2333">
        <f ca="1">D16</f>
        <v>146577.54999999999</v>
      </c>
      <c r="E19" s="2287">
        <f>'数据-取费表'!B32</f>
        <v>50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1"/>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109460.71999999999</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0</v>
      </c>
      <c r="D22" s="2323">
        <f ca="1">IF(B1="",'数据-汇总表'!E6,IF(INDIRECT("'数据-取费表'!c"&amp;$K$1)="住宅",INDIRECT("'数据-取费表'!s"&amp;$K$1),INDIRECT("'数据-取费表'!k"&amp;$K$1)+INDIRECT("'数据-取费表'!s"&amp;$K$1)))</f>
        <v>37116.83</v>
      </c>
      <c r="E22" s="51">
        <f>'数据-取费表'!B28</f>
        <v>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4" t="s">
        <v>2109</v>
      </c>
      <c r="C23" s="2331">
        <f ca="1">ROUND((C18+C19+C20)*F23,0)</f>
        <v>1756</v>
      </c>
      <c r="D23" s="454"/>
      <c r="E23" s="454"/>
      <c r="F23" s="2335">
        <f>'数据-取费表'!B37</f>
        <v>0.02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4" t="s">
        <v>2112</v>
      </c>
      <c r="C24" s="2331">
        <f ca="1">ROUND(C6*F24,0)</f>
        <v>9239</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4"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5" t="s">
        <v>2111</v>
      </c>
      <c r="C26" s="2336">
        <f ca="1">C28</f>
        <v>4100</v>
      </c>
      <c r="D26" s="453">
        <f ca="1">C27</f>
        <v>8.72E-2</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8.72E-2</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4100</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24198</v>
      </c>
      <c r="D29" s="454"/>
      <c r="E29" s="454"/>
      <c r="F29" s="2506">
        <f>'数据-取费表'!B41</f>
        <v>5.5000000000000007E-2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127104</v>
      </c>
      <c r="D30" s="463">
        <f ca="1">C32</f>
        <v>0.1162</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127104</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0.1162</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3" t="s">
        <v>2108</v>
      </c>
      <c r="B33" s="2501" t="s">
        <v>2106</v>
      </c>
      <c r="C33" s="464">
        <f ca="1">C35</f>
        <v>12845</v>
      </c>
      <c r="D33" s="453">
        <f ca="1">C34</f>
        <v>0.1338</v>
      </c>
      <c r="E33" s="455" t="s">
        <v>455</v>
      </c>
      <c r="F33" s="465">
        <f ca="1">IF(B1="",'数据-取费表'!Q16,INDIRECT("'数据-取费表'!q"&amp;$K$1))</f>
        <v>0.13</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0.1338</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2" t="s">
        <v>2114</v>
      </c>
      <c r="C35" s="1434">
        <f ca="1">ROUND((C18+C19+C20+C23+C24)*F33,0)</f>
        <v>12845</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257608</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74762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2243</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6020</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2932</v>
      </c>
      <c r="D16" s="437">
        <f ca="1">IF(B1="",'数据-汇总表'!E3,INDIRECT("'数据-取费表'!K"&amp;$K$1)+INDIRECT("'数据-取费表'!S"&amp;$K$1))</f>
        <v>146577.54999999999</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1121</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87078</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1742</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3686</v>
      </c>
      <c r="D20" s="448">
        <f ca="1">ROUND(((1+F20)^'数据-取费表'!B20)-1,4)</f>
        <v>8.4699999999999998E-2</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2298</v>
      </c>
      <c r="B21" s="2501" t="s">
        <v>2107</v>
      </c>
      <c r="C21" s="464">
        <f ca="1">ROUND((C18+C19)*F21,0)</f>
        <v>11547</v>
      </c>
      <c r="D21" s="3027"/>
      <c r="E21" s="448"/>
      <c r="F21" s="465">
        <f ca="1">IF(B1="",'数据-取费表'!Q16,INDIRECT("'数据-取费表'!q"&amp;$K$1))</f>
        <v>0.13</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2299</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904" t="s">
        <v>1394</v>
      </c>
      <c r="B24" s="3905"/>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904" t="s">
        <v>2296</v>
      </c>
      <c r="B25" s="3905"/>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904" t="s">
        <v>2297</v>
      </c>
      <c r="B26" s="3905"/>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06" t="s">
        <v>2295</v>
      </c>
      <c r="B27" s="3907"/>
      <c r="C27" s="3045">
        <f ca="1">(C6-C23-C24-C25)/((1+F26)*(1+D20+F21))</f>
        <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887" t="s">
        <v>471</v>
      </c>
      <c r="D6" s="3888"/>
      <c r="E6" s="3913" t="s">
        <v>472</v>
      </c>
      <c r="F6" s="3914"/>
      <c r="G6" s="3887" t="s">
        <v>473</v>
      </c>
      <c r="H6" s="3888"/>
      <c r="I6" s="3887" t="s">
        <v>474</v>
      </c>
      <c r="J6" s="3888"/>
      <c r="K6" s="484" t="s">
        <v>475</v>
      </c>
      <c r="L6" s="1855"/>
      <c r="M6" s="1856"/>
      <c r="N6" s="1856"/>
      <c r="O6" s="1856"/>
      <c r="P6" s="3889" t="s">
        <v>476</v>
      </c>
      <c r="Q6" s="3890"/>
      <c r="R6" s="3873" t="s">
        <v>472</v>
      </c>
      <c r="S6" s="3874"/>
      <c r="T6" s="3873" t="s">
        <v>473</v>
      </c>
      <c r="U6" s="3874"/>
      <c r="V6" s="3895" t="s">
        <v>474</v>
      </c>
      <c r="W6" s="3895"/>
      <c r="X6" s="1379"/>
      <c r="Y6" s="3873" t="s">
        <v>476</v>
      </c>
      <c r="Z6" s="3874"/>
      <c r="AA6" s="3868" t="s">
        <v>472</v>
      </c>
      <c r="AB6" s="3869" t="s">
        <v>473</v>
      </c>
      <c r="AC6" s="3868" t="s">
        <v>474</v>
      </c>
    </row>
    <row r="7" spans="1:29" ht="15">
      <c r="A7" s="485"/>
      <c r="B7" s="486"/>
      <c r="C7" s="3898" t="s">
        <v>2192</v>
      </c>
      <c r="D7" s="3899"/>
      <c r="E7" s="3915" t="s">
        <v>2193</v>
      </c>
      <c r="F7" s="3916"/>
      <c r="G7" s="3898" t="s">
        <v>2194</v>
      </c>
      <c r="H7" s="3899"/>
      <c r="I7" s="3898" t="s">
        <v>2195</v>
      </c>
      <c r="J7" s="3899"/>
      <c r="K7" s="484"/>
      <c r="L7" s="1855"/>
      <c r="M7" s="1856"/>
      <c r="N7" s="1856"/>
      <c r="O7" s="1856"/>
      <c r="P7" s="3891"/>
      <c r="Q7" s="3892"/>
      <c r="R7" s="3875"/>
      <c r="S7" s="3876"/>
      <c r="T7" s="3875"/>
      <c r="U7" s="3876"/>
      <c r="V7" s="3895"/>
      <c r="W7" s="3895"/>
      <c r="X7" s="1379"/>
      <c r="Y7" s="3875"/>
      <c r="Z7" s="3876"/>
      <c r="AA7" s="3869"/>
      <c r="AB7" s="3869"/>
      <c r="AC7" s="3869"/>
    </row>
    <row r="8" spans="1:29" ht="15.75" thickBot="1">
      <c r="A8" s="487"/>
      <c r="B8" s="488"/>
      <c r="C8" s="3896" t="s">
        <v>2196</v>
      </c>
      <c r="D8" s="3897"/>
      <c r="E8" s="3917" t="s">
        <v>2196</v>
      </c>
      <c r="F8" s="3918"/>
      <c r="G8" s="3896" t="s">
        <v>2196</v>
      </c>
      <c r="H8" s="3897"/>
      <c r="I8" s="3896" t="s">
        <v>2196</v>
      </c>
      <c r="J8" s="3897"/>
      <c r="K8" s="484" t="s">
        <v>477</v>
      </c>
      <c r="L8" s="1855"/>
      <c r="M8" s="1856"/>
      <c r="N8" s="1856"/>
      <c r="O8" s="1856"/>
      <c r="P8" s="3893"/>
      <c r="Q8" s="3894"/>
      <c r="R8" s="3875"/>
      <c r="S8" s="3876"/>
      <c r="T8" s="3877"/>
      <c r="U8" s="3878"/>
      <c r="V8" s="3895"/>
      <c r="W8" s="3895"/>
      <c r="X8" s="1379"/>
      <c r="Y8" s="3877"/>
      <c r="Z8" s="3878"/>
      <c r="AA8" s="3870"/>
      <c r="AB8" s="3870"/>
      <c r="AC8" s="3870"/>
    </row>
    <row r="9" spans="1:29" s="1117" customFormat="1" ht="15.75" thickBot="1">
      <c r="A9" s="2391"/>
      <c r="B9" s="2398" t="s">
        <v>478</v>
      </c>
      <c r="C9" s="489">
        <f>'数据-取费表'!B2</f>
        <v>44929</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71" t="s">
        <v>479</v>
      </c>
      <c r="Q9" s="3880"/>
      <c r="R9" s="1380" t="s">
        <v>5</v>
      </c>
      <c r="S9" s="1381">
        <f t="shared" ref="S9:S17" si="0">F9</f>
        <v>0</v>
      </c>
      <c r="T9" s="1380" t="s">
        <v>5</v>
      </c>
      <c r="U9" s="1381">
        <f t="shared" ref="U9:U17" si="1">H9</f>
        <v>0</v>
      </c>
      <c r="V9" s="1380" t="s">
        <v>5</v>
      </c>
      <c r="W9" s="1381">
        <f t="shared" ref="W9:W17" si="2">J9</f>
        <v>0</v>
      </c>
      <c r="X9" s="1382"/>
      <c r="Y9" s="3871" t="s">
        <v>479</v>
      </c>
      <c r="Z9" s="3872"/>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71" t="s">
        <v>482</v>
      </c>
      <c r="Q10" s="3872"/>
      <c r="R10" s="1380" t="s">
        <v>5</v>
      </c>
      <c r="S10" s="1381">
        <f t="shared" si="0"/>
        <v>0</v>
      </c>
      <c r="T10" s="1380" t="s">
        <v>5</v>
      </c>
      <c r="U10" s="1381">
        <f t="shared" si="1"/>
        <v>0</v>
      </c>
      <c r="V10" s="1380" t="s">
        <v>5</v>
      </c>
      <c r="W10" s="1381">
        <f t="shared" si="2"/>
        <v>0</v>
      </c>
      <c r="X10" s="1382"/>
      <c r="Y10" s="3871" t="s">
        <v>482</v>
      </c>
      <c r="Z10" s="3872"/>
      <c r="AA10" s="1383" t="e">
        <f t="shared" ref="AA10:AA42" si="3">D10/F10</f>
        <v>#DIV/0!</v>
      </c>
      <c r="AB10" s="1383" t="e">
        <f t="shared" ref="AB10:AB42" si="4">D10/H10</f>
        <v>#DIV/0!</v>
      </c>
      <c r="AC10" s="1383" t="e">
        <f t="shared" ref="AC10:AC42" si="5">D10/J10</f>
        <v>#DIV/0!</v>
      </c>
    </row>
    <row r="11" spans="1:29" s="1117"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79" t="s">
        <v>484</v>
      </c>
      <c r="Q11" s="1049" t="str">
        <f t="shared" ref="Q11:Q17" si="6">B11</f>
        <v>用途</v>
      </c>
      <c r="R11" s="1380" t="s">
        <v>5</v>
      </c>
      <c r="S11" s="1381">
        <f t="shared" si="0"/>
        <v>100</v>
      </c>
      <c r="T11" s="1380" t="s">
        <v>5</v>
      </c>
      <c r="U11" s="1381">
        <f t="shared" si="1"/>
        <v>100</v>
      </c>
      <c r="V11" s="1380" t="s">
        <v>5</v>
      </c>
      <c r="W11" s="1381">
        <f t="shared" si="2"/>
        <v>100</v>
      </c>
      <c r="X11" s="1382"/>
      <c r="Y11" s="3831" t="s">
        <v>485</v>
      </c>
      <c r="Z11" s="1048" t="str">
        <f t="shared" ref="Z11:Z17" si="7">Q11</f>
        <v>用途</v>
      </c>
      <c r="AA11" s="1383">
        <f t="shared" si="3"/>
        <v>1</v>
      </c>
      <c r="AB11" s="1383">
        <f t="shared" si="4"/>
        <v>1</v>
      </c>
      <c r="AC11" s="1383">
        <f t="shared" si="5"/>
        <v>1</v>
      </c>
    </row>
    <row r="12" spans="1:29" s="1198" customFormat="1" ht="27">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0"/>
      <c r="M12" s="1899"/>
      <c r="N12" s="1899"/>
      <c r="O12" s="1861"/>
      <c r="P12" s="3879"/>
      <c r="Q12" s="1049" t="str">
        <f t="shared" si="6"/>
        <v>土地使用年限（年）</v>
      </c>
      <c r="R12" s="1380" t="s">
        <v>5</v>
      </c>
      <c r="S12" s="1381">
        <f t="shared" si="0"/>
        <v>100</v>
      </c>
      <c r="T12" s="1380" t="s">
        <v>5</v>
      </c>
      <c r="U12" s="1381">
        <f t="shared" si="1"/>
        <v>100</v>
      </c>
      <c r="V12" s="1380" t="s">
        <v>5</v>
      </c>
      <c r="W12" s="1381">
        <f t="shared" si="2"/>
        <v>100</v>
      </c>
      <c r="X12" s="1382"/>
      <c r="Y12" s="3831"/>
      <c r="Z12" s="1048" t="str">
        <f t="shared" si="7"/>
        <v>土地使用年限（年）</v>
      </c>
      <c r="AA12" s="1383">
        <f t="shared" si="3"/>
        <v>1</v>
      </c>
      <c r="AB12" s="1383">
        <f t="shared" si="4"/>
        <v>1</v>
      </c>
      <c r="AC12" s="1383">
        <f t="shared" si="5"/>
        <v>1</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79"/>
      <c r="Q13" s="1049" t="str">
        <f t="shared" si="6"/>
        <v>容积率</v>
      </c>
      <c r="R13" s="1380" t="s">
        <v>5</v>
      </c>
      <c r="S13" s="1381" t="e">
        <f t="shared" si="0"/>
        <v>#N/A</v>
      </c>
      <c r="T13" s="1380" t="s">
        <v>5</v>
      </c>
      <c r="U13" s="1381" t="e">
        <f t="shared" si="1"/>
        <v>#N/A</v>
      </c>
      <c r="V13" s="1380" t="s">
        <v>5</v>
      </c>
      <c r="W13" s="1381" t="e">
        <f t="shared" si="2"/>
        <v>#N/A</v>
      </c>
      <c r="X13" s="1382"/>
      <c r="Y13" s="3831"/>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79"/>
      <c r="Q14" s="1049">
        <f t="shared" si="6"/>
        <v>111</v>
      </c>
      <c r="R14" s="1380" t="s">
        <v>5</v>
      </c>
      <c r="S14" s="1381">
        <f t="shared" si="0"/>
        <v>100</v>
      </c>
      <c r="T14" s="1380" t="s">
        <v>5</v>
      </c>
      <c r="U14" s="1381">
        <f t="shared" si="1"/>
        <v>100</v>
      </c>
      <c r="V14" s="1380" t="s">
        <v>5</v>
      </c>
      <c r="W14" s="1381">
        <f t="shared" si="2"/>
        <v>100</v>
      </c>
      <c r="X14" s="1382"/>
      <c r="Y14" s="3831"/>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79"/>
      <c r="Q15" s="1049">
        <f t="shared" si="6"/>
        <v>111</v>
      </c>
      <c r="R15" s="1380" t="s">
        <v>5</v>
      </c>
      <c r="S15" s="1381">
        <f t="shared" si="0"/>
        <v>100</v>
      </c>
      <c r="T15" s="1380" t="s">
        <v>5</v>
      </c>
      <c r="U15" s="1381">
        <f t="shared" si="1"/>
        <v>100</v>
      </c>
      <c r="V15" s="1380" t="s">
        <v>5</v>
      </c>
      <c r="W15" s="1381">
        <f t="shared" si="2"/>
        <v>100</v>
      </c>
      <c r="X15" s="1382"/>
      <c r="Y15" s="3831"/>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79"/>
      <c r="Q16" s="1049">
        <f t="shared" si="6"/>
        <v>111</v>
      </c>
      <c r="R16" s="1380" t="s">
        <v>5</v>
      </c>
      <c r="S16" s="1381">
        <f t="shared" si="0"/>
        <v>100</v>
      </c>
      <c r="T16" s="1380" t="s">
        <v>5</v>
      </c>
      <c r="U16" s="1381">
        <f t="shared" si="1"/>
        <v>100</v>
      </c>
      <c r="V16" s="1380" t="s">
        <v>5</v>
      </c>
      <c r="W16" s="1381">
        <f t="shared" si="2"/>
        <v>100</v>
      </c>
      <c r="X16" s="1382"/>
      <c r="Y16" s="3831"/>
      <c r="Z16" s="1048">
        <f t="shared" si="7"/>
        <v>111</v>
      </c>
      <c r="AA16" s="1383">
        <f t="shared" si="3"/>
        <v>1</v>
      </c>
      <c r="AB16" s="1383">
        <f t="shared" si="4"/>
        <v>1</v>
      </c>
      <c r="AC16" s="1383">
        <f t="shared" si="5"/>
        <v>1</v>
      </c>
    </row>
    <row r="17" spans="1:29" ht="57">
      <c r="A17" s="2389"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81" t="s">
        <v>489</v>
      </c>
      <c r="Q17" s="1384" t="str">
        <f t="shared" si="6"/>
        <v>产业集聚程度</v>
      </c>
      <c r="R17" s="1385" t="s">
        <v>5</v>
      </c>
      <c r="S17" s="1386">
        <f t="shared" si="0"/>
        <v>100</v>
      </c>
      <c r="T17" s="1385" t="s">
        <v>5</v>
      </c>
      <c r="U17" s="1386">
        <f t="shared" si="1"/>
        <v>100</v>
      </c>
      <c r="V17" s="1385" t="s">
        <v>5</v>
      </c>
      <c r="W17" s="1386">
        <f t="shared" si="2"/>
        <v>100</v>
      </c>
      <c r="X17" s="1379"/>
      <c r="Y17" s="3881"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82"/>
      <c r="Q18" s="1384"/>
      <c r="R18" s="1385"/>
      <c r="S18" s="1386"/>
      <c r="T18" s="1385"/>
      <c r="U18" s="1386"/>
      <c r="V18" s="1385"/>
      <c r="W18" s="1386"/>
      <c r="X18" s="1379"/>
      <c r="Y18" s="3882"/>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82"/>
      <c r="Q19" s="1384" t="str">
        <f>B19</f>
        <v>交通便捷度</v>
      </c>
      <c r="R19" s="1385" t="s">
        <v>5</v>
      </c>
      <c r="S19" s="1386">
        <f>F19</f>
        <v>100</v>
      </c>
      <c r="T19" s="1385" t="s">
        <v>5</v>
      </c>
      <c r="U19" s="1386">
        <f>H19</f>
        <v>100</v>
      </c>
      <c r="V19" s="1385" t="s">
        <v>5</v>
      </c>
      <c r="W19" s="1386">
        <f>J19</f>
        <v>100</v>
      </c>
      <c r="X19" s="1379"/>
      <c r="Y19" s="3882"/>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882"/>
      <c r="Q20" s="1384"/>
      <c r="R20" s="1385"/>
      <c r="S20" s="1386"/>
      <c r="T20" s="1385"/>
      <c r="U20" s="1386"/>
      <c r="V20" s="1385"/>
      <c r="W20" s="1386"/>
      <c r="X20" s="1379"/>
      <c r="Y20" s="3882"/>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882"/>
      <c r="Q21" s="1384" t="str">
        <f t="shared" ref="Q21:Q35" si="8">B21</f>
        <v>区域土地利用方向</v>
      </c>
      <c r="R21" s="1385" t="s">
        <v>5</v>
      </c>
      <c r="S21" s="1386">
        <f>F21</f>
        <v>100</v>
      </c>
      <c r="T21" s="1385" t="s">
        <v>5</v>
      </c>
      <c r="U21" s="1386">
        <f>H21</f>
        <v>100</v>
      </c>
      <c r="V21" s="1385" t="s">
        <v>5</v>
      </c>
      <c r="W21" s="1386">
        <f>J21</f>
        <v>100</v>
      </c>
      <c r="X21" s="1379"/>
      <c r="Y21" s="3882"/>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882"/>
      <c r="Q22" s="1384"/>
      <c r="R22" s="1385"/>
      <c r="S22" s="1386"/>
      <c r="T22" s="1385"/>
      <c r="U22" s="1386"/>
      <c r="V22" s="1385"/>
      <c r="W22" s="1386"/>
      <c r="X22" s="1379"/>
      <c r="Y22" s="3882"/>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82"/>
      <c r="Q23" s="1384" t="str">
        <f t="shared" si="8"/>
        <v>环境状况</v>
      </c>
      <c r="R23" s="1385" t="s">
        <v>5</v>
      </c>
      <c r="S23" s="1386">
        <f>F23</f>
        <v>100</v>
      </c>
      <c r="T23" s="1385" t="s">
        <v>5</v>
      </c>
      <c r="U23" s="1386">
        <f>H23</f>
        <v>100</v>
      </c>
      <c r="V23" s="1385" t="s">
        <v>5</v>
      </c>
      <c r="W23" s="1386">
        <f>J23</f>
        <v>100</v>
      </c>
      <c r="X23" s="1379"/>
      <c r="Y23" s="3882"/>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82"/>
      <c r="Q24" s="1384"/>
      <c r="R24" s="1385"/>
      <c r="S24" s="1386"/>
      <c r="T24" s="1385"/>
      <c r="U24" s="1386"/>
      <c r="V24" s="1385"/>
      <c r="W24" s="1386"/>
      <c r="X24" s="1379"/>
      <c r="Y24" s="3882"/>
      <c r="Z24" s="1387"/>
      <c r="AA24" s="1388">
        <v>1</v>
      </c>
      <c r="AB24" s="1388">
        <v>1</v>
      </c>
      <c r="AC24" s="1388">
        <v>1</v>
      </c>
    </row>
    <row r="25" spans="1:29" s="1117"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82"/>
      <c r="Q25" s="1049" t="str">
        <f t="shared" si="8"/>
        <v>公共配套设施</v>
      </c>
      <c r="R25" s="1380" t="s">
        <v>5</v>
      </c>
      <c r="S25" s="1381">
        <f>F25</f>
        <v>100</v>
      </c>
      <c r="T25" s="1380" t="s">
        <v>5</v>
      </c>
      <c r="U25" s="1381">
        <f>H25</f>
        <v>100</v>
      </c>
      <c r="V25" s="1380" t="s">
        <v>5</v>
      </c>
      <c r="W25" s="1381">
        <f>J25</f>
        <v>100</v>
      </c>
      <c r="X25" s="1382"/>
      <c r="Y25" s="3882"/>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882"/>
      <c r="Q26" s="1049"/>
      <c r="R26" s="1380"/>
      <c r="S26" s="1381"/>
      <c r="T26" s="1380"/>
      <c r="U26" s="1381"/>
      <c r="V26" s="1380"/>
      <c r="W26" s="1381"/>
      <c r="X26" s="1382"/>
      <c r="Y26" s="3882"/>
      <c r="Z26" s="1048"/>
      <c r="AA26" s="1383">
        <v>1</v>
      </c>
      <c r="AB26" s="1383">
        <v>1</v>
      </c>
      <c r="AC26" s="1383">
        <v>1</v>
      </c>
    </row>
    <row r="27" spans="1:29" s="1117"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82"/>
      <c r="Q27" s="2191" t="str">
        <f>B27</f>
        <v>基础设施水平</v>
      </c>
      <c r="R27" s="1380" t="s">
        <v>5</v>
      </c>
      <c r="S27" s="1381">
        <f>F27</f>
        <v>100</v>
      </c>
      <c r="T27" s="1380" t="s">
        <v>5</v>
      </c>
      <c r="U27" s="1381">
        <f>H27</f>
        <v>100</v>
      </c>
      <c r="V27" s="1380" t="s">
        <v>5</v>
      </c>
      <c r="W27" s="1381">
        <f>J27</f>
        <v>100</v>
      </c>
      <c r="X27" s="1382"/>
      <c r="Y27" s="3882"/>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882"/>
      <c r="Q28" s="2191"/>
      <c r="R28" s="1380"/>
      <c r="S28" s="1381"/>
      <c r="T28" s="1380"/>
      <c r="U28" s="1381"/>
      <c r="V28" s="1380"/>
      <c r="W28" s="1381"/>
      <c r="X28" s="1382"/>
      <c r="Y28" s="3882"/>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82"/>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82"/>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82"/>
      <c r="Q30" s="1384" t="str">
        <f t="shared" si="8"/>
        <v>毗邻道路的类型与等级</v>
      </c>
      <c r="R30" s="1385" t="s">
        <v>5</v>
      </c>
      <c r="S30" s="1386">
        <f t="shared" si="9"/>
        <v>100</v>
      </c>
      <c r="T30" s="1385" t="s">
        <v>5</v>
      </c>
      <c r="U30" s="1386">
        <f t="shared" si="10"/>
        <v>100</v>
      </c>
      <c r="V30" s="1385" t="s">
        <v>5</v>
      </c>
      <c r="W30" s="1386">
        <f t="shared" si="11"/>
        <v>100</v>
      </c>
      <c r="X30" s="1379"/>
      <c r="Y30" s="3882"/>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82"/>
      <c r="Q31" s="1384"/>
      <c r="R31" s="1385"/>
      <c r="S31" s="1386"/>
      <c r="T31" s="1385"/>
      <c r="U31" s="1386"/>
      <c r="V31" s="1385"/>
      <c r="W31" s="1386"/>
      <c r="X31" s="1379"/>
      <c r="Y31" s="3882"/>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82"/>
      <c r="Q32" s="1384" t="str">
        <f t="shared" si="8"/>
        <v>土地级别</v>
      </c>
      <c r="R32" s="1385" t="s">
        <v>5</v>
      </c>
      <c r="S32" s="1386">
        <f t="shared" si="9"/>
        <v>100</v>
      </c>
      <c r="T32" s="1385" t="s">
        <v>5</v>
      </c>
      <c r="U32" s="1386">
        <f t="shared" si="10"/>
        <v>100</v>
      </c>
      <c r="V32" s="1385" t="s">
        <v>5</v>
      </c>
      <c r="W32" s="1386">
        <f t="shared" si="11"/>
        <v>100</v>
      </c>
      <c r="X32" s="1379"/>
      <c r="Y32" s="3882"/>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82"/>
      <c r="Q33" s="1384">
        <f t="shared" si="8"/>
        <v>111</v>
      </c>
      <c r="R33" s="1385" t="s">
        <v>5</v>
      </c>
      <c r="S33" s="1386">
        <f t="shared" si="9"/>
        <v>100</v>
      </c>
      <c r="T33" s="1385" t="s">
        <v>5</v>
      </c>
      <c r="U33" s="1386">
        <f t="shared" si="10"/>
        <v>100</v>
      </c>
      <c r="V33" s="1385" t="s">
        <v>5</v>
      </c>
      <c r="W33" s="1386">
        <f t="shared" si="11"/>
        <v>100</v>
      </c>
      <c r="X33" s="1379"/>
      <c r="Y33" s="3882"/>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83" t="s">
        <v>499</v>
      </c>
      <c r="Q34" s="1384">
        <f t="shared" si="8"/>
        <v>111</v>
      </c>
      <c r="R34" s="1385" t="s">
        <v>5</v>
      </c>
      <c r="S34" s="1386">
        <f t="shared" si="9"/>
        <v>100</v>
      </c>
      <c r="T34" s="1385" t="s">
        <v>5</v>
      </c>
      <c r="U34" s="1386">
        <f t="shared" si="10"/>
        <v>100</v>
      </c>
      <c r="V34" s="1385" t="s">
        <v>5</v>
      </c>
      <c r="W34" s="1386">
        <f t="shared" si="11"/>
        <v>100</v>
      </c>
      <c r="X34" s="1379"/>
      <c r="Y34" s="3884"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84"/>
      <c r="Q35" s="1384">
        <f t="shared" si="8"/>
        <v>111</v>
      </c>
      <c r="R35" s="1389" t="s">
        <v>5</v>
      </c>
      <c r="S35" s="1390">
        <f t="shared" si="9"/>
        <v>100</v>
      </c>
      <c r="T35" s="1389" t="s">
        <v>5</v>
      </c>
      <c r="U35" s="1390">
        <f t="shared" si="10"/>
        <v>100</v>
      </c>
      <c r="V35" s="1389" t="s">
        <v>5</v>
      </c>
      <c r="W35" s="1390">
        <f t="shared" si="11"/>
        <v>100</v>
      </c>
      <c r="X35" s="1391"/>
      <c r="Y35" s="3884"/>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84"/>
      <c r="Q36" s="1384" t="str">
        <f>B36</f>
        <v>宗地面积</v>
      </c>
      <c r="R36" s="1385" t="s">
        <v>5</v>
      </c>
      <c r="S36" s="1386" t="e">
        <f t="shared" si="9"/>
        <v>#N/A</v>
      </c>
      <c r="T36" s="1385" t="s">
        <v>5</v>
      </c>
      <c r="U36" s="1386" t="e">
        <f t="shared" si="10"/>
        <v>#N/A</v>
      </c>
      <c r="V36" s="1385" t="s">
        <v>5</v>
      </c>
      <c r="W36" s="1386" t="e">
        <f t="shared" si="11"/>
        <v>#N/A</v>
      </c>
      <c r="X36" s="1379"/>
      <c r="Y36" s="3884"/>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84"/>
      <c r="Q37" s="1384" t="str">
        <f t="shared" ref="Q37:Q42" si="13">B37</f>
        <v>宗地形状</v>
      </c>
      <c r="R37" s="1385" t="s">
        <v>5</v>
      </c>
      <c r="S37" s="1386">
        <f t="shared" si="9"/>
        <v>100</v>
      </c>
      <c r="T37" s="1385" t="s">
        <v>5</v>
      </c>
      <c r="U37" s="1386">
        <f t="shared" si="10"/>
        <v>100</v>
      </c>
      <c r="V37" s="1385" t="s">
        <v>5</v>
      </c>
      <c r="W37" s="1386">
        <f t="shared" si="11"/>
        <v>100</v>
      </c>
      <c r="X37" s="1379"/>
      <c r="Y37" s="3884"/>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84"/>
      <c r="Q38" s="1384" t="str">
        <f t="shared" si="13"/>
        <v>宗地开发程度</v>
      </c>
      <c r="R38" s="1380" t="s">
        <v>5</v>
      </c>
      <c r="S38" s="1381">
        <f t="shared" si="9"/>
        <v>100</v>
      </c>
      <c r="T38" s="1380" t="s">
        <v>5</v>
      </c>
      <c r="U38" s="1381">
        <f t="shared" si="10"/>
        <v>100</v>
      </c>
      <c r="V38" s="1380" t="s">
        <v>5</v>
      </c>
      <c r="W38" s="1381">
        <f t="shared" si="11"/>
        <v>100</v>
      </c>
      <c r="X38" s="1382"/>
      <c r="Y38" s="3884"/>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84" t="s">
        <v>549</v>
      </c>
      <c r="Q39" s="1384" t="str">
        <f t="shared" si="13"/>
        <v>工程地质条件</v>
      </c>
      <c r="R39" s="1385" t="s">
        <v>5</v>
      </c>
      <c r="S39" s="1386">
        <f t="shared" si="9"/>
        <v>100</v>
      </c>
      <c r="T39" s="1385" t="s">
        <v>5</v>
      </c>
      <c r="U39" s="1386">
        <f t="shared" si="10"/>
        <v>100</v>
      </c>
      <c r="V39" s="1385" t="s">
        <v>5</v>
      </c>
      <c r="W39" s="1386">
        <f t="shared" si="11"/>
        <v>100</v>
      </c>
      <c r="X39" s="1379"/>
      <c r="Y39" s="3884"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84"/>
      <c r="Q40" s="1384">
        <f t="shared" si="13"/>
        <v>111</v>
      </c>
      <c r="R40" s="1385" t="s">
        <v>5</v>
      </c>
      <c r="S40" s="1386">
        <f t="shared" si="9"/>
        <v>100</v>
      </c>
      <c r="T40" s="1385" t="s">
        <v>5</v>
      </c>
      <c r="U40" s="1386">
        <f t="shared" si="10"/>
        <v>100</v>
      </c>
      <c r="V40" s="1385" t="s">
        <v>5</v>
      </c>
      <c r="W40" s="1386">
        <f t="shared" si="11"/>
        <v>100</v>
      </c>
      <c r="X40" s="1379"/>
      <c r="Y40" s="3884"/>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84"/>
      <c r="Q41" s="1384">
        <f t="shared" si="13"/>
        <v>111</v>
      </c>
      <c r="R41" s="1385" t="s">
        <v>5</v>
      </c>
      <c r="S41" s="1386">
        <f t="shared" si="9"/>
        <v>100</v>
      </c>
      <c r="T41" s="1385" t="s">
        <v>5</v>
      </c>
      <c r="U41" s="1386">
        <f t="shared" si="10"/>
        <v>100</v>
      </c>
      <c r="V41" s="1385" t="s">
        <v>5</v>
      </c>
      <c r="W41" s="1386">
        <f t="shared" si="11"/>
        <v>100</v>
      </c>
      <c r="X41" s="1379"/>
      <c r="Y41" s="3884"/>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84"/>
      <c r="Q42" s="1384">
        <f t="shared" si="13"/>
        <v>111</v>
      </c>
      <c r="R42" s="1389" t="s">
        <v>5</v>
      </c>
      <c r="S42" s="1390">
        <f t="shared" si="9"/>
        <v>100</v>
      </c>
      <c r="T42" s="1389" t="s">
        <v>5</v>
      </c>
      <c r="U42" s="1390">
        <f t="shared" si="10"/>
        <v>100</v>
      </c>
      <c r="V42" s="1389" t="s">
        <v>5</v>
      </c>
      <c r="W42" s="1390">
        <f t="shared" si="11"/>
        <v>100</v>
      </c>
      <c r="X42" s="1391"/>
      <c r="Y42" s="3884"/>
      <c r="Z42" s="1392">
        <f t="shared" si="12"/>
        <v>111</v>
      </c>
      <c r="AA42" s="1388">
        <f t="shared" si="3"/>
        <v>1</v>
      </c>
      <c r="AB42" s="1388">
        <f t="shared" si="4"/>
        <v>1</v>
      </c>
      <c r="AC42" s="1388">
        <f t="shared" si="5"/>
        <v>1</v>
      </c>
    </row>
    <row r="43" spans="1:29" ht="15">
      <c r="A43" s="577" t="s">
        <v>505</v>
      </c>
      <c r="B43" s="578" t="s">
        <v>2197</v>
      </c>
      <c r="C43" s="579" t="s">
        <v>0</v>
      </c>
      <c r="D43" s="580"/>
      <c r="E43" s="581"/>
      <c r="F43" s="582"/>
      <c r="G43" s="583"/>
      <c r="H43" s="584"/>
      <c r="I43" s="581"/>
      <c r="J43" s="584"/>
      <c r="K43" s="1200"/>
      <c r="L43" s="1866"/>
      <c r="M43" s="1856"/>
      <c r="N43" s="1856"/>
      <c r="O43" s="1867"/>
      <c r="P43" s="3879" t="str">
        <f>A43</f>
        <v>成交单价</v>
      </c>
      <c r="Q43" s="3879"/>
      <c r="R43" s="3895">
        <f>E43</f>
        <v>0</v>
      </c>
      <c r="S43" s="3895"/>
      <c r="T43" s="3895">
        <f>G43</f>
        <v>0</v>
      </c>
      <c r="U43" s="3895"/>
      <c r="V43" s="3895">
        <f>I43</f>
        <v>0</v>
      </c>
      <c r="W43" s="3895"/>
      <c r="X43" s="1374"/>
      <c r="Y43" s="1393"/>
      <c r="Z43" s="1374"/>
      <c r="AA43" s="1374"/>
      <c r="AB43" s="1374"/>
      <c r="AC43" s="1374"/>
    </row>
    <row r="44" spans="1:29" ht="15.75" thickBot="1">
      <c r="A44" s="585" t="s">
        <v>1975</v>
      </c>
      <c r="B44" s="586"/>
      <c r="C44" s="587" t="e">
        <f>R45</f>
        <v>#DIV/0!</v>
      </c>
      <c r="D44" s="2755" t="s">
        <v>2261</v>
      </c>
      <c r="E44" s="587" t="e">
        <f>R44</f>
        <v>#DIV/0!</v>
      </c>
      <c r="F44" s="2756"/>
      <c r="G44" s="588" t="e">
        <f>T44</f>
        <v>#DIV/0!</v>
      </c>
      <c r="H44" s="2756"/>
      <c r="I44" s="587" t="e">
        <f>V44</f>
        <v>#DIV/0!</v>
      </c>
      <c r="J44" s="2756"/>
      <c r="K44" s="2757">
        <f>F44+H44+J44</f>
        <v>0</v>
      </c>
      <c r="L44" s="1866"/>
      <c r="M44" s="1856"/>
      <c r="N44" s="1856"/>
      <c r="O44" s="1867"/>
      <c r="P44" s="3879" t="str">
        <f>A44</f>
        <v>比较价格（元/平方米）</v>
      </c>
      <c r="Q44" s="3879"/>
      <c r="R44" s="3903" t="e">
        <f>ROUND(PRODUCT(R43,AA9:AA42),0)</f>
        <v>#DIV/0!</v>
      </c>
      <c r="S44" s="3903"/>
      <c r="T44" s="3903" t="e">
        <f>ROUND(PRODUCT(T43,AB9:AB42),0)</f>
        <v>#DIV/0!</v>
      </c>
      <c r="U44" s="3903"/>
      <c r="V44" s="3903" t="e">
        <f>ROUND(PRODUCT(V43,AC9:AC42),0)</f>
        <v>#DIV/0!</v>
      </c>
      <c r="W44" s="3903"/>
      <c r="X44" s="1374"/>
      <c r="Y44" s="1374"/>
      <c r="Z44" s="1374"/>
      <c r="AA44" s="1374"/>
      <c r="AB44" s="1374"/>
      <c r="AC44" s="1374"/>
    </row>
    <row r="45" spans="1:29" ht="15.75" thickBot="1">
      <c r="A45" s="589" t="s">
        <v>2198</v>
      </c>
      <c r="B45" s="590"/>
      <c r="C45" s="591" t="e">
        <f>R45</f>
        <v>#DIV/0!</v>
      </c>
      <c r="D45" s="591"/>
      <c r="E45" s="591"/>
      <c r="F45" s="591"/>
      <c r="G45" s="591"/>
      <c r="H45" s="591"/>
      <c r="I45" s="591"/>
      <c r="J45" s="591"/>
      <c r="K45" s="1201"/>
      <c r="L45" s="1866"/>
      <c r="M45" s="1856"/>
      <c r="N45" s="1856"/>
      <c r="O45" s="1867"/>
      <c r="P45" s="3885" t="str">
        <f>A45</f>
        <v>估价对象XX用房的比较价格（楼面单价，元/平方米）</v>
      </c>
      <c r="Q45" s="3886"/>
      <c r="R45" s="3912" t="e">
        <f>ROUND(IF(D44="简单平均",AVERAGE(R44:W44),R44*F44+T44*H44+V44*J44),0)</f>
        <v>#DIV/0!</v>
      </c>
      <c r="S45" s="3912"/>
      <c r="T45" s="3912"/>
      <c r="U45" s="3912"/>
      <c r="V45" s="3912"/>
      <c r="W45" s="3912"/>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08" t="s">
        <v>1642</v>
      </c>
      <c r="H52" s="3909"/>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109460.71999999999</v>
      </c>
      <c r="F53" s="1705" t="e">
        <f t="shared" ref="F53:F61" si="14">ROUND(B53*E53/10000,0)</f>
        <v>#DIV/0!</v>
      </c>
      <c r="G53" s="3910"/>
      <c r="H53" s="3911"/>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0.6</v>
      </c>
      <c r="D54" s="1947">
        <v>0.25</v>
      </c>
      <c r="E54" s="607"/>
      <c r="F54" s="1705" t="e">
        <f t="shared" si="14"/>
        <v>#DIV/0!</v>
      </c>
      <c r="G54" s="3277" t="s">
        <v>1643</v>
      </c>
      <c r="H54" s="1709" t="str">
        <f>项目基本情况!B43</f>
        <v>七级</v>
      </c>
      <c r="I54" s="1708">
        <f>SUMIF(修正!$A$57:$A$68,H54,修正!B57:B68)</f>
        <v>0.6</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0.3</v>
      </c>
      <c r="D55" s="1947">
        <v>0.25</v>
      </c>
      <c r="E55" s="607"/>
      <c r="F55" s="1705" t="e">
        <f t="shared" si="14"/>
        <v>#DIV/0!</v>
      </c>
      <c r="G55" s="3278"/>
      <c r="H55" s="1710" t="str">
        <f>项目基本情况!B43</f>
        <v>七级</v>
      </c>
      <c r="I55" s="1708">
        <f>SUMIF(修正!$A$57:$A$68,H55,修正!C57:C68)</f>
        <v>0.3</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0.25</v>
      </c>
      <c r="D56" s="1947">
        <v>0.25</v>
      </c>
      <c r="E56" s="607"/>
      <c r="F56" s="1705" t="e">
        <f t="shared" si="14"/>
        <v>#DIV/0!</v>
      </c>
      <c r="G56" s="3278"/>
      <c r="H56" s="1710" t="str">
        <f>项目基本情况!B43</f>
        <v>七级</v>
      </c>
      <c r="I56" s="1708">
        <f>SUMIF(修正!$A$57:$A$68,H56,修正!D57:D68)</f>
        <v>0.25</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6" t="e">
        <f t="shared" si="16"/>
        <v>#DIV/0!</v>
      </c>
      <c r="C57" s="365">
        <f t="shared" si="15"/>
        <v>0.25</v>
      </c>
      <c r="D57" s="1947">
        <v>0.25</v>
      </c>
      <c r="E57" s="609">
        <f>'数据-汇总表'!E11</f>
        <v>50</v>
      </c>
      <c r="F57" s="1705" t="e">
        <f t="shared" si="14"/>
        <v>#DIV/0!</v>
      </c>
      <c r="G57" s="1711" t="s">
        <v>1644</v>
      </c>
      <c r="H57" s="1710" t="str">
        <f>项目基本情况!C43</f>
        <v>七级</v>
      </c>
      <c r="I57" s="1708">
        <f>SUMIF(修正!$A$57:$A$68,H57,修正!E57:E68)</f>
        <v>0.25</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0.25</v>
      </c>
      <c r="D58" s="1947">
        <v>0.25</v>
      </c>
      <c r="E58" s="609">
        <f>'数据-汇总表'!E12</f>
        <v>11410.09</v>
      </c>
      <c r="F58" s="1705" t="e">
        <f t="shared" si="14"/>
        <v>#DIV/0!</v>
      </c>
      <c r="G58" s="1701" t="s">
        <v>1212</v>
      </c>
      <c r="H58" s="1709" t="str">
        <f>IF(G58="商业",项目基本情况!B43,IF(G58="办公",项目基本情况!C43,IF(G58="住宅",项目基本情况!D43,项目基本情况!E43)))</f>
        <v>七级</v>
      </c>
      <c r="I58" s="1708">
        <f>SUMIF(修正!$A$57:$A$68,H58,修正!F57:F68)</f>
        <v>0.25</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0.15</v>
      </c>
      <c r="D59" s="1947">
        <v>0.25</v>
      </c>
      <c r="E59" s="609">
        <f>'数据-汇总表'!E13</f>
        <v>16237.789999999999</v>
      </c>
      <c r="F59" s="1705" t="e">
        <f t="shared" si="14"/>
        <v>#DIV/0!</v>
      </c>
      <c r="G59" s="1701" t="s">
        <v>851</v>
      </c>
      <c r="H59" s="1709" t="str">
        <f>IF(G59="商业",项目基本情况!B43,IF(G59="办公",项目基本情况!C43,IF(G59="住宅",项目基本情况!D43,项目基本情况!E43)))</f>
        <v>七级</v>
      </c>
      <c r="I59" s="1708">
        <f>SUMIF(修正!$A$57:$A$68,H59,修正!G57:G68)</f>
        <v>0.15</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0.15</v>
      </c>
      <c r="D60" s="1947">
        <v>0.25</v>
      </c>
      <c r="E60" s="609">
        <f>'数据-汇总表'!E14</f>
        <v>0</v>
      </c>
      <c r="F60" s="1705" t="e">
        <f t="shared" si="14"/>
        <v>#DIV/0!</v>
      </c>
      <c r="G60" s="1711" t="s">
        <v>1643</v>
      </c>
      <c r="H60" s="1710" t="str">
        <f>项目基本情况!B43</f>
        <v>七级</v>
      </c>
      <c r="I60" s="1708">
        <f>SUMIF(修正!$A$57:$A$68,H60,修正!G57:G68)</f>
        <v>0.15</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0.15</v>
      </c>
      <c r="D61" s="1947">
        <v>0.25</v>
      </c>
      <c r="E61" s="609">
        <f>'数据-汇总表'!E15</f>
        <v>0</v>
      </c>
      <c r="F61" s="1705" t="e">
        <f t="shared" si="14"/>
        <v>#DIV/0!</v>
      </c>
      <c r="G61" s="1712" t="s">
        <v>1644</v>
      </c>
      <c r="H61" s="1713" t="str">
        <f>项目基本情况!C43</f>
        <v>七级</v>
      </c>
      <c r="I61" s="1708">
        <f>SUMIF(修正!$A$57:$A$68,H61,修正!G57:G68)</f>
        <v>0.15</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1651</v>
      </c>
      <c r="E62" s="611">
        <f>IF(B43="楼面地价",SUM(E53:E61),'数据-汇总表'!D3)</f>
        <v>69193.56</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北京市平均增长率1.07%</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J23" sqref="J23"/>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1598</v>
      </c>
      <c r="M2" s="1641">
        <f>SUMPRODUCT((区片价!B10:B28=I2)*(区片价!C3:G3=E2)*(区片价!C10:G28))</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6" t="e">
        <f>ROUND(C6*C17+C20,0)</f>
        <v>#DIV/0!</v>
      </c>
      <c r="E5" s="2546"/>
      <c r="F5" s="1270"/>
      <c r="G5" s="1271"/>
      <c r="H5" s="1271"/>
      <c r="I5" s="1271"/>
      <c r="J5" s="1272"/>
      <c r="K5" s="2975"/>
      <c r="L5" s="1640" t="s">
        <v>1601</v>
      </c>
      <c r="M5" s="1641">
        <f>SUMPRODUCT((区片价!B76:B109=I2)*(区片价!C3:G3=E2)*(区片价!C76:G109))</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9" t="s">
        <v>1395</v>
      </c>
      <c r="B6" s="1276" t="s">
        <v>859</v>
      </c>
      <c r="C6" s="3520">
        <f>SUMIF(L1:L12,G2,M1:M12)</f>
        <v>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4" t="s">
        <v>3200</v>
      </c>
      <c r="B7" s="1277" t="s">
        <v>860</v>
      </c>
      <c r="C7" s="3525" t="e">
        <f>IF(C8="不临65条商业街",1,ROUND(1+(1.6*E8+1.2*E9+0.8*E10+0.4*E11)*C9,4))</f>
        <v>#DIV/0!</v>
      </c>
      <c r="D7" s="3526" t="s">
        <v>861</v>
      </c>
      <c r="E7" s="3527"/>
      <c r="F7" s="3528"/>
      <c r="G7" s="3528"/>
      <c r="H7" s="3528"/>
      <c r="I7" s="3528"/>
      <c r="J7" s="3529"/>
      <c r="K7" s="2976"/>
      <c r="L7" s="1640" t="s">
        <v>1603</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27" t="s">
        <v>2060</v>
      </c>
      <c r="X8" s="3928"/>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26"/>
      <c r="X9" s="2410" t="s">
        <v>3224</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26"/>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4" t="s">
        <v>3201</v>
      </c>
      <c r="B12" s="3505" t="s">
        <v>3202</v>
      </c>
      <c r="C12" s="3511">
        <v>1.02</v>
      </c>
      <c r="D12" s="3506" t="s">
        <v>3203</v>
      </c>
      <c r="E12" s="3507" t="s">
        <v>3204</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4" t="s">
        <v>3205</v>
      </c>
      <c r="B13" s="1282" t="s">
        <v>874</v>
      </c>
      <c r="C13" s="3525">
        <f>ROUND(C16*D16*E16*F16*G16*H16*I16*J16,4)</f>
        <v>0</v>
      </c>
      <c r="D13" s="3543" t="s">
        <v>3206</v>
      </c>
      <c r="E13" s="3544"/>
      <c r="F13" s="3544"/>
      <c r="G13" s="3544"/>
      <c r="H13" s="3544"/>
      <c r="I13" s="3544"/>
      <c r="J13" s="3545"/>
      <c r="K13" s="2594"/>
      <c r="L13" s="2594"/>
      <c r="M13" s="2594"/>
      <c r="N13" s="2594"/>
      <c r="O13" s="2594"/>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3207</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3208</v>
      </c>
      <c r="H15" s="3515"/>
      <c r="I15" s="3516"/>
      <c r="J15" s="3517"/>
      <c r="K15" s="3518"/>
      <c r="L15" s="2595"/>
      <c r="M15" s="2595"/>
      <c r="N15" s="2595"/>
      <c r="O15" s="2595"/>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3209</v>
      </c>
      <c r="B17" s="3555" t="s">
        <v>3210</v>
      </c>
      <c r="C17" s="3563">
        <f>ROUND(IF(OR(E2="工业",E2="公共服务"),1,IF(AND(E18=0,E19=0),1,IF(AND(E18=J24,E19=G19),0.8,IF(E19=0,1+E17*(-0.2),1+E17*G17*(-0.2))))),4)</f>
        <v>1</v>
      </c>
      <c r="D17" s="3556" t="s">
        <v>3211</v>
      </c>
      <c r="E17" s="3563" t="e">
        <f>ROUND(G18/I18,2)</f>
        <v>#DIV/0!</v>
      </c>
      <c r="F17" s="3556" t="s">
        <v>3214</v>
      </c>
      <c r="G17" s="3563" t="e">
        <f>ROUND(E19/G19,2)</f>
        <v>#DIV/0!</v>
      </c>
      <c r="H17" s="3563"/>
      <c r="I17" s="3563"/>
      <c r="J17" s="3644"/>
      <c r="K17" s="2595"/>
      <c r="L17" s="2595"/>
      <c r="M17" s="2595"/>
      <c r="N17" s="2595"/>
      <c r="O17" s="2595"/>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6"/>
      <c r="B18" s="3422"/>
      <c r="C18" s="3561"/>
      <c r="D18" s="3557" t="s">
        <v>3212</v>
      </c>
      <c r="E18" s="3562"/>
      <c r="F18" s="3559" t="s">
        <v>3215</v>
      </c>
      <c r="G18" s="3561">
        <f>ROUND(1-(1/(POWER(1+G24,E18))),4)</f>
        <v>0</v>
      </c>
      <c r="H18" s="3559" t="s">
        <v>3217</v>
      </c>
      <c r="I18" s="3561">
        <f>ROUND(1-(1/(POWER(1+G24,J24))),4)</f>
        <v>0</v>
      </c>
      <c r="J18" s="3645"/>
      <c r="K18" s="2595"/>
      <c r="L18" s="2595"/>
      <c r="M18" s="2595"/>
      <c r="N18" s="2595"/>
      <c r="O18" s="2595"/>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3213</v>
      </c>
      <c r="E19" s="3564"/>
      <c r="F19" s="3560" t="s">
        <v>3216</v>
      </c>
      <c r="G19" s="3564"/>
      <c r="H19" s="3558"/>
      <c r="I19" s="3558"/>
      <c r="J19" s="3646"/>
      <c r="K19" s="2595"/>
      <c r="L19" s="2595"/>
      <c r="M19" s="2595"/>
      <c r="N19" s="2595"/>
      <c r="O19" s="2595"/>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20" t="s">
        <v>1370</v>
      </c>
      <c r="B20" s="1277" t="s">
        <v>875</v>
      </c>
      <c r="C20" s="997" t="e">
        <f>ROUND(IF(F21="与级别开发程度一致",0,(G21-E21)/C21),0)</f>
        <v>#DIV/0!</v>
      </c>
      <c r="D20" s="3932" t="s">
        <v>879</v>
      </c>
      <c r="E20" s="3933"/>
      <c r="F20" s="3932" t="s">
        <v>876</v>
      </c>
      <c r="G20" s="3933"/>
      <c r="H20" s="1290"/>
      <c r="I20" s="1290"/>
      <c r="J20" s="1290"/>
      <c r="K20" s="1290"/>
      <c r="L20" s="1290"/>
      <c r="M20" s="1290"/>
      <c r="N20" s="1290"/>
      <c r="O20" s="2604"/>
      <c r="P20" s="1910"/>
      <c r="Q20" s="1913"/>
      <c r="R20" s="1916"/>
      <c r="S20" s="1916"/>
      <c r="T20" s="1916"/>
      <c r="U20" s="1916"/>
      <c r="V20" s="1916"/>
      <c r="W20" s="1916"/>
      <c r="X20" s="1916"/>
      <c r="Y20" s="1294"/>
      <c r="Z20" s="1294"/>
      <c r="AA20" s="1294"/>
      <c r="AB20" s="1294"/>
      <c r="AC20" s="1294"/>
      <c r="AD20" s="1294"/>
    </row>
    <row r="21" spans="1:40" s="1275" customFormat="1" ht="15" thickBot="1">
      <c r="A21" s="3921"/>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0</v>
      </c>
      <c r="F21" s="2598"/>
      <c r="G21" s="2597">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8">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0" t="s">
        <v>880</v>
      </c>
      <c r="C22" s="2601">
        <f>SUMIF(修正!C20:C51,E3,修正!E20:E51)</f>
        <v>0</v>
      </c>
      <c r="D22" s="2602"/>
      <c r="E22" s="2603"/>
      <c r="F22" s="2588"/>
      <c r="G22" s="2587"/>
      <c r="H22" s="2587"/>
      <c r="I22" s="2587"/>
      <c r="J22" s="2593"/>
      <c r="K22" s="2975"/>
      <c r="L22" s="2587"/>
      <c r="M22" s="2587"/>
      <c r="N22" s="2587"/>
      <c r="O22" s="2587"/>
      <c r="P22" s="2980"/>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999">
        <v>44197</v>
      </c>
      <c r="F23" s="1296" t="s">
        <v>883</v>
      </c>
      <c r="G23" s="1000">
        <f>'数据-取费表'!B2</f>
        <v>44929</v>
      </c>
      <c r="H23" s="1297" t="s">
        <v>2247</v>
      </c>
      <c r="I23" s="2265" t="str">
        <f>IF(H23="季度增幅（自定义）",SUMIF(N25:N28,E2,O25:O28),"")</f>
        <v/>
      </c>
      <c r="J23" s="3565"/>
      <c r="K23" s="2975"/>
      <c r="L23" s="2509" t="s">
        <v>2116</v>
      </c>
      <c r="M23" s="2510">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7.75" thickBot="1">
      <c r="A24" s="2259" t="s">
        <v>1365</v>
      </c>
      <c r="B24" s="2260" t="s">
        <v>896</v>
      </c>
      <c r="C24" s="2261" t="e">
        <f>ROUND(POWER(1+G24,J24-I24)*(POWER(1+G24,I24)-1)/(POWER(1+G24,J24)-1),4)</f>
        <v>#DIV/0!</v>
      </c>
      <c r="D24" s="2262" t="s">
        <v>897</v>
      </c>
      <c r="E24" s="2538">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5"/>
      <c r="L24" s="2511" t="s">
        <v>2117</v>
      </c>
      <c r="M24" s="2590">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6">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6" t="s">
        <v>3218</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3219</v>
      </c>
      <c r="J26" s="1001" t="str">
        <f>IF(G3&gt;=10,D116,"——")</f>
        <v>——</v>
      </c>
      <c r="K26" s="2981"/>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2"/>
      <c r="L28" s="1303"/>
      <c r="M28" s="1303"/>
      <c r="N28" s="1300" t="s">
        <v>905</v>
      </c>
      <c r="O28" s="2589"/>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1" t="s">
        <v>1930</v>
      </c>
      <c r="O29" s="2592"/>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8"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3246</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6"/>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7" t="s">
        <v>3221</v>
      </c>
      <c r="G33" s="1326"/>
      <c r="H33" s="1326"/>
      <c r="I33" s="1326"/>
      <c r="J33" s="1327"/>
      <c r="K33" s="2983"/>
      <c r="L33" s="3637" t="s">
        <v>3247</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8" t="s">
        <v>3222</v>
      </c>
      <c r="G34" s="1331"/>
      <c r="H34" s="1331"/>
      <c r="I34" s="1331"/>
      <c r="J34" s="1332"/>
      <c r="K34" s="2976"/>
      <c r="L34" s="3637" t="s">
        <v>3248</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9" t="s">
        <v>3249</v>
      </c>
      <c r="L36" s="3641">
        <v>3.6999999999999998E-2</v>
      </c>
      <c r="M36" s="3642">
        <f>ROUND($L$36*(1+M31),3)</f>
        <v>4.5999999999999999E-2</v>
      </c>
      <c r="N36" s="3642">
        <f>ROUND($L$36*(1+N31),3)</f>
        <v>4.3999999999999997E-2</v>
      </c>
      <c r="O36" s="3642">
        <f>ROUND($L$36*(1+O31),3)</f>
        <v>4.2999999999999997E-2</v>
      </c>
      <c r="P36" s="3642">
        <f>ROUND($L$36*(1+P31),3)</f>
        <v>4.1000000000000002E-2</v>
      </c>
      <c r="Q36" s="3642">
        <f>ROUND($L$36*(1+Q31),3)</f>
        <v>4.2999999999999997E-2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24"/>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24"/>
      <c r="K37" s="3640" t="s">
        <v>3250</v>
      </c>
      <c r="L37" s="3641">
        <f>L36+K38</f>
        <v>4.1999999999999996E-2</v>
      </c>
      <c r="M37" s="3642">
        <f>ROUND($L$37*(1+M31),3)</f>
        <v>5.2999999999999999E-2</v>
      </c>
      <c r="N37" s="3642">
        <f t="shared" ref="N37:Q37" si="3">ROUND($L$37*(1+N31),3)</f>
        <v>0.05</v>
      </c>
      <c r="O37" s="3642">
        <f t="shared" si="3"/>
        <v>4.8000000000000001E-2</v>
      </c>
      <c r="P37" s="3642">
        <f t="shared" si="3"/>
        <v>4.5999999999999999E-2</v>
      </c>
      <c r="Q37" s="3642">
        <f t="shared" si="3"/>
        <v>4.8000000000000001E-2</v>
      </c>
      <c r="R37" s="1911"/>
      <c r="S37" s="1911"/>
      <c r="T37" s="1911"/>
      <c r="U37" s="1911"/>
      <c r="V37" s="1911"/>
      <c r="W37" s="1910"/>
      <c r="X37" s="1910"/>
      <c r="Y37" s="1910"/>
      <c r="Z37" s="1910"/>
      <c r="AA37" s="1910"/>
      <c r="AB37" s="1910"/>
      <c r="AC37" s="1911"/>
    </row>
    <row r="38" spans="1:44" ht="12.75">
      <c r="A38" s="3925"/>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25"/>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25"/>
      <c r="B39" s="3569" t="s">
        <v>3223</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25"/>
      <c r="K39" s="2594"/>
      <c r="L39" s="2594"/>
      <c r="M39" s="2594"/>
      <c r="N39" s="2594"/>
      <c r="O39" s="2594"/>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3" t="s">
        <v>3251</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6" t="s">
        <v>2243</v>
      </c>
      <c r="C44" s="804" t="e">
        <f>ROUND(POWER(1+E44,H44-G44)*(POWER(1+E44,G44)-1)/(POWER(1+E44,H44)-1),4)</f>
        <v>#DIV/0!</v>
      </c>
      <c r="D44" s="365" t="s">
        <v>2241</v>
      </c>
      <c r="E44" s="2585">
        <f>G24</f>
        <v>0</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36">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c r="A52" s="3570" t="s">
        <v>3225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36">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c r="A63" s="3570" t="s">
        <v>3225</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36">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c r="A74" s="3570" t="s">
        <v>3225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24">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24">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24">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5">
      <c r="A91" s="3571" t="s">
        <v>3234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3235</v>
      </c>
      <c r="B92" s="3572"/>
      <c r="C92" s="3572" t="s">
        <v>3240</v>
      </c>
      <c r="D92" s="3572" t="s">
        <v>3227</v>
      </c>
      <c r="E92" s="3629" t="s">
        <v>3228</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36">
      <c r="A94" s="3572" t="s">
        <v>3237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36">
      <c r="A95" s="3627" t="s">
        <v>3225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6.75">
      <c r="A96" s="3572" t="s">
        <v>3229</v>
      </c>
      <c r="B96" s="3576" t="s">
        <v>3230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3231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24">
      <c r="A98" s="3572" t="s">
        <v>3238</v>
      </c>
      <c r="B98" s="3604" t="s">
        <v>2199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3239</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3232</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24.75" thickBot="1">
      <c r="A101" s="3572" t="s">
        <v>3233</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22" t="s">
        <v>1172</v>
      </c>
      <c r="B104" s="3922"/>
      <c r="C104" s="3922"/>
      <c r="D104" s="3922"/>
      <c r="E104" s="3922"/>
      <c r="F104" s="3922"/>
      <c r="G104" s="3922"/>
      <c r="H104" s="3922"/>
      <c r="I104" s="3922"/>
      <c r="J104" s="3922"/>
      <c r="K104" s="2102"/>
      <c r="L104" s="2102"/>
      <c r="M104" s="2102"/>
      <c r="N104" s="2102"/>
    </row>
    <row r="105" spans="1:36">
      <c r="A105" s="3923" t="s">
        <v>1161</v>
      </c>
      <c r="B105" s="3923" t="s">
        <v>1173</v>
      </c>
      <c r="C105" s="1040" t="s">
        <v>1174</v>
      </c>
      <c r="D105" s="1041"/>
      <c r="E105" s="1041"/>
      <c r="F105" s="1041"/>
      <c r="G105" s="1041"/>
      <c r="H105" s="1041"/>
      <c r="I105" s="1041"/>
      <c r="J105" s="1042"/>
      <c r="K105" s="1034"/>
      <c r="L105" s="1034"/>
      <c r="M105" s="1034"/>
      <c r="N105" s="1034"/>
    </row>
    <row r="106" spans="1:36">
      <c r="A106" s="3923"/>
      <c r="B106" s="3923"/>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29"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30"/>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30"/>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30"/>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30"/>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30"/>
      <c r="B112" s="1043" t="s">
        <v>3241</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31"/>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19" t="s">
        <v>1175</v>
      </c>
      <c r="B114" s="3919"/>
      <c r="C114" s="3919"/>
      <c r="D114" s="3919"/>
      <c r="E114" s="3919"/>
      <c r="F114" s="3919"/>
      <c r="G114" s="3919"/>
      <c r="H114" s="3919"/>
      <c r="I114" s="3919"/>
      <c r="J114" s="3919"/>
      <c r="K114" s="2100"/>
      <c r="L114" s="2100"/>
      <c r="M114" s="2100"/>
      <c r="N114" s="2100"/>
    </row>
    <row r="116" spans="1:14" ht="12.75" thickBot="1"/>
    <row r="117" spans="1:14" ht="25.5"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1" t="s">
        <v>3242</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3243</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3244</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3245</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3226</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2764</v>
      </c>
      <c r="B1" s="1012" t="s">
        <v>990</v>
      </c>
      <c r="C1" s="1012" t="s">
        <v>1031</v>
      </c>
      <c r="D1" s="1012" t="s">
        <v>1145</v>
      </c>
      <c r="E1" s="1012" t="s">
        <v>853</v>
      </c>
      <c r="F1" s="1012" t="s">
        <v>1152</v>
      </c>
      <c r="G1" s="1012" t="s">
        <v>1153</v>
      </c>
      <c r="H1" s="1012" t="s">
        <v>1154</v>
      </c>
      <c r="I1" s="1012" t="s">
        <v>1155</v>
      </c>
      <c r="J1" s="1012" t="s">
        <v>1156</v>
      </c>
      <c r="K1" s="1012" t="s">
        <v>1157</v>
      </c>
      <c r="L1" s="1012" t="s">
        <v>2765</v>
      </c>
      <c r="M1" s="1013" t="s">
        <v>2766</v>
      </c>
    </row>
    <row r="2" spans="1:13">
      <c r="A2" s="3232" t="s">
        <v>2741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2767</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2739</v>
      </c>
      <c r="B7" s="3246">
        <v>2.5</v>
      </c>
      <c r="C7" s="3246">
        <v>2.5</v>
      </c>
      <c r="D7" s="3246">
        <v>2</v>
      </c>
      <c r="E7" s="3246">
        <v>2</v>
      </c>
      <c r="F7" s="3246">
        <v>2</v>
      </c>
      <c r="G7" s="3246">
        <v>2</v>
      </c>
      <c r="H7" s="3246">
        <v>2</v>
      </c>
      <c r="I7" s="3247">
        <v>1.5</v>
      </c>
      <c r="J7" s="3247">
        <v>1.5</v>
      </c>
      <c r="K7" s="3247">
        <v>1.5</v>
      </c>
      <c r="L7" s="3247">
        <v>1.5</v>
      </c>
      <c r="M7" s="3248">
        <v>1.5</v>
      </c>
    </row>
    <row r="8" spans="1:13">
      <c r="A8" s="1026" t="s">
        <v>2768</v>
      </c>
      <c r="B8" s="3249">
        <v>80</v>
      </c>
      <c r="C8" s="3249">
        <v>80</v>
      </c>
      <c r="D8" s="3249">
        <v>70</v>
      </c>
      <c r="E8" s="3249">
        <v>70</v>
      </c>
      <c r="F8" s="3249">
        <v>70</v>
      </c>
      <c r="G8" s="3249">
        <v>70</v>
      </c>
      <c r="H8" s="3249">
        <v>70</v>
      </c>
      <c r="I8" s="3249">
        <v>60</v>
      </c>
      <c r="J8" s="3249">
        <v>60</v>
      </c>
      <c r="K8" s="3249">
        <v>60</v>
      </c>
      <c r="L8" s="3249">
        <v>60</v>
      </c>
      <c r="M8" s="3250">
        <v>60</v>
      </c>
    </row>
    <row r="9" spans="1:13">
      <c r="A9" s="1008" t="s">
        <v>2769</v>
      </c>
      <c r="B9" s="3251">
        <v>70</v>
      </c>
      <c r="C9" s="3251">
        <v>70</v>
      </c>
      <c r="D9" s="3251">
        <v>60</v>
      </c>
      <c r="E9" s="3251">
        <v>60</v>
      </c>
      <c r="F9" s="3251">
        <v>60</v>
      </c>
      <c r="G9" s="3251">
        <v>60</v>
      </c>
      <c r="H9" s="3251">
        <v>60</v>
      </c>
      <c r="I9" s="3251">
        <v>50</v>
      </c>
      <c r="J9" s="3251">
        <v>50</v>
      </c>
      <c r="K9" s="3251">
        <v>50</v>
      </c>
      <c r="L9" s="3251">
        <v>50</v>
      </c>
      <c r="M9" s="3252">
        <v>50</v>
      </c>
    </row>
    <row r="10" spans="1:13">
      <c r="A10" s="1008" t="s">
        <v>2770</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2771</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2772</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2773</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2774</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2775</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6" t="s">
        <v>2776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9" t="s">
        <v>1160</v>
      </c>
      <c r="B18" s="1029"/>
      <c r="C18" s="1030"/>
      <c r="D18" s="1030"/>
      <c r="E18" s="1029"/>
      <c r="F18" s="1030"/>
      <c r="G18" s="1030"/>
    </row>
    <row r="19" spans="1:13" ht="14.25" thickBot="1">
      <c r="A19" s="3253" t="s">
        <v>2458</v>
      </c>
      <c r="B19" s="3255" t="s">
        <v>2459</v>
      </c>
      <c r="C19" s="3256" t="s">
        <v>2460</v>
      </c>
      <c r="D19" s="3257"/>
      <c r="E19" s="3251" t="s">
        <v>2461</v>
      </c>
      <c r="F19" s="1032"/>
      <c r="G19" s="1032"/>
    </row>
    <row r="20" spans="1:13" s="1407" customFormat="1">
      <c r="A20" s="3938" t="s">
        <v>2452</v>
      </c>
      <c r="B20" s="3941" t="s">
        <v>2462</v>
      </c>
      <c r="C20" s="3258" t="s">
        <v>2463</v>
      </c>
      <c r="D20" s="3259"/>
      <c r="E20" s="3260">
        <v>1</v>
      </c>
      <c r="F20" s="3261" t="s">
        <v>2464</v>
      </c>
      <c r="G20" s="1034"/>
      <c r="H20" s="1024"/>
      <c r="I20" s="1024"/>
    </row>
    <row r="21" spans="1:13" s="1407" customFormat="1">
      <c r="A21" s="3939"/>
      <c r="B21" s="3937"/>
      <c r="C21" s="3262" t="s">
        <v>2465</v>
      </c>
      <c r="D21" s="3263"/>
      <c r="E21" s="3264">
        <v>1</v>
      </c>
      <c r="F21" s="3261" t="s">
        <v>2466</v>
      </c>
      <c r="G21" s="1034"/>
      <c r="H21" s="1024"/>
      <c r="I21" s="1024"/>
    </row>
    <row r="22" spans="1:13" s="1407" customFormat="1">
      <c r="A22" s="3939"/>
      <c r="B22" s="3937"/>
      <c r="C22" s="3262" t="s">
        <v>2467</v>
      </c>
      <c r="D22" s="3263"/>
      <c r="E22" s="3264">
        <v>0.9</v>
      </c>
      <c r="F22" s="3261" t="s">
        <v>2468</v>
      </c>
      <c r="G22" s="1034"/>
      <c r="H22" s="1024"/>
      <c r="I22" s="1024"/>
    </row>
    <row r="23" spans="1:13" s="1407" customFormat="1">
      <c r="A23" s="3939"/>
      <c r="B23" s="3937"/>
      <c r="C23" s="3262" t="s">
        <v>2469</v>
      </c>
      <c r="D23" s="3263"/>
      <c r="E23" s="3264">
        <v>0.9</v>
      </c>
      <c r="F23" s="3261" t="s">
        <v>2470</v>
      </c>
      <c r="G23" s="1034"/>
      <c r="H23" s="1024"/>
      <c r="I23" s="1024"/>
    </row>
    <row r="24" spans="1:13" s="1407" customFormat="1">
      <c r="A24" s="3939"/>
      <c r="B24" s="3937"/>
      <c r="C24" s="3262" t="s">
        <v>2471</v>
      </c>
      <c r="D24" s="3263"/>
      <c r="E24" s="3264">
        <v>0.8</v>
      </c>
      <c r="F24" s="3261" t="s">
        <v>2472</v>
      </c>
      <c r="G24" s="1034"/>
      <c r="H24" s="1024"/>
      <c r="I24" s="1024"/>
    </row>
    <row r="25" spans="1:13" s="1407" customFormat="1" ht="14.25" thickBot="1">
      <c r="A25" s="3940"/>
      <c r="B25" s="3942"/>
      <c r="C25" s="3265" t="s">
        <v>2473</v>
      </c>
      <c r="D25" s="3266"/>
      <c r="E25" s="3267">
        <v>0.8</v>
      </c>
      <c r="F25" s="3261" t="s">
        <v>2474</v>
      </c>
      <c r="G25" s="1034"/>
      <c r="H25" s="1024"/>
      <c r="I25" s="1024"/>
    </row>
    <row r="26" spans="1:13" s="1407" customFormat="1" ht="14.25" thickBot="1">
      <c r="A26" s="3268" t="s">
        <v>2453</v>
      </c>
      <c r="B26" s="3269" t="s">
        <v>2462</v>
      </c>
      <c r="C26" s="3270" t="s">
        <v>2475</v>
      </c>
      <c r="D26" s="3271"/>
      <c r="E26" s="3272">
        <v>1</v>
      </c>
      <c r="F26" s="3261" t="s">
        <v>2476</v>
      </c>
      <c r="G26" s="1034"/>
      <c r="H26" s="1024"/>
      <c r="I26" s="1024"/>
    </row>
    <row r="27" spans="1:13" s="1407" customFormat="1">
      <c r="A27" s="3943" t="s">
        <v>2457</v>
      </c>
      <c r="B27" s="3941" t="s">
        <v>2457</v>
      </c>
      <c r="C27" s="3258" t="s">
        <v>2477</v>
      </c>
      <c r="D27" s="3259"/>
      <c r="E27" s="3260">
        <v>1</v>
      </c>
      <c r="F27" s="3261" t="s">
        <v>2478</v>
      </c>
      <c r="G27" s="1034"/>
      <c r="H27" s="1024"/>
      <c r="I27" s="1024"/>
    </row>
    <row r="28" spans="1:13" s="1407" customFormat="1">
      <c r="A28" s="3944"/>
      <c r="B28" s="3937"/>
      <c r="C28" s="3262" t="s">
        <v>2479</v>
      </c>
      <c r="D28" s="3263"/>
      <c r="E28" s="3264">
        <v>1</v>
      </c>
      <c r="F28" s="3261" t="s">
        <v>2480</v>
      </c>
      <c r="G28" s="1034"/>
      <c r="H28" s="1024"/>
      <c r="I28" s="1024"/>
    </row>
    <row r="29" spans="1:13" s="1407" customFormat="1">
      <c r="A29" s="3944"/>
      <c r="B29" s="3937"/>
      <c r="C29" s="3262" t="s">
        <v>2481</v>
      </c>
      <c r="D29" s="3263"/>
      <c r="E29" s="3264">
        <v>0.8</v>
      </c>
      <c r="F29" s="3261" t="s">
        <v>2482</v>
      </c>
      <c r="G29" s="1034"/>
      <c r="H29" s="1024"/>
      <c r="I29" s="1024"/>
    </row>
    <row r="30" spans="1:13" s="1407" customFormat="1">
      <c r="A30" s="3944"/>
      <c r="B30" s="3937"/>
      <c r="C30" s="3262" t="s">
        <v>2483</v>
      </c>
      <c r="D30" s="3263"/>
      <c r="E30" s="3264">
        <v>0.8</v>
      </c>
      <c r="F30" s="3261" t="s">
        <v>2484</v>
      </c>
      <c r="G30" s="1034"/>
      <c r="H30" s="1024"/>
      <c r="I30" s="1024"/>
    </row>
    <row r="31" spans="1:13" s="1407" customFormat="1">
      <c r="A31" s="3944"/>
      <c r="B31" s="3937"/>
      <c r="C31" s="3262" t="s">
        <v>2485</v>
      </c>
      <c r="D31" s="3263"/>
      <c r="E31" s="3264">
        <v>0.8</v>
      </c>
      <c r="F31" s="3261" t="s">
        <v>2486</v>
      </c>
      <c r="G31" s="1034"/>
      <c r="H31" s="1024"/>
      <c r="I31" s="1024"/>
    </row>
    <row r="32" spans="1:13" s="1407" customFormat="1">
      <c r="A32" s="3944"/>
      <c r="B32" s="3937"/>
      <c r="C32" s="3262" t="s">
        <v>2487</v>
      </c>
      <c r="D32" s="3263"/>
      <c r="E32" s="3264">
        <v>0.7</v>
      </c>
      <c r="F32" s="3261" t="s">
        <v>2488</v>
      </c>
      <c r="G32" s="1034"/>
      <c r="H32" s="1024"/>
      <c r="I32" s="1024"/>
    </row>
    <row r="33" spans="1:9" s="1407" customFormat="1">
      <c r="A33" s="3944"/>
      <c r="B33" s="3937"/>
      <c r="C33" s="3262" t="s">
        <v>2489</v>
      </c>
      <c r="D33" s="3263"/>
      <c r="E33" s="3264">
        <v>0.8</v>
      </c>
      <c r="F33" s="3261" t="s">
        <v>2490</v>
      </c>
      <c r="G33" s="1034"/>
      <c r="H33" s="1024"/>
      <c r="I33" s="1024"/>
    </row>
    <row r="34" spans="1:9" s="1407" customFormat="1">
      <c r="A34" s="3944"/>
      <c r="B34" s="3937"/>
      <c r="C34" s="3262" t="s">
        <v>2491</v>
      </c>
      <c r="D34" s="3263"/>
      <c r="E34" s="3264">
        <v>0.6</v>
      </c>
      <c r="F34" s="3261" t="s">
        <v>2492</v>
      </c>
      <c r="G34" s="1034"/>
      <c r="H34" s="1024"/>
      <c r="I34" s="1024"/>
    </row>
    <row r="35" spans="1:9" s="1407" customFormat="1">
      <c r="A35" s="3944"/>
      <c r="B35" s="3937"/>
      <c r="C35" s="3262" t="s">
        <v>2493</v>
      </c>
      <c r="D35" s="3263"/>
      <c r="E35" s="3264">
        <v>0.2</v>
      </c>
      <c r="F35" s="3261" t="s">
        <v>2494</v>
      </c>
      <c r="G35" s="1034"/>
      <c r="H35" s="1024"/>
      <c r="I35" s="1024"/>
    </row>
    <row r="36" spans="1:9" s="1407" customFormat="1">
      <c r="A36" s="3944"/>
      <c r="B36" s="3937"/>
      <c r="C36" s="3262" t="s">
        <v>2495</v>
      </c>
      <c r="D36" s="3263"/>
      <c r="E36" s="3264">
        <v>0.2</v>
      </c>
      <c r="F36" s="3261" t="s">
        <v>2496</v>
      </c>
      <c r="G36" s="1034"/>
      <c r="H36" s="1024"/>
      <c r="I36" s="1024"/>
    </row>
    <row r="37" spans="1:9" s="1407" customFormat="1">
      <c r="A37" s="3944"/>
      <c r="B37" s="3935" t="s">
        <v>2497</v>
      </c>
      <c r="C37" s="3262" t="s">
        <v>2498</v>
      </c>
      <c r="D37" s="3263"/>
      <c r="E37" s="3264">
        <v>0.6</v>
      </c>
      <c r="F37" s="3261" t="s">
        <v>2499</v>
      </c>
      <c r="G37" s="1034"/>
      <c r="H37" s="1024"/>
      <c r="I37" s="1024"/>
    </row>
    <row r="38" spans="1:9" s="1407" customFormat="1">
      <c r="A38" s="3944"/>
      <c r="B38" s="3937"/>
      <c r="C38" s="3262" t="s">
        <v>2500</v>
      </c>
      <c r="D38" s="3263"/>
      <c r="E38" s="3264">
        <v>0.6</v>
      </c>
      <c r="F38" s="3261" t="s">
        <v>2501</v>
      </c>
      <c r="G38" s="1034"/>
      <c r="H38" s="1024"/>
      <c r="I38" s="1024"/>
    </row>
    <row r="39" spans="1:9" s="1407" customFormat="1" ht="14.25" thickBot="1">
      <c r="A39" s="3945"/>
      <c r="B39" s="3942"/>
      <c r="C39" s="3265" t="s">
        <v>2502</v>
      </c>
      <c r="D39" s="3266"/>
      <c r="E39" s="3267">
        <v>0.6</v>
      </c>
      <c r="F39" s="3261" t="s">
        <v>2503</v>
      </c>
      <c r="G39" s="1034"/>
      <c r="H39" s="1024"/>
      <c r="I39" s="1024"/>
    </row>
    <row r="40" spans="1:9" s="1407" customFormat="1" ht="14.25" thickBot="1">
      <c r="A40" s="3268" t="s">
        <v>2454</v>
      </c>
      <c r="B40" s="3269" t="s">
        <v>2454</v>
      </c>
      <c r="C40" s="3270" t="s">
        <v>2504</v>
      </c>
      <c r="D40" s="3271"/>
      <c r="E40" s="3272">
        <v>1</v>
      </c>
      <c r="F40" s="3261" t="s">
        <v>2505</v>
      </c>
      <c r="G40" s="1034"/>
      <c r="H40" s="1024"/>
      <c r="I40" s="1024"/>
    </row>
    <row r="41" spans="1:9" s="1407" customFormat="1">
      <c r="A41" s="3938" t="s">
        <v>2455</v>
      </c>
      <c r="B41" s="3941" t="s">
        <v>2506</v>
      </c>
      <c r="C41" s="3258" t="s">
        <v>2507</v>
      </c>
      <c r="D41" s="3259"/>
      <c r="E41" s="3260">
        <v>1</v>
      </c>
      <c r="F41" s="3261" t="s">
        <v>2508</v>
      </c>
      <c r="G41" s="1034"/>
      <c r="H41" s="1024"/>
      <c r="I41" s="1024"/>
    </row>
    <row r="42" spans="1:9" s="1407" customFormat="1">
      <c r="A42" s="3939"/>
      <c r="B42" s="3937"/>
      <c r="C42" s="3262" t="s">
        <v>2509</v>
      </c>
      <c r="D42" s="3263"/>
      <c r="E42" s="3264">
        <v>1</v>
      </c>
      <c r="F42" s="3261" t="s">
        <v>2510</v>
      </c>
      <c r="G42" s="1034"/>
      <c r="H42" s="1024"/>
      <c r="I42" s="1024"/>
    </row>
    <row r="43" spans="1:9" s="1407" customFormat="1">
      <c r="A43" s="3939"/>
      <c r="B43" s="3936"/>
      <c r="C43" s="3262" t="s">
        <v>2511</v>
      </c>
      <c r="D43" s="3263"/>
      <c r="E43" s="3264">
        <v>1.5</v>
      </c>
      <c r="F43" s="3261" t="s">
        <v>2512</v>
      </c>
      <c r="G43" s="1034"/>
      <c r="H43" s="1024"/>
      <c r="I43" s="1024"/>
    </row>
    <row r="44" spans="1:9" s="1407" customFormat="1">
      <c r="A44" s="3939"/>
      <c r="B44" s="3273" t="s">
        <v>2457</v>
      </c>
      <c r="C44" s="3262" t="s">
        <v>2456</v>
      </c>
      <c r="D44" s="3263"/>
      <c r="E44" s="3264">
        <v>2</v>
      </c>
      <c r="F44" s="3261" t="s">
        <v>2513</v>
      </c>
      <c r="G44" s="1034"/>
      <c r="H44" s="1024"/>
      <c r="I44" s="1024"/>
    </row>
    <row r="45" spans="1:9" s="1407" customFormat="1">
      <c r="A45" s="3939"/>
      <c r="B45" s="3935" t="s">
        <v>2514</v>
      </c>
      <c r="C45" s="3262" t="s">
        <v>2515</v>
      </c>
      <c r="D45" s="3263"/>
      <c r="E45" s="3264">
        <v>1</v>
      </c>
      <c r="F45" s="3261" t="s">
        <v>2516</v>
      </c>
      <c r="G45" s="1034"/>
      <c r="H45" s="1024"/>
      <c r="I45" s="1024"/>
    </row>
    <row r="46" spans="1:9" s="1407" customFormat="1">
      <c r="A46" s="3939"/>
      <c r="B46" s="3937"/>
      <c r="C46" s="3262" t="s">
        <v>2517</v>
      </c>
      <c r="D46" s="3263"/>
      <c r="E46" s="3264">
        <v>1</v>
      </c>
      <c r="F46" s="3261" t="s">
        <v>2518</v>
      </c>
      <c r="G46" s="1034"/>
      <c r="H46" s="1024"/>
      <c r="I46" s="1024"/>
    </row>
    <row r="47" spans="1:9" s="1407" customFormat="1">
      <c r="A47" s="3939"/>
      <c r="B47" s="3937"/>
      <c r="C47" s="3262" t="s">
        <v>2519</v>
      </c>
      <c r="D47" s="3263"/>
      <c r="E47" s="3264">
        <v>1</v>
      </c>
      <c r="F47" s="3261" t="s">
        <v>2520</v>
      </c>
      <c r="G47" s="1034"/>
      <c r="H47" s="1024"/>
      <c r="I47" s="1024"/>
    </row>
    <row r="48" spans="1:9" s="1407" customFormat="1">
      <c r="A48" s="3939"/>
      <c r="B48" s="3937"/>
      <c r="C48" s="3262" t="s">
        <v>2521</v>
      </c>
      <c r="D48" s="3263"/>
      <c r="E48" s="3264">
        <v>1</v>
      </c>
      <c r="F48" s="3261" t="s">
        <v>2522</v>
      </c>
      <c r="G48" s="1034"/>
      <c r="H48" s="1024"/>
      <c r="I48" s="1024"/>
    </row>
    <row r="49" spans="1:9" s="1407" customFormat="1">
      <c r="A49" s="3939"/>
      <c r="B49" s="3937"/>
      <c r="C49" s="3262" t="s">
        <v>2523</v>
      </c>
      <c r="D49" s="3263"/>
      <c r="E49" s="3264">
        <v>1</v>
      </c>
      <c r="F49" s="3261" t="s">
        <v>2524</v>
      </c>
      <c r="G49" s="1034"/>
      <c r="H49" s="1024"/>
      <c r="I49" s="1024"/>
    </row>
    <row r="50" spans="1:9" s="1407" customFormat="1">
      <c r="A50" s="3939"/>
      <c r="B50" s="3937"/>
      <c r="C50" s="3262" t="s">
        <v>2525</v>
      </c>
      <c r="D50" s="3263"/>
      <c r="E50" s="3264">
        <v>1</v>
      </c>
      <c r="F50" s="3261" t="s">
        <v>2526</v>
      </c>
      <c r="G50" s="1034"/>
      <c r="H50" s="1024"/>
      <c r="I50" s="1024"/>
    </row>
    <row r="51" spans="1:9" s="1407" customFormat="1" ht="14.25" thickBot="1">
      <c r="A51" s="3940"/>
      <c r="B51" s="3942"/>
      <c r="C51" s="3265" t="s">
        <v>2527</v>
      </c>
      <c r="D51" s="3266"/>
      <c r="E51" s="3267">
        <v>1</v>
      </c>
      <c r="F51" s="3261" t="s">
        <v>2528</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2777</v>
      </c>
      <c r="F56" s="1031" t="s">
        <v>2777</v>
      </c>
      <c r="G56" s="1031" t="s">
        <v>2777</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2529</v>
      </c>
      <c r="D72" s="1052"/>
      <c r="E72" s="1039" t="s">
        <v>1159</v>
      </c>
      <c r="F72" s="1052" t="s">
        <v>1159</v>
      </c>
    </row>
    <row r="73" spans="1:8" s="1024" customFormat="1">
      <c r="A73" s="3273">
        <v>1</v>
      </c>
      <c r="B73" s="3935" t="s">
        <v>2530</v>
      </c>
      <c r="C73" s="3251" t="s">
        <v>2531</v>
      </c>
      <c r="D73" s="3251" t="s">
        <v>2532</v>
      </c>
      <c r="E73" s="3274">
        <v>0.2</v>
      </c>
      <c r="F73" s="3273">
        <v>25</v>
      </c>
      <c r="H73" s="1024">
        <f>SUMIF(C71:C139,基准地价!C8,E71:E139)</f>
        <v>0</v>
      </c>
    </row>
    <row r="74" spans="1:8" s="1024" customFormat="1" ht="24">
      <c r="A74" s="3273">
        <v>2</v>
      </c>
      <c r="B74" s="3937"/>
      <c r="C74" s="3251" t="s">
        <v>2533</v>
      </c>
      <c r="D74" s="3251" t="s">
        <v>2534</v>
      </c>
      <c r="E74" s="3274">
        <v>0.2</v>
      </c>
      <c r="F74" s="3273">
        <v>25</v>
      </c>
    </row>
    <row r="75" spans="1:8" s="1024" customFormat="1" ht="24">
      <c r="A75" s="3273">
        <v>3</v>
      </c>
      <c r="B75" s="3937"/>
      <c r="C75" s="3251" t="s">
        <v>2535</v>
      </c>
      <c r="D75" s="3251" t="s">
        <v>2536</v>
      </c>
      <c r="E75" s="3274">
        <v>0.2</v>
      </c>
      <c r="F75" s="3273">
        <v>25</v>
      </c>
    </row>
    <row r="76" spans="1:8" s="1024" customFormat="1">
      <c r="A76" s="3273">
        <v>4</v>
      </c>
      <c r="B76" s="3937"/>
      <c r="C76" s="3251" t="s">
        <v>2537</v>
      </c>
      <c r="D76" s="3251" t="s">
        <v>2538</v>
      </c>
      <c r="E76" s="3274">
        <v>0.15</v>
      </c>
      <c r="F76" s="3273">
        <v>20</v>
      </c>
    </row>
    <row r="77" spans="1:8" s="1024" customFormat="1" ht="24">
      <c r="A77" s="3273">
        <v>5</v>
      </c>
      <c r="B77" s="3937"/>
      <c r="C77" s="3251" t="s">
        <v>2539</v>
      </c>
      <c r="D77" s="3251" t="s">
        <v>2540</v>
      </c>
      <c r="E77" s="3274">
        <v>0.15</v>
      </c>
      <c r="F77" s="3273">
        <v>20</v>
      </c>
    </row>
    <row r="78" spans="1:8" s="1024" customFormat="1" ht="24">
      <c r="A78" s="3273">
        <v>6</v>
      </c>
      <c r="B78" s="3937"/>
      <c r="C78" s="3251" t="s">
        <v>2541</v>
      </c>
      <c r="D78" s="3251" t="s">
        <v>2542</v>
      </c>
      <c r="E78" s="3274">
        <v>0.15</v>
      </c>
      <c r="F78" s="3273">
        <v>20</v>
      </c>
    </row>
    <row r="79" spans="1:8" s="1024" customFormat="1" ht="24">
      <c r="A79" s="3273">
        <v>7</v>
      </c>
      <c r="B79" s="3937"/>
      <c r="C79" s="3251" t="s">
        <v>2543</v>
      </c>
      <c r="D79" s="3251" t="s">
        <v>2544</v>
      </c>
      <c r="E79" s="3274">
        <v>0.15</v>
      </c>
      <c r="F79" s="3273">
        <v>20</v>
      </c>
    </row>
    <row r="80" spans="1:8" s="1024" customFormat="1" ht="24">
      <c r="A80" s="3273">
        <v>8</v>
      </c>
      <c r="B80" s="3937"/>
      <c r="C80" s="3251" t="s">
        <v>2545</v>
      </c>
      <c r="D80" s="3251" t="s">
        <v>2546</v>
      </c>
      <c r="E80" s="3274">
        <v>0.1</v>
      </c>
      <c r="F80" s="3273">
        <v>15</v>
      </c>
    </row>
    <row r="81" spans="1:6" s="1024" customFormat="1" ht="24">
      <c r="A81" s="3273">
        <v>9</v>
      </c>
      <c r="B81" s="3937"/>
      <c r="C81" s="3251" t="s">
        <v>2547</v>
      </c>
      <c r="D81" s="3251" t="s">
        <v>2548</v>
      </c>
      <c r="E81" s="3274">
        <v>0.1</v>
      </c>
      <c r="F81" s="3273">
        <v>15</v>
      </c>
    </row>
    <row r="82" spans="1:6" s="1024" customFormat="1" ht="24">
      <c r="A82" s="3273">
        <v>10</v>
      </c>
      <c r="B82" s="3937"/>
      <c r="C82" s="3251" t="s">
        <v>2549</v>
      </c>
      <c r="D82" s="3251" t="s">
        <v>2550</v>
      </c>
      <c r="E82" s="3274">
        <v>0.1</v>
      </c>
      <c r="F82" s="3273">
        <v>15</v>
      </c>
    </row>
    <row r="83" spans="1:6" s="1024" customFormat="1" ht="24">
      <c r="A83" s="3273">
        <v>11</v>
      </c>
      <c r="B83" s="3937"/>
      <c r="C83" s="3251" t="s">
        <v>2551</v>
      </c>
      <c r="D83" s="3251" t="s">
        <v>2552</v>
      </c>
      <c r="E83" s="3274">
        <v>0.1</v>
      </c>
      <c r="F83" s="3273">
        <v>15</v>
      </c>
    </row>
    <row r="84" spans="1:6" s="1024" customFormat="1" ht="24">
      <c r="A84" s="3273">
        <v>12</v>
      </c>
      <c r="B84" s="3937"/>
      <c r="C84" s="3251" t="s">
        <v>2553</v>
      </c>
      <c r="D84" s="3251" t="s">
        <v>2554</v>
      </c>
      <c r="E84" s="3274">
        <v>0.1</v>
      </c>
      <c r="F84" s="3273">
        <v>15</v>
      </c>
    </row>
    <row r="85" spans="1:6" s="1024" customFormat="1">
      <c r="A85" s="3273">
        <v>13</v>
      </c>
      <c r="B85" s="3937"/>
      <c r="C85" s="3251" t="s">
        <v>2555</v>
      </c>
      <c r="D85" s="3251" t="s">
        <v>2556</v>
      </c>
      <c r="E85" s="3274">
        <v>0.1</v>
      </c>
      <c r="F85" s="3273">
        <v>15</v>
      </c>
    </row>
    <row r="86" spans="1:6" s="1024" customFormat="1">
      <c r="A86" s="3273">
        <v>14</v>
      </c>
      <c r="B86" s="3937"/>
      <c r="C86" s="3251" t="s">
        <v>2557</v>
      </c>
      <c r="D86" s="3251" t="s">
        <v>2558</v>
      </c>
      <c r="E86" s="3274">
        <v>0.1</v>
      </c>
      <c r="F86" s="3273">
        <v>15</v>
      </c>
    </row>
    <row r="87" spans="1:6" s="1024" customFormat="1">
      <c r="A87" s="3273">
        <v>15</v>
      </c>
      <c r="B87" s="3937"/>
      <c r="C87" s="3251" t="s">
        <v>2559</v>
      </c>
      <c r="D87" s="3251" t="s">
        <v>2560</v>
      </c>
      <c r="E87" s="3274">
        <v>0.1</v>
      </c>
      <c r="F87" s="3273">
        <v>15</v>
      </c>
    </row>
    <row r="88" spans="1:6" s="1024" customFormat="1" ht="24">
      <c r="A88" s="3273">
        <v>16</v>
      </c>
      <c r="B88" s="3937"/>
      <c r="C88" s="3251" t="s">
        <v>2561</v>
      </c>
      <c r="D88" s="3251" t="s">
        <v>2562</v>
      </c>
      <c r="E88" s="3274">
        <v>0.1</v>
      </c>
      <c r="F88" s="3273">
        <v>15</v>
      </c>
    </row>
    <row r="89" spans="1:6" s="1024" customFormat="1" ht="24">
      <c r="A89" s="3273">
        <v>17</v>
      </c>
      <c r="B89" s="3936"/>
      <c r="C89" s="3251" t="s">
        <v>2563</v>
      </c>
      <c r="D89" s="3251" t="s">
        <v>2564</v>
      </c>
      <c r="E89" s="3274">
        <v>0.1</v>
      </c>
      <c r="F89" s="3273">
        <v>15</v>
      </c>
    </row>
    <row r="90" spans="1:6" s="1024" customFormat="1">
      <c r="A90" s="3273">
        <v>18</v>
      </c>
      <c r="B90" s="3935" t="s">
        <v>2565</v>
      </c>
      <c r="C90" s="3251" t="s">
        <v>2566</v>
      </c>
      <c r="D90" s="3251" t="s">
        <v>2567</v>
      </c>
      <c r="E90" s="3274">
        <v>0.2</v>
      </c>
      <c r="F90" s="3273">
        <v>25</v>
      </c>
    </row>
    <row r="91" spans="1:6" s="1024" customFormat="1" ht="24">
      <c r="A91" s="3273">
        <v>19</v>
      </c>
      <c r="B91" s="3937"/>
      <c r="C91" s="3251" t="s">
        <v>2568</v>
      </c>
      <c r="D91" s="3251" t="s">
        <v>2569</v>
      </c>
      <c r="E91" s="3274">
        <v>0.2</v>
      </c>
      <c r="F91" s="3273">
        <v>25</v>
      </c>
    </row>
    <row r="92" spans="1:6" s="1024" customFormat="1">
      <c r="A92" s="3273">
        <v>20</v>
      </c>
      <c r="B92" s="3937"/>
      <c r="C92" s="3251" t="s">
        <v>2570</v>
      </c>
      <c r="D92" s="3251" t="s">
        <v>2571</v>
      </c>
      <c r="E92" s="3274">
        <v>0.15</v>
      </c>
      <c r="F92" s="3273">
        <v>20</v>
      </c>
    </row>
    <row r="93" spans="1:6" s="1024" customFormat="1" ht="24">
      <c r="A93" s="3273">
        <v>21</v>
      </c>
      <c r="B93" s="3937"/>
      <c r="C93" s="3251" t="s">
        <v>2572</v>
      </c>
      <c r="D93" s="3251" t="s">
        <v>2573</v>
      </c>
      <c r="E93" s="3274">
        <v>0.15</v>
      </c>
      <c r="F93" s="3273">
        <v>20</v>
      </c>
    </row>
    <row r="94" spans="1:6" s="1024" customFormat="1" ht="24">
      <c r="A94" s="3273">
        <v>22</v>
      </c>
      <c r="B94" s="3937"/>
      <c r="C94" s="3251" t="s">
        <v>2574</v>
      </c>
      <c r="D94" s="3251" t="s">
        <v>2575</v>
      </c>
      <c r="E94" s="3274">
        <v>0.15</v>
      </c>
      <c r="F94" s="3273">
        <v>20</v>
      </c>
    </row>
    <row r="95" spans="1:6" s="1024" customFormat="1" ht="36">
      <c r="A95" s="3273">
        <v>23</v>
      </c>
      <c r="B95" s="3937"/>
      <c r="C95" s="3251" t="s">
        <v>2576</v>
      </c>
      <c r="D95" s="3251" t="s">
        <v>2577</v>
      </c>
      <c r="E95" s="3274">
        <v>0.15</v>
      </c>
      <c r="F95" s="3273">
        <v>20</v>
      </c>
    </row>
    <row r="96" spans="1:6" s="1024" customFormat="1">
      <c r="A96" s="3273">
        <v>24</v>
      </c>
      <c r="B96" s="3937"/>
      <c r="C96" s="3251" t="s">
        <v>2578</v>
      </c>
      <c r="D96" s="3251" t="s">
        <v>2579</v>
      </c>
      <c r="E96" s="3274">
        <v>0.1</v>
      </c>
      <c r="F96" s="3273">
        <v>15</v>
      </c>
    </row>
    <row r="97" spans="1:6" s="1024" customFormat="1" ht="24">
      <c r="A97" s="3273">
        <v>25</v>
      </c>
      <c r="B97" s="3937"/>
      <c r="C97" s="3251" t="s">
        <v>2580</v>
      </c>
      <c r="D97" s="3251" t="s">
        <v>2581</v>
      </c>
      <c r="E97" s="3274">
        <v>0.1</v>
      </c>
      <c r="F97" s="3273">
        <v>15</v>
      </c>
    </row>
    <row r="98" spans="1:6" s="1024" customFormat="1" ht="24">
      <c r="A98" s="3273">
        <v>26</v>
      </c>
      <c r="B98" s="3937"/>
      <c r="C98" s="3251" t="s">
        <v>2582</v>
      </c>
      <c r="D98" s="3251" t="s">
        <v>2583</v>
      </c>
      <c r="E98" s="3274">
        <v>0.1</v>
      </c>
      <c r="F98" s="3273">
        <v>15</v>
      </c>
    </row>
    <row r="99" spans="1:6" s="1024" customFormat="1" ht="24">
      <c r="A99" s="3273">
        <v>27</v>
      </c>
      <c r="B99" s="3937"/>
      <c r="C99" s="3251" t="s">
        <v>2584</v>
      </c>
      <c r="D99" s="3251" t="s">
        <v>2585</v>
      </c>
      <c r="E99" s="3274">
        <v>0.1</v>
      </c>
      <c r="F99" s="3273">
        <v>15</v>
      </c>
    </row>
    <row r="100" spans="1:6" s="1024" customFormat="1" ht="24">
      <c r="A100" s="3273">
        <v>28</v>
      </c>
      <c r="B100" s="3937"/>
      <c r="C100" s="3251" t="s">
        <v>2586</v>
      </c>
      <c r="D100" s="3251" t="s">
        <v>2587</v>
      </c>
      <c r="E100" s="3274">
        <v>0.1</v>
      </c>
      <c r="F100" s="3273">
        <v>15</v>
      </c>
    </row>
    <row r="101" spans="1:6" s="1024" customFormat="1" ht="24">
      <c r="A101" s="3273">
        <v>29</v>
      </c>
      <c r="B101" s="3937"/>
      <c r="C101" s="3251" t="s">
        <v>2588</v>
      </c>
      <c r="D101" s="3251" t="s">
        <v>2589</v>
      </c>
      <c r="E101" s="3274">
        <v>0.1</v>
      </c>
      <c r="F101" s="3273">
        <v>15</v>
      </c>
    </row>
    <row r="102" spans="1:6" s="1024" customFormat="1" ht="24">
      <c r="A102" s="3273">
        <v>30</v>
      </c>
      <c r="B102" s="3937"/>
      <c r="C102" s="3251" t="s">
        <v>2590</v>
      </c>
      <c r="D102" s="3251" t="s">
        <v>2591</v>
      </c>
      <c r="E102" s="3274">
        <v>0.1</v>
      </c>
      <c r="F102" s="3273">
        <v>15</v>
      </c>
    </row>
    <row r="103" spans="1:6" s="1024" customFormat="1" ht="24">
      <c r="A103" s="3273">
        <v>31</v>
      </c>
      <c r="B103" s="3937"/>
      <c r="C103" s="3251" t="s">
        <v>2592</v>
      </c>
      <c r="D103" s="3251" t="s">
        <v>2593</v>
      </c>
      <c r="E103" s="3274">
        <v>0.1</v>
      </c>
      <c r="F103" s="3273">
        <v>15</v>
      </c>
    </row>
    <row r="104" spans="1:6" s="1024" customFormat="1" ht="24">
      <c r="A104" s="3273">
        <v>32</v>
      </c>
      <c r="B104" s="3937"/>
      <c r="C104" s="3251" t="s">
        <v>2594</v>
      </c>
      <c r="D104" s="3251" t="s">
        <v>2595</v>
      </c>
      <c r="E104" s="3274">
        <v>0.1</v>
      </c>
      <c r="F104" s="3273">
        <v>15</v>
      </c>
    </row>
    <row r="105" spans="1:6" s="1024" customFormat="1" ht="24">
      <c r="A105" s="3273">
        <v>33</v>
      </c>
      <c r="B105" s="3937"/>
      <c r="C105" s="3251" t="s">
        <v>2596</v>
      </c>
      <c r="D105" s="3251" t="s">
        <v>2597</v>
      </c>
      <c r="E105" s="3274">
        <v>0.1</v>
      </c>
      <c r="F105" s="3273">
        <v>15</v>
      </c>
    </row>
    <row r="106" spans="1:6" s="1024" customFormat="1" ht="24">
      <c r="A106" s="3273">
        <v>34</v>
      </c>
      <c r="B106" s="3936"/>
      <c r="C106" s="3251" t="s">
        <v>2598</v>
      </c>
      <c r="D106" s="3251" t="s">
        <v>2599</v>
      </c>
      <c r="E106" s="3274">
        <v>0.1</v>
      </c>
      <c r="F106" s="3273">
        <v>15</v>
      </c>
    </row>
    <row r="107" spans="1:6" s="1024" customFormat="1" ht="24">
      <c r="A107" s="3273">
        <v>35</v>
      </c>
      <c r="B107" s="3935" t="s">
        <v>2600</v>
      </c>
      <c r="C107" s="3273" t="s">
        <v>2601</v>
      </c>
      <c r="D107" s="3251" t="s">
        <v>2602</v>
      </c>
      <c r="E107" s="3274">
        <v>0.15</v>
      </c>
      <c r="F107" s="3273">
        <v>20</v>
      </c>
    </row>
    <row r="108" spans="1:6" s="1024" customFormat="1" ht="24">
      <c r="A108" s="3273">
        <v>36</v>
      </c>
      <c r="B108" s="3937"/>
      <c r="C108" s="3273" t="s">
        <v>2603</v>
      </c>
      <c r="D108" s="3251" t="s">
        <v>2604</v>
      </c>
      <c r="E108" s="3274">
        <v>0.15</v>
      </c>
      <c r="F108" s="3273">
        <v>20</v>
      </c>
    </row>
    <row r="109" spans="1:6" s="1024" customFormat="1" ht="24">
      <c r="A109" s="3273">
        <v>37</v>
      </c>
      <c r="B109" s="3937"/>
      <c r="C109" s="3273" t="s">
        <v>2605</v>
      </c>
      <c r="D109" s="3251" t="s">
        <v>2606</v>
      </c>
      <c r="E109" s="3274">
        <v>0.15</v>
      </c>
      <c r="F109" s="3273">
        <v>20</v>
      </c>
    </row>
    <row r="110" spans="1:6" s="1024" customFormat="1">
      <c r="A110" s="3273">
        <v>38</v>
      </c>
      <c r="B110" s="3937"/>
      <c r="C110" s="3273" t="s">
        <v>2607</v>
      </c>
      <c r="D110" s="3251" t="s">
        <v>2608</v>
      </c>
      <c r="E110" s="3274">
        <v>0.1</v>
      </c>
      <c r="F110" s="3273">
        <v>15</v>
      </c>
    </row>
    <row r="111" spans="1:6" s="1024" customFormat="1" ht="24">
      <c r="A111" s="3273">
        <v>39</v>
      </c>
      <c r="B111" s="3937"/>
      <c r="C111" s="3273" t="s">
        <v>2609</v>
      </c>
      <c r="D111" s="3251" t="s">
        <v>2610</v>
      </c>
      <c r="E111" s="3274">
        <v>0.1</v>
      </c>
      <c r="F111" s="3273">
        <v>15</v>
      </c>
    </row>
    <row r="112" spans="1:6" s="1024" customFormat="1" ht="24">
      <c r="A112" s="3273">
        <v>40</v>
      </c>
      <c r="B112" s="3936"/>
      <c r="C112" s="3273" t="s">
        <v>2611</v>
      </c>
      <c r="D112" s="3251" t="s">
        <v>2612</v>
      </c>
      <c r="E112" s="3274">
        <v>0.1</v>
      </c>
      <c r="F112" s="3273">
        <v>15</v>
      </c>
    </row>
    <row r="113" spans="1:6" s="1024" customFormat="1" ht="24">
      <c r="A113" s="3273">
        <v>41</v>
      </c>
      <c r="B113" s="3934" t="s">
        <v>2613</v>
      </c>
      <c r="C113" s="3273" t="s">
        <v>2614</v>
      </c>
      <c r="D113" s="3251" t="s">
        <v>2615</v>
      </c>
      <c r="E113" s="3274">
        <v>0.1</v>
      </c>
      <c r="F113" s="3273">
        <v>15</v>
      </c>
    </row>
    <row r="114" spans="1:6" s="1024" customFormat="1">
      <c r="A114" s="3273">
        <v>42</v>
      </c>
      <c r="B114" s="3934"/>
      <c r="C114" s="3273" t="s">
        <v>2616</v>
      </c>
      <c r="D114" s="3251" t="s">
        <v>2617</v>
      </c>
      <c r="E114" s="3274">
        <v>0.1</v>
      </c>
      <c r="F114" s="3273">
        <v>15</v>
      </c>
    </row>
    <row r="115" spans="1:6" s="1024" customFormat="1" ht="24">
      <c r="A115" s="3273">
        <v>43</v>
      </c>
      <c r="B115" s="3934"/>
      <c r="C115" s="3273" t="s">
        <v>2618</v>
      </c>
      <c r="D115" s="3251" t="s">
        <v>2619</v>
      </c>
      <c r="E115" s="3274">
        <v>0.1</v>
      </c>
      <c r="F115" s="3273">
        <v>15</v>
      </c>
    </row>
    <row r="116" spans="1:6" s="1024" customFormat="1" ht="24">
      <c r="A116" s="3273">
        <v>44</v>
      </c>
      <c r="B116" s="3935" t="s">
        <v>2620</v>
      </c>
      <c r="C116" s="3273" t="s">
        <v>2621</v>
      </c>
      <c r="D116" s="3251" t="s">
        <v>2622</v>
      </c>
      <c r="E116" s="3274">
        <v>0.1</v>
      </c>
      <c r="F116" s="3273">
        <v>15</v>
      </c>
    </row>
    <row r="117" spans="1:6" s="1024" customFormat="1" ht="24">
      <c r="A117" s="3273">
        <v>45</v>
      </c>
      <c r="B117" s="3936"/>
      <c r="C117" s="3251" t="s">
        <v>2623</v>
      </c>
      <c r="D117" s="3251" t="s">
        <v>2624</v>
      </c>
      <c r="E117" s="3274">
        <v>0.1</v>
      </c>
      <c r="F117" s="3273">
        <v>15</v>
      </c>
    </row>
    <row r="118" spans="1:6" s="1024" customFormat="1" ht="24">
      <c r="A118" s="3273">
        <v>46</v>
      </c>
      <c r="B118" s="3935" t="s">
        <v>2625</v>
      </c>
      <c r="C118" s="3273" t="s">
        <v>2626</v>
      </c>
      <c r="D118" s="3251" t="s">
        <v>2627</v>
      </c>
      <c r="E118" s="3274">
        <v>0.1</v>
      </c>
      <c r="F118" s="3273">
        <v>15</v>
      </c>
    </row>
    <row r="119" spans="1:6" s="1024" customFormat="1" ht="24">
      <c r="A119" s="3273">
        <v>47</v>
      </c>
      <c r="B119" s="3936"/>
      <c r="C119" s="3273" t="s">
        <v>2628</v>
      </c>
      <c r="D119" s="3251" t="s">
        <v>2629</v>
      </c>
      <c r="E119" s="3274">
        <v>0.1</v>
      </c>
      <c r="F119" s="3273">
        <v>15</v>
      </c>
    </row>
    <row r="120" spans="1:6" s="1024" customFormat="1" ht="24">
      <c r="A120" s="3273">
        <v>48</v>
      </c>
      <c r="B120" s="3935" t="s">
        <v>2630</v>
      </c>
      <c r="C120" s="3273" t="s">
        <v>2631</v>
      </c>
      <c r="D120" s="3251" t="s">
        <v>2632</v>
      </c>
      <c r="E120" s="3274">
        <v>0.1</v>
      </c>
      <c r="F120" s="3273">
        <v>15</v>
      </c>
    </row>
    <row r="121" spans="1:6" s="1024" customFormat="1">
      <c r="A121" s="3273">
        <v>49</v>
      </c>
      <c r="B121" s="3936"/>
      <c r="C121" s="3273" t="s">
        <v>2633</v>
      </c>
      <c r="D121" s="3251" t="s">
        <v>2634</v>
      </c>
      <c r="E121" s="3274">
        <v>0.1</v>
      </c>
      <c r="F121" s="3273">
        <v>15</v>
      </c>
    </row>
    <row r="122" spans="1:6" s="1024" customFormat="1" ht="24">
      <c r="A122" s="3273">
        <v>50</v>
      </c>
      <c r="B122" s="3934" t="s">
        <v>2635</v>
      </c>
      <c r="C122" s="3273" t="s">
        <v>2636</v>
      </c>
      <c r="D122" s="3251" t="s">
        <v>2637</v>
      </c>
      <c r="E122" s="3274">
        <v>0.1</v>
      </c>
      <c r="F122" s="3273">
        <v>15</v>
      </c>
    </row>
    <row r="123" spans="1:6" s="1024" customFormat="1" ht="24">
      <c r="A123" s="3273">
        <v>51</v>
      </c>
      <c r="B123" s="3934"/>
      <c r="C123" s="3273" t="s">
        <v>2638</v>
      </c>
      <c r="D123" s="3251" t="s">
        <v>2639</v>
      </c>
      <c r="E123" s="3274">
        <v>0.1</v>
      </c>
      <c r="F123" s="3273">
        <v>15</v>
      </c>
    </row>
    <row r="124" spans="1:6" s="1024" customFormat="1" ht="24">
      <c r="A124" s="3273">
        <v>52</v>
      </c>
      <c r="B124" s="3934" t="s">
        <v>2640</v>
      </c>
      <c r="C124" s="3273" t="s">
        <v>2641</v>
      </c>
      <c r="D124" s="3251" t="s">
        <v>2642</v>
      </c>
      <c r="E124" s="3274">
        <v>0.1</v>
      </c>
      <c r="F124" s="3273">
        <v>15</v>
      </c>
    </row>
    <row r="125" spans="1:6" s="1024" customFormat="1" ht="24">
      <c r="A125" s="3273">
        <v>53</v>
      </c>
      <c r="B125" s="3934"/>
      <c r="C125" s="3273" t="s">
        <v>2643</v>
      </c>
      <c r="D125" s="3251" t="s">
        <v>2644</v>
      </c>
      <c r="E125" s="3274">
        <v>0.1</v>
      </c>
      <c r="F125" s="3273">
        <v>15</v>
      </c>
    </row>
    <row r="126" spans="1:6" ht="24">
      <c r="A126" s="3273">
        <v>54</v>
      </c>
      <c r="B126" s="3273" t="s">
        <v>2645</v>
      </c>
      <c r="C126" s="3273" t="s">
        <v>2646</v>
      </c>
      <c r="D126" s="3251" t="s">
        <v>2647</v>
      </c>
      <c r="E126" s="3274">
        <v>0.1</v>
      </c>
      <c r="F126" s="3273">
        <v>15</v>
      </c>
    </row>
    <row r="127" spans="1:6">
      <c r="A127" s="3273">
        <v>55</v>
      </c>
      <c r="B127" s="3934" t="s">
        <v>2648</v>
      </c>
      <c r="C127" s="3273" t="s">
        <v>2649</v>
      </c>
      <c r="D127" s="3251" t="s">
        <v>2650</v>
      </c>
      <c r="E127" s="3274">
        <v>0.1</v>
      </c>
      <c r="F127" s="3273">
        <v>15</v>
      </c>
    </row>
    <row r="128" spans="1:6">
      <c r="A128" s="3273">
        <v>56</v>
      </c>
      <c r="B128" s="3934"/>
      <c r="C128" s="3273" t="s">
        <v>2651</v>
      </c>
      <c r="D128" s="3251" t="s">
        <v>2652</v>
      </c>
      <c r="E128" s="3274">
        <v>0.1</v>
      </c>
      <c r="F128" s="3273">
        <v>15</v>
      </c>
    </row>
    <row r="129" spans="1:14" ht="24">
      <c r="A129" s="3273">
        <v>57</v>
      </c>
      <c r="B129" s="3934"/>
      <c r="C129" s="3273" t="s">
        <v>2653</v>
      </c>
      <c r="D129" s="3251" t="s">
        <v>2654</v>
      </c>
      <c r="E129" s="3274">
        <v>0.1</v>
      </c>
      <c r="F129" s="3273">
        <v>15</v>
      </c>
    </row>
    <row r="130" spans="1:14" ht="24">
      <c r="A130" s="3273">
        <v>58</v>
      </c>
      <c r="B130" s="3934" t="s">
        <v>2655</v>
      </c>
      <c r="C130" s="3273" t="s">
        <v>2656</v>
      </c>
      <c r="D130" s="3251" t="s">
        <v>2657</v>
      </c>
      <c r="E130" s="3274">
        <v>0.1</v>
      </c>
      <c r="F130" s="3273">
        <v>15</v>
      </c>
    </row>
    <row r="131" spans="1:14" ht="24">
      <c r="A131" s="3273">
        <v>59</v>
      </c>
      <c r="B131" s="3934"/>
      <c r="C131" s="3273" t="s">
        <v>2658</v>
      </c>
      <c r="D131" s="3251" t="s">
        <v>2659</v>
      </c>
      <c r="E131" s="3274">
        <v>0.1</v>
      </c>
      <c r="F131" s="3273">
        <v>15</v>
      </c>
    </row>
    <row r="132" spans="1:14" ht="24">
      <c r="A132" s="3273">
        <v>60</v>
      </c>
      <c r="B132" s="3935" t="s">
        <v>2660</v>
      </c>
      <c r="C132" s="3273" t="s">
        <v>2661</v>
      </c>
      <c r="D132" s="3251" t="s">
        <v>2662</v>
      </c>
      <c r="E132" s="3274">
        <v>0.1</v>
      </c>
      <c r="F132" s="3273">
        <v>15</v>
      </c>
    </row>
    <row r="133" spans="1:14" ht="24">
      <c r="A133" s="3273">
        <v>61</v>
      </c>
      <c r="B133" s="3936"/>
      <c r="C133" s="3273" t="s">
        <v>2663</v>
      </c>
      <c r="D133" s="3251" t="s">
        <v>2664</v>
      </c>
      <c r="E133" s="3274">
        <v>0.1</v>
      </c>
      <c r="F133" s="3273">
        <v>15</v>
      </c>
    </row>
    <row r="134" spans="1:14" ht="24">
      <c r="A134" s="3273">
        <v>62</v>
      </c>
      <c r="B134" s="3273" t="s">
        <v>2665</v>
      </c>
      <c r="C134" s="3273" t="s">
        <v>2666</v>
      </c>
      <c r="D134" s="3251" t="s">
        <v>2667</v>
      </c>
      <c r="E134" s="3274">
        <v>0.1</v>
      </c>
      <c r="F134" s="3273">
        <v>15</v>
      </c>
    </row>
    <row r="135" spans="1:14" ht="24">
      <c r="A135" s="3273">
        <v>63</v>
      </c>
      <c r="B135" s="3934" t="s">
        <v>2668</v>
      </c>
      <c r="C135" s="3273" t="s">
        <v>2669</v>
      </c>
      <c r="D135" s="3251" t="s">
        <v>2670</v>
      </c>
      <c r="E135" s="3274">
        <v>0.1</v>
      </c>
      <c r="F135" s="3273">
        <v>15</v>
      </c>
    </row>
    <row r="136" spans="1:14">
      <c r="A136" s="3273">
        <v>64</v>
      </c>
      <c r="B136" s="3934"/>
      <c r="C136" s="3273" t="s">
        <v>2671</v>
      </c>
      <c r="D136" s="3251" t="s">
        <v>2672</v>
      </c>
      <c r="E136" s="3274">
        <v>0.1</v>
      </c>
      <c r="F136" s="3273">
        <v>15</v>
      </c>
    </row>
    <row r="137" spans="1:14" ht="24">
      <c r="A137" s="3273">
        <v>65</v>
      </c>
      <c r="B137" s="3273" t="s">
        <v>2673</v>
      </c>
      <c r="C137" s="3273" t="s">
        <v>2674</v>
      </c>
      <c r="D137" s="3251" t="s">
        <v>2675</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3432" customWidth="1"/>
    <col min="2" max="2" width="15" style="3432" customWidth="1"/>
    <col min="3" max="6" width="10.25" style="3432" customWidth="1"/>
    <col min="7" max="7" width="9" style="3432"/>
    <col min="8" max="8" width="9" style="1010"/>
    <col min="9" max="9" width="9" style="1007"/>
    <col min="10" max="10" width="17.375" style="3458" customWidth="1"/>
    <col min="11" max="21" width="17.375" style="3432" customWidth="1"/>
    <col min="22" max="16384" width="9" style="1007"/>
  </cols>
  <sheetData>
    <row r="1" spans="1:21">
      <c r="A1" s="3946" t="s">
        <v>2820</v>
      </c>
      <c r="B1" s="3946"/>
      <c r="C1" s="3946"/>
      <c r="D1" s="3946"/>
      <c r="E1" s="3946"/>
      <c r="F1" s="3946"/>
      <c r="G1" s="3947"/>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2821</v>
      </c>
      <c r="B2" s="3418"/>
      <c r="C2" s="3418"/>
      <c r="D2" s="3418"/>
      <c r="E2" s="3418"/>
      <c r="F2" s="3418"/>
      <c r="G2" s="3413" t="s">
        <v>2822</v>
      </c>
      <c r="J2" s="3442" t="s">
        <v>2828</v>
      </c>
      <c r="K2" s="3422" t="s">
        <v>2830</v>
      </c>
      <c r="L2" s="3422" t="s">
        <v>2832</v>
      </c>
      <c r="M2" s="3422" t="s">
        <v>2838</v>
      </c>
      <c r="N2" s="3422" t="s">
        <v>2848</v>
      </c>
      <c r="O2" s="3422" t="s">
        <v>2863</v>
      </c>
      <c r="P2" s="3422" t="s">
        <v>2900</v>
      </c>
      <c r="Q2" s="3422" t="s">
        <v>2931</v>
      </c>
      <c r="R2" s="3422" t="s">
        <v>2959</v>
      </c>
      <c r="S2" s="3422" t="s">
        <v>2994</v>
      </c>
      <c r="T2" s="3422" t="s">
        <v>3014</v>
      </c>
      <c r="U2" s="3422" t="s">
        <v>3026</v>
      </c>
    </row>
    <row r="3" spans="1:21" s="1011" customFormat="1" ht="19.5" customHeight="1">
      <c r="A3" s="3948" t="s">
        <v>2823</v>
      </c>
      <c r="B3" s="3414"/>
      <c r="C3" s="3415" t="s">
        <v>2800</v>
      </c>
      <c r="D3" s="3415" t="s">
        <v>2824</v>
      </c>
      <c r="E3" s="3415" t="s">
        <v>2802</v>
      </c>
      <c r="F3" s="3415" t="s">
        <v>2825</v>
      </c>
      <c r="G3" s="3415" t="s">
        <v>2740</v>
      </c>
      <c r="H3" s="1014"/>
      <c r="J3" s="3442" t="s">
        <v>2829</v>
      </c>
      <c r="K3" s="3422" t="s">
        <v>973</v>
      </c>
      <c r="L3" s="3422" t="s">
        <v>974</v>
      </c>
      <c r="M3" s="3422" t="s">
        <v>975</v>
      </c>
      <c r="N3" s="3422" t="s">
        <v>976</v>
      </c>
      <c r="O3" s="3422" t="s">
        <v>977</v>
      </c>
      <c r="P3" s="3422" t="s">
        <v>978</v>
      </c>
      <c r="Q3" s="3422" t="s">
        <v>979</v>
      </c>
      <c r="R3" s="3422" t="s">
        <v>980</v>
      </c>
      <c r="S3" s="3422" t="s">
        <v>981</v>
      </c>
      <c r="T3" s="3422" t="s">
        <v>3015</v>
      </c>
      <c r="U3" s="3422" t="s">
        <v>3027</v>
      </c>
    </row>
    <row r="4" spans="1:21" s="1011" customFormat="1" ht="19.5" customHeight="1" thickBot="1">
      <c r="A4" s="3949"/>
      <c r="B4" s="3416" t="s">
        <v>2826</v>
      </c>
      <c r="C4" s="3416" t="s">
        <v>2827</v>
      </c>
      <c r="D4" s="3416" t="s">
        <v>2827</v>
      </c>
      <c r="E4" s="3416" t="s">
        <v>2827</v>
      </c>
      <c r="F4" s="3417" t="s">
        <v>2827</v>
      </c>
      <c r="G4" s="3417" t="s">
        <v>2827</v>
      </c>
      <c r="H4" s="1014"/>
      <c r="J4" s="3442" t="s">
        <v>982</v>
      </c>
      <c r="K4" s="3422" t="s">
        <v>983</v>
      </c>
      <c r="L4" s="3422" t="s">
        <v>984</v>
      </c>
      <c r="M4" s="3422" t="s">
        <v>985</v>
      </c>
      <c r="N4" s="3422" t="s">
        <v>986</v>
      </c>
      <c r="O4" s="3422" t="s">
        <v>987</v>
      </c>
      <c r="P4" s="3422" t="s">
        <v>988</v>
      </c>
      <c r="Q4" s="3422" t="s">
        <v>989</v>
      </c>
      <c r="R4" s="3422" t="s">
        <v>2960</v>
      </c>
      <c r="S4" s="3422" t="s">
        <v>2995</v>
      </c>
      <c r="T4" s="3422" t="s">
        <v>3016</v>
      </c>
      <c r="U4" s="3422" t="s">
        <v>3028</v>
      </c>
    </row>
    <row r="5" spans="1:21" ht="14.25" customHeight="1">
      <c r="A5" s="3419" t="s">
        <v>990</v>
      </c>
      <c r="B5" s="3420" t="s">
        <v>2828</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2961</v>
      </c>
      <c r="S5" s="3422" t="s">
        <v>2996</v>
      </c>
      <c r="T5" s="3422" t="s">
        <v>999</v>
      </c>
      <c r="U5" s="3422" t="s">
        <v>3029</v>
      </c>
    </row>
    <row r="6" spans="1:21" ht="14.25" customHeight="1">
      <c r="A6" s="3422" t="s">
        <v>990</v>
      </c>
      <c r="B6" s="3422" t="s">
        <v>2829</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2932</v>
      </c>
      <c r="R6" s="3422" t="s">
        <v>2962</v>
      </c>
      <c r="S6" s="3422" t="s">
        <v>1008</v>
      </c>
      <c r="T6" s="3422" t="s">
        <v>3017</v>
      </c>
      <c r="U6" s="3422" t="s">
        <v>3030</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2933</v>
      </c>
      <c r="R7" s="3422" t="s">
        <v>2963</v>
      </c>
      <c r="S7" s="3422" t="s">
        <v>2997</v>
      </c>
      <c r="T7" s="3422" t="s">
        <v>3018</v>
      </c>
      <c r="U7" s="1288" t="s">
        <v>3031</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2934</v>
      </c>
      <c r="R8" s="3422" t="s">
        <v>1021</v>
      </c>
      <c r="S8" s="3422" t="s">
        <v>2998</v>
      </c>
      <c r="T8" s="3422" t="s">
        <v>3019</v>
      </c>
      <c r="U8" s="3422" t="s">
        <v>3032</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2935</v>
      </c>
      <c r="R9" s="3422" t="s">
        <v>1029</v>
      </c>
      <c r="S9" s="3422" t="s">
        <v>1030</v>
      </c>
      <c r="T9" s="3422" t="s">
        <v>1047</v>
      </c>
    </row>
    <row r="10" spans="1:21" ht="14.25" customHeight="1">
      <c r="A10" s="3419" t="s">
        <v>1031</v>
      </c>
      <c r="B10" s="3420" t="s">
        <v>2830</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3020</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0</v>
      </c>
      <c r="K11" s="3422" t="s">
        <v>1041</v>
      </c>
      <c r="L11" s="3422" t="s">
        <v>1042</v>
      </c>
      <c r="M11" s="3422" t="s">
        <v>1043</v>
      </c>
      <c r="N11" s="3422" t="s">
        <v>1044</v>
      </c>
      <c r="O11" s="3422" t="s">
        <v>1045</v>
      </c>
      <c r="P11" s="3422" t="s">
        <v>2901</v>
      </c>
      <c r="Q11" s="3422" t="s">
        <v>1038</v>
      </c>
      <c r="R11" s="3422" t="s">
        <v>1046</v>
      </c>
      <c r="S11" s="3422" t="s">
        <v>2999</v>
      </c>
      <c r="T11" s="3422" t="s">
        <v>3021</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2902</v>
      </c>
      <c r="Q12" s="3422" t="s">
        <v>2936</v>
      </c>
      <c r="R12" s="3422" t="s">
        <v>2964</v>
      </c>
      <c r="S12" s="3422" t="s">
        <v>3000</v>
      </c>
      <c r="T12" s="3422" t="s">
        <v>3022</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2903</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2965</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2904</v>
      </c>
      <c r="Q15" s="3422" t="s">
        <v>2937</v>
      </c>
      <c r="R15" s="3422" t="s">
        <v>1090</v>
      </c>
      <c r="S15" s="3422" t="s">
        <v>3001</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2905</v>
      </c>
      <c r="Q16" s="3422" t="s">
        <v>1075</v>
      </c>
      <c r="R16" s="3422" t="s">
        <v>1098</v>
      </c>
      <c r="S16" s="3422" t="s">
        <v>1054</v>
      </c>
      <c r="T16" s="3422" t="s">
        <v>3023</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2906</v>
      </c>
      <c r="Q17" s="3422" t="s">
        <v>2938</v>
      </c>
      <c r="R17" s="3422" t="s">
        <v>1104</v>
      </c>
      <c r="S17" s="3422" t="s">
        <v>3002</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2907</v>
      </c>
      <c r="Q18" s="3422" t="s">
        <v>1089</v>
      </c>
      <c r="R18" s="3422" t="s">
        <v>2966</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2908</v>
      </c>
      <c r="Q19" s="3422" t="s">
        <v>1097</v>
      </c>
      <c r="R19" s="3422" t="s">
        <v>2967</v>
      </c>
      <c r="S19" s="3422" t="s">
        <v>1113</v>
      </c>
      <c r="T19" s="3422" t="s">
        <v>3024</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2909</v>
      </c>
      <c r="Q20" s="3422" t="s">
        <v>2939</v>
      </c>
      <c r="R20" s="3422" t="s">
        <v>1139</v>
      </c>
      <c r="S20" s="3422" t="s">
        <v>3003</v>
      </c>
      <c r="T20" s="3422" t="s">
        <v>1126</v>
      </c>
    </row>
    <row r="21" spans="1:20" ht="14.25" customHeight="1">
      <c r="A21" s="3422" t="s">
        <v>1031</v>
      </c>
      <c r="B21" s="1288" t="s">
        <v>1055</v>
      </c>
      <c r="C21" s="3422">
        <v>32370</v>
      </c>
      <c r="D21" s="3422">
        <v>26730</v>
      </c>
      <c r="E21" s="3422">
        <v>26640</v>
      </c>
      <c r="F21" s="3428"/>
      <c r="G21" s="3429">
        <v>19440</v>
      </c>
      <c r="K21" s="3431" t="s">
        <v>2831</v>
      </c>
      <c r="L21" s="3422" t="s">
        <v>1115</v>
      </c>
      <c r="M21" s="3422" t="s">
        <v>1116</v>
      </c>
      <c r="N21" s="3422" t="s">
        <v>1117</v>
      </c>
      <c r="O21" s="3422" t="s">
        <v>1118</v>
      </c>
      <c r="P21" s="3422" t="s">
        <v>1112</v>
      </c>
      <c r="Q21" s="3422" t="s">
        <v>1132</v>
      </c>
      <c r="R21" s="3422" t="s">
        <v>1142</v>
      </c>
      <c r="S21" s="3422" t="s">
        <v>3004</v>
      </c>
      <c r="T21" s="3422" t="s">
        <v>3025</v>
      </c>
    </row>
    <row r="22" spans="1:20" ht="14.25" customHeight="1">
      <c r="A22" s="3422" t="s">
        <v>1031</v>
      </c>
      <c r="B22" s="1288" t="s">
        <v>1062</v>
      </c>
      <c r="C22" s="3422">
        <v>29830</v>
      </c>
      <c r="D22" s="3422">
        <v>27600</v>
      </c>
      <c r="E22" s="3422">
        <v>28150</v>
      </c>
      <c r="F22" s="3428"/>
      <c r="G22" s="3429">
        <v>20080</v>
      </c>
      <c r="L22" s="3431" t="s">
        <v>2833</v>
      </c>
      <c r="M22" s="3422" t="s">
        <v>1120</v>
      </c>
      <c r="N22" s="3422" t="s">
        <v>1121</v>
      </c>
      <c r="O22" s="3422" t="s">
        <v>1122</v>
      </c>
      <c r="P22" s="3422" t="s">
        <v>2910</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2834</v>
      </c>
      <c r="M23" s="3422" t="s">
        <v>1127</v>
      </c>
      <c r="N23" s="3422" t="s">
        <v>1128</v>
      </c>
      <c r="O23" s="3422" t="s">
        <v>2864</v>
      </c>
      <c r="P23" s="3422" t="s">
        <v>2911</v>
      </c>
      <c r="Q23" s="3422" t="s">
        <v>1138</v>
      </c>
      <c r="R23" s="3422" t="s">
        <v>1147</v>
      </c>
      <c r="S23" s="3422" t="s">
        <v>3005</v>
      </c>
    </row>
    <row r="24" spans="1:20" ht="14.25" customHeight="1">
      <c r="A24" s="3422" t="s">
        <v>1031</v>
      </c>
      <c r="B24" s="1288" t="s">
        <v>1078</v>
      </c>
      <c r="C24" s="3422">
        <v>27930</v>
      </c>
      <c r="D24" s="3422">
        <v>32260</v>
      </c>
      <c r="E24" s="3422">
        <v>32120</v>
      </c>
      <c r="F24" s="3428"/>
      <c r="G24" s="3429">
        <v>23470</v>
      </c>
      <c r="L24" s="3431" t="s">
        <v>2835</v>
      </c>
      <c r="M24" s="3422" t="s">
        <v>1130</v>
      </c>
      <c r="N24" s="3422" t="s">
        <v>1131</v>
      </c>
      <c r="O24" s="3422" t="s">
        <v>2865</v>
      </c>
      <c r="P24" s="3422" t="s">
        <v>1134</v>
      </c>
      <c r="Q24" s="3422" t="s">
        <v>2940</v>
      </c>
      <c r="R24" s="3422" t="s">
        <v>2968</v>
      </c>
      <c r="S24" s="3422" t="s">
        <v>3006</v>
      </c>
    </row>
    <row r="25" spans="1:20" ht="14.25" customHeight="1">
      <c r="A25" s="3422" t="s">
        <v>1031</v>
      </c>
      <c r="B25" s="1288" t="s">
        <v>1083</v>
      </c>
      <c r="C25" s="3422">
        <v>32230</v>
      </c>
      <c r="D25" s="3422">
        <v>29640</v>
      </c>
      <c r="E25" s="3422">
        <v>29510</v>
      </c>
      <c r="F25" s="3428"/>
      <c r="G25" s="3429">
        <v>21560</v>
      </c>
      <c r="L25" s="3431" t="s">
        <v>2836</v>
      </c>
      <c r="M25" s="3422" t="s">
        <v>2839</v>
      </c>
      <c r="N25" s="3422" t="s">
        <v>1133</v>
      </c>
      <c r="O25" s="3422" t="s">
        <v>1141</v>
      </c>
      <c r="P25" s="3422" t="s">
        <v>1137</v>
      </c>
      <c r="Q25" s="3422" t="s">
        <v>1124</v>
      </c>
      <c r="R25" s="3422" t="s">
        <v>1119</v>
      </c>
      <c r="S25" s="3422" t="s">
        <v>3007</v>
      </c>
    </row>
    <row r="26" spans="1:20" ht="14.25" customHeight="1">
      <c r="A26" s="3422" t="s">
        <v>1031</v>
      </c>
      <c r="B26" s="1288" t="s">
        <v>1092</v>
      </c>
      <c r="C26" s="3422">
        <v>31690</v>
      </c>
      <c r="D26" s="3422">
        <v>27650</v>
      </c>
      <c r="E26" s="3422">
        <v>28200</v>
      </c>
      <c r="F26" s="3428"/>
      <c r="G26" s="3429">
        <v>20110</v>
      </c>
      <c r="L26" s="3431" t="s">
        <v>2837</v>
      </c>
      <c r="M26" s="3422" t="s">
        <v>2840</v>
      </c>
      <c r="N26" s="3422" t="s">
        <v>1136</v>
      </c>
      <c r="O26" s="3422" t="s">
        <v>1143</v>
      </c>
      <c r="P26" s="3422" t="s">
        <v>2912</v>
      </c>
      <c r="Q26" s="3422" t="s">
        <v>2941</v>
      </c>
      <c r="R26" s="3422" t="s">
        <v>1125</v>
      </c>
      <c r="S26" s="3422" t="s">
        <v>3008</v>
      </c>
    </row>
    <row r="27" spans="1:20" ht="14.25" customHeight="1">
      <c r="A27" s="3422" t="s">
        <v>1031</v>
      </c>
      <c r="B27" s="1288" t="s">
        <v>1099</v>
      </c>
      <c r="C27" s="3422">
        <v>29610</v>
      </c>
      <c r="D27" s="3422">
        <v>27770</v>
      </c>
      <c r="E27" s="3422">
        <v>28300</v>
      </c>
      <c r="F27" s="3428"/>
      <c r="G27" s="3429">
        <v>20210</v>
      </c>
      <c r="M27" s="3422" t="s">
        <v>2841</v>
      </c>
      <c r="N27" s="3422" t="s">
        <v>1140</v>
      </c>
      <c r="O27" s="3422" t="s">
        <v>1146</v>
      </c>
      <c r="P27" s="3422" t="s">
        <v>1123</v>
      </c>
      <c r="Q27" s="3422" t="s">
        <v>2942</v>
      </c>
      <c r="R27" s="3422" t="s">
        <v>2969</v>
      </c>
      <c r="S27" s="3422" t="s">
        <v>3009</v>
      </c>
    </row>
    <row r="28" spans="1:20" ht="14.25" customHeight="1">
      <c r="A28" s="3436" t="s">
        <v>1031</v>
      </c>
      <c r="B28" s="2599" t="s">
        <v>1107</v>
      </c>
      <c r="C28" s="1286"/>
      <c r="D28" s="1286">
        <v>31520</v>
      </c>
      <c r="E28" s="1286">
        <v>31410</v>
      </c>
      <c r="F28" s="3433"/>
      <c r="G28" s="3434">
        <v>22940</v>
      </c>
      <c r="M28" s="3422" t="s">
        <v>2842</v>
      </c>
      <c r="N28" s="3422" t="s">
        <v>2849</v>
      </c>
      <c r="O28" s="3422" t="s">
        <v>2866</v>
      </c>
      <c r="P28" s="3422" t="s">
        <v>2913</v>
      </c>
      <c r="Q28" s="3422" t="s">
        <v>2943</v>
      </c>
      <c r="R28" s="3422" t="s">
        <v>2970</v>
      </c>
      <c r="S28" s="3431" t="s">
        <v>3010</v>
      </c>
    </row>
    <row r="29" spans="1:20" ht="14.25" customHeight="1" thickBot="1">
      <c r="A29" s="3437" t="s">
        <v>1031</v>
      </c>
      <c r="B29" s="3425" t="s">
        <v>2831</v>
      </c>
      <c r="C29" s="3425"/>
      <c r="D29" s="3425">
        <v>29460</v>
      </c>
      <c r="E29" s="3425">
        <v>28640</v>
      </c>
      <c r="F29" s="3426"/>
      <c r="G29" s="3438">
        <v>21430</v>
      </c>
      <c r="M29" s="3431" t="s">
        <v>2843</v>
      </c>
      <c r="N29" s="3422" t="s">
        <v>2850</v>
      </c>
      <c r="O29" s="3422" t="s">
        <v>2867</v>
      </c>
      <c r="P29" s="3422" t="s">
        <v>2914</v>
      </c>
      <c r="Q29" s="3422" t="s">
        <v>2944</v>
      </c>
      <c r="R29" s="3422" t="s">
        <v>2971</v>
      </c>
      <c r="S29" s="3431" t="s">
        <v>1129</v>
      </c>
    </row>
    <row r="30" spans="1:20" ht="14.25" customHeight="1">
      <c r="A30" s="3436" t="s">
        <v>1145</v>
      </c>
      <c r="B30" s="1288" t="s">
        <v>2832</v>
      </c>
      <c r="C30" s="1288">
        <v>26890</v>
      </c>
      <c r="D30" s="1288">
        <v>26770</v>
      </c>
      <c r="E30" s="1288">
        <v>25700</v>
      </c>
      <c r="F30" s="3423">
        <v>8180</v>
      </c>
      <c r="G30" s="3423">
        <v>18740</v>
      </c>
      <c r="I30" s="1021"/>
      <c r="M30" s="3431" t="s">
        <v>2844</v>
      </c>
      <c r="N30" s="3422" t="s">
        <v>2851</v>
      </c>
      <c r="O30" s="3422" t="s">
        <v>2868</v>
      </c>
      <c r="P30" s="3422" t="s">
        <v>2915</v>
      </c>
      <c r="Q30" s="3422" t="s">
        <v>2945</v>
      </c>
      <c r="R30" s="3422" t="s">
        <v>2972</v>
      </c>
      <c r="S30" s="3431" t="s">
        <v>3011</v>
      </c>
    </row>
    <row r="31" spans="1:20" ht="14.25" customHeight="1">
      <c r="A31" s="3422" t="s">
        <v>1145</v>
      </c>
      <c r="B31" s="1288" t="s">
        <v>974</v>
      </c>
      <c r="C31" s="3422">
        <v>24550</v>
      </c>
      <c r="D31" s="3422">
        <v>23990</v>
      </c>
      <c r="E31" s="3422">
        <v>22930</v>
      </c>
      <c r="F31" s="3428">
        <v>7470</v>
      </c>
      <c r="G31" s="3428">
        <v>16790</v>
      </c>
      <c r="I31" s="1021"/>
      <c r="M31" s="3431" t="s">
        <v>2845</v>
      </c>
      <c r="N31" s="3422" t="s">
        <v>2852</v>
      </c>
      <c r="O31" s="3422" t="s">
        <v>2869</v>
      </c>
      <c r="P31" s="3422" t="s">
        <v>2916</v>
      </c>
      <c r="Q31" s="3422" t="s">
        <v>2946</v>
      </c>
      <c r="R31" s="3422" t="s">
        <v>2973</v>
      </c>
      <c r="S31" s="3431" t="s">
        <v>3012</v>
      </c>
    </row>
    <row r="32" spans="1:20" ht="14.25" customHeight="1">
      <c r="A32" s="3422" t="s">
        <v>1145</v>
      </c>
      <c r="B32" s="1288" t="s">
        <v>984</v>
      </c>
      <c r="C32" s="3422">
        <v>27210</v>
      </c>
      <c r="D32" s="3422">
        <v>23240</v>
      </c>
      <c r="E32" s="3422">
        <v>23260</v>
      </c>
      <c r="F32" s="3428">
        <v>7130</v>
      </c>
      <c r="G32" s="3428">
        <v>16270</v>
      </c>
      <c r="I32" s="1021"/>
      <c r="M32" s="3431" t="s">
        <v>2846</v>
      </c>
      <c r="N32" s="3422" t="s">
        <v>2853</v>
      </c>
      <c r="O32" s="3422" t="s">
        <v>1149</v>
      </c>
      <c r="P32" s="3422" t="s">
        <v>2917</v>
      </c>
      <c r="Q32" s="3422" t="s">
        <v>1148</v>
      </c>
      <c r="R32" s="3422" t="s">
        <v>2974</v>
      </c>
      <c r="S32" s="3431" t="s">
        <v>3013</v>
      </c>
    </row>
    <row r="33" spans="1:18" ht="14.25" customHeight="1">
      <c r="A33" s="3422" t="s">
        <v>1145</v>
      </c>
      <c r="B33" s="1288" t="s">
        <v>993</v>
      </c>
      <c r="C33" s="3422">
        <v>27300</v>
      </c>
      <c r="D33" s="3422">
        <v>22980</v>
      </c>
      <c r="E33" s="3422">
        <v>24260</v>
      </c>
      <c r="F33" s="3428">
        <v>5860</v>
      </c>
      <c r="G33" s="3428">
        <v>16090</v>
      </c>
      <c r="I33" s="1021"/>
      <c r="M33" s="3431" t="s">
        <v>2847</v>
      </c>
      <c r="N33" s="3422" t="s">
        <v>2854</v>
      </c>
      <c r="O33" s="3422" t="s">
        <v>1150</v>
      </c>
      <c r="P33" s="3422" t="s">
        <v>2918</v>
      </c>
      <c r="Q33" s="3422" t="s">
        <v>2947</v>
      </c>
      <c r="R33" s="3422" t="s">
        <v>2975</v>
      </c>
    </row>
    <row r="34" spans="1:18" ht="14.25" customHeight="1">
      <c r="A34" s="3422" t="s">
        <v>1145</v>
      </c>
      <c r="B34" s="1288" t="s">
        <v>1003</v>
      </c>
      <c r="C34" s="3422">
        <v>23090</v>
      </c>
      <c r="D34" s="3422">
        <v>23390</v>
      </c>
      <c r="E34" s="3422">
        <v>23510</v>
      </c>
      <c r="F34" s="3428">
        <v>6700</v>
      </c>
      <c r="G34" s="3428">
        <v>16370</v>
      </c>
      <c r="I34" s="1021"/>
      <c r="N34" s="3422" t="s">
        <v>2855</v>
      </c>
      <c r="O34" s="3422" t="s">
        <v>1151</v>
      </c>
      <c r="P34" s="3422" t="s">
        <v>2919</v>
      </c>
      <c r="Q34" s="3422" t="s">
        <v>2948</v>
      </c>
      <c r="R34" s="3422" t="s">
        <v>2976</v>
      </c>
    </row>
    <row r="35" spans="1:18" ht="14.25" customHeight="1">
      <c r="A35" s="3422" t="s">
        <v>1145</v>
      </c>
      <c r="B35" s="1288" t="s">
        <v>1010</v>
      </c>
      <c r="C35" s="3422">
        <v>27270</v>
      </c>
      <c r="D35" s="3422">
        <v>24270</v>
      </c>
      <c r="E35" s="3422">
        <v>24950</v>
      </c>
      <c r="F35" s="3428">
        <v>6600</v>
      </c>
      <c r="G35" s="3428">
        <v>16990</v>
      </c>
      <c r="I35" s="1021"/>
      <c r="N35" s="3422" t="s">
        <v>2856</v>
      </c>
      <c r="O35" s="3422" t="s">
        <v>2870</v>
      </c>
      <c r="P35" s="3422" t="s">
        <v>2920</v>
      </c>
      <c r="Q35" s="3422" t="s">
        <v>2949</v>
      </c>
      <c r="R35" s="3422" t="s">
        <v>2977</v>
      </c>
    </row>
    <row r="36" spans="1:18" ht="14.25" customHeight="1">
      <c r="A36" s="3422" t="s">
        <v>1145</v>
      </c>
      <c r="B36" s="1288" t="s">
        <v>1016</v>
      </c>
      <c r="C36" s="3422">
        <v>23490</v>
      </c>
      <c r="D36" s="3422">
        <v>23020</v>
      </c>
      <c r="E36" s="3422">
        <v>25230</v>
      </c>
      <c r="F36" s="3428">
        <v>6780</v>
      </c>
      <c r="G36" s="3428">
        <v>16120</v>
      </c>
      <c r="I36" s="1021"/>
      <c r="N36" s="3431" t="s">
        <v>2857</v>
      </c>
      <c r="O36" s="3459" t="s">
        <v>2871</v>
      </c>
      <c r="P36" s="3422" t="s">
        <v>2921</v>
      </c>
      <c r="Q36" s="3422" t="s">
        <v>2950</v>
      </c>
      <c r="R36" s="3422" t="s">
        <v>2978</v>
      </c>
    </row>
    <row r="37" spans="1:18" ht="14.25" customHeight="1">
      <c r="A37" s="3422" t="s">
        <v>1145</v>
      </c>
      <c r="B37" s="1288" t="s">
        <v>1023</v>
      </c>
      <c r="C37" s="3422">
        <v>24380</v>
      </c>
      <c r="D37" s="3422">
        <v>22240</v>
      </c>
      <c r="E37" s="3422">
        <v>25980</v>
      </c>
      <c r="F37" s="3428">
        <v>8160</v>
      </c>
      <c r="G37" s="3428">
        <v>15570</v>
      </c>
      <c r="I37" s="1022"/>
      <c r="N37" s="3431" t="s">
        <v>2858</v>
      </c>
      <c r="O37" s="3459" t="s">
        <v>2872</v>
      </c>
      <c r="P37" s="3422" t="s">
        <v>2922</v>
      </c>
      <c r="Q37" s="3422" t="s">
        <v>2951</v>
      </c>
      <c r="R37" s="3422" t="s">
        <v>2979</v>
      </c>
    </row>
    <row r="38" spans="1:18" ht="14.25" customHeight="1">
      <c r="A38" s="3422" t="s">
        <v>1145</v>
      </c>
      <c r="B38" s="1288" t="s">
        <v>1033</v>
      </c>
      <c r="C38" s="3422">
        <v>23120</v>
      </c>
      <c r="D38" s="3422">
        <v>24630</v>
      </c>
      <c r="E38" s="3422">
        <v>25030</v>
      </c>
      <c r="F38" s="3428">
        <v>7710</v>
      </c>
      <c r="G38" s="3428">
        <v>17240</v>
      </c>
      <c r="I38" s="1023"/>
      <c r="N38" s="3431" t="s">
        <v>2859</v>
      </c>
      <c r="O38" s="3459" t="s">
        <v>2873</v>
      </c>
      <c r="P38" s="3422" t="s">
        <v>2923</v>
      </c>
      <c r="Q38" s="3422" t="s">
        <v>2952</v>
      </c>
      <c r="R38" s="3422" t="s">
        <v>2980</v>
      </c>
    </row>
    <row r="39" spans="1:18" ht="14.25" customHeight="1">
      <c r="A39" s="3422" t="s">
        <v>1145</v>
      </c>
      <c r="B39" s="1288" t="s">
        <v>1042</v>
      </c>
      <c r="C39" s="3422">
        <v>22330</v>
      </c>
      <c r="D39" s="3422">
        <v>21140</v>
      </c>
      <c r="E39" s="3422">
        <v>23970</v>
      </c>
      <c r="F39" s="3428">
        <v>7940</v>
      </c>
      <c r="G39" s="3428">
        <v>14790</v>
      </c>
      <c r="I39" s="1023"/>
      <c r="N39" s="3431" t="s">
        <v>2860</v>
      </c>
      <c r="O39" s="3459" t="s">
        <v>2874</v>
      </c>
      <c r="P39" s="3422" t="s">
        <v>2924</v>
      </c>
      <c r="Q39" s="3422" t="s">
        <v>2953</v>
      </c>
      <c r="R39" s="3422" t="s">
        <v>2981</v>
      </c>
    </row>
    <row r="40" spans="1:18" ht="14.25" customHeight="1">
      <c r="A40" s="3422" t="s">
        <v>1145</v>
      </c>
      <c r="B40" s="1288" t="s">
        <v>1049</v>
      </c>
      <c r="C40" s="3422">
        <v>24740</v>
      </c>
      <c r="D40" s="3422">
        <v>24690</v>
      </c>
      <c r="E40" s="3422">
        <v>22610</v>
      </c>
      <c r="F40" s="3428"/>
      <c r="G40" s="3428">
        <v>17280</v>
      </c>
      <c r="I40" s="1023"/>
      <c r="N40" s="3431" t="s">
        <v>2861</v>
      </c>
      <c r="O40" s="3459" t="s">
        <v>2875</v>
      </c>
      <c r="P40" s="3422" t="s">
        <v>2925</v>
      </c>
      <c r="Q40" s="3422" t="s">
        <v>2954</v>
      </c>
      <c r="R40" s="3422" t="s">
        <v>2982</v>
      </c>
    </row>
    <row r="41" spans="1:18" ht="14.25" customHeight="1">
      <c r="A41" s="3422" t="s">
        <v>1145</v>
      </c>
      <c r="B41" s="1288" t="s">
        <v>1056</v>
      </c>
      <c r="C41" s="3422">
        <v>21220</v>
      </c>
      <c r="D41" s="3422">
        <v>21120</v>
      </c>
      <c r="E41" s="3422">
        <v>22590</v>
      </c>
      <c r="F41" s="3428"/>
      <c r="G41" s="3428">
        <v>14780</v>
      </c>
      <c r="I41" s="1023"/>
      <c r="N41" s="3431" t="s">
        <v>2862</v>
      </c>
      <c r="O41" s="3460" t="s">
        <v>2876</v>
      </c>
      <c r="P41" s="1288" t="s">
        <v>2926</v>
      </c>
      <c r="Q41" s="3431" t="s">
        <v>2955</v>
      </c>
      <c r="R41" s="1288" t="s">
        <v>2983</v>
      </c>
    </row>
    <row r="42" spans="1:18" ht="14.25" customHeight="1">
      <c r="A42" s="3422" t="s">
        <v>1145</v>
      </c>
      <c r="B42" s="1288" t="s">
        <v>1063</v>
      </c>
      <c r="C42" s="3422">
        <v>24800</v>
      </c>
      <c r="D42" s="3422">
        <v>22280</v>
      </c>
      <c r="E42" s="3422">
        <v>24350</v>
      </c>
      <c r="F42" s="3428"/>
      <c r="G42" s="3428">
        <v>15590</v>
      </c>
      <c r="I42" s="1023"/>
      <c r="O42" s="3422" t="s">
        <v>2877</v>
      </c>
      <c r="P42" s="3422" t="s">
        <v>2927</v>
      </c>
      <c r="Q42" s="3431" t="s">
        <v>2956</v>
      </c>
      <c r="R42" s="3422" t="s">
        <v>2984</v>
      </c>
    </row>
    <row r="43" spans="1:18" ht="14.25" customHeight="1">
      <c r="A43" s="3422" t="s">
        <v>1145</v>
      </c>
      <c r="B43" s="1288" t="s">
        <v>1071</v>
      </c>
      <c r="C43" s="3422">
        <v>21210</v>
      </c>
      <c r="D43" s="3422">
        <v>21160</v>
      </c>
      <c r="E43" s="3422">
        <v>22650</v>
      </c>
      <c r="F43" s="3428"/>
      <c r="G43" s="3428">
        <v>14800</v>
      </c>
      <c r="I43" s="1023"/>
      <c r="O43" s="3422" t="s">
        <v>2878</v>
      </c>
      <c r="P43" s="3422" t="s">
        <v>2928</v>
      </c>
      <c r="Q43" s="3431" t="s">
        <v>2957</v>
      </c>
      <c r="R43" s="3422" t="s">
        <v>2985</v>
      </c>
    </row>
    <row r="44" spans="1:18" ht="14.25" customHeight="1">
      <c r="A44" s="3422" t="s">
        <v>1145</v>
      </c>
      <c r="B44" s="1288" t="s">
        <v>1079</v>
      </c>
      <c r="C44" s="3422">
        <v>22370</v>
      </c>
      <c r="D44" s="3422">
        <v>23140</v>
      </c>
      <c r="E44" s="3422">
        <v>25090</v>
      </c>
      <c r="F44" s="3428"/>
      <c r="G44" s="3428">
        <v>16190</v>
      </c>
      <c r="I44" s="1023"/>
      <c r="O44" s="3422" t="s">
        <v>2879</v>
      </c>
      <c r="P44" s="3422" t="s">
        <v>2929</v>
      </c>
      <c r="Q44" s="3431" t="s">
        <v>2958</v>
      </c>
      <c r="R44" s="3422" t="s">
        <v>2986</v>
      </c>
    </row>
    <row r="45" spans="1:18" ht="14.25" customHeight="1">
      <c r="A45" s="3422" t="s">
        <v>1145</v>
      </c>
      <c r="B45" s="1288" t="s">
        <v>1084</v>
      </c>
      <c r="C45" s="3422">
        <v>21240</v>
      </c>
      <c r="D45" s="3422">
        <v>27050</v>
      </c>
      <c r="E45" s="3422">
        <v>28000</v>
      </c>
      <c r="F45" s="3428"/>
      <c r="G45" s="3428">
        <v>18940</v>
      </c>
      <c r="I45" s="1021"/>
      <c r="O45" s="3422" t="s">
        <v>2880</v>
      </c>
      <c r="P45" s="3422" t="s">
        <v>2930</v>
      </c>
      <c r="R45" s="3422" t="s">
        <v>2987</v>
      </c>
    </row>
    <row r="46" spans="1:18" ht="14.25" customHeight="1">
      <c r="A46" s="3422" t="s">
        <v>1145</v>
      </c>
      <c r="B46" s="1288" t="s">
        <v>1093</v>
      </c>
      <c r="C46" s="3422">
        <v>23240</v>
      </c>
      <c r="D46" s="3422">
        <v>23000</v>
      </c>
      <c r="E46" s="3422">
        <v>24980</v>
      </c>
      <c r="F46" s="3428"/>
      <c r="G46" s="3428">
        <v>16100</v>
      </c>
      <c r="I46" s="1023"/>
      <c r="O46" s="3422" t="s">
        <v>2881</v>
      </c>
      <c r="P46" s="3422"/>
      <c r="R46" s="3422" t="s">
        <v>2988</v>
      </c>
    </row>
    <row r="47" spans="1:18" ht="14.25" customHeight="1">
      <c r="A47" s="3422" t="s">
        <v>1145</v>
      </c>
      <c r="B47" s="2599" t="s">
        <v>1100</v>
      </c>
      <c r="C47" s="1286">
        <v>27150</v>
      </c>
      <c r="D47" s="1286">
        <v>23310</v>
      </c>
      <c r="E47" s="1286">
        <v>25150</v>
      </c>
      <c r="F47" s="3433"/>
      <c r="G47" s="3433">
        <v>16310</v>
      </c>
      <c r="I47" s="1023"/>
      <c r="O47" s="3422" t="s">
        <v>2882</v>
      </c>
      <c r="P47" s="3422"/>
      <c r="R47" s="3431" t="s">
        <v>2989</v>
      </c>
    </row>
    <row r="48" spans="1:18" ht="14.25" customHeight="1">
      <c r="A48" s="3422" t="s">
        <v>1145</v>
      </c>
      <c r="B48" s="3422" t="s">
        <v>1108</v>
      </c>
      <c r="C48" s="3422">
        <v>23100</v>
      </c>
      <c r="D48" s="3422">
        <v>21110</v>
      </c>
      <c r="E48" s="3422">
        <v>23080</v>
      </c>
      <c r="F48" s="3428"/>
      <c r="G48" s="3435">
        <v>14780</v>
      </c>
      <c r="I48" s="1021"/>
      <c r="O48" s="3422" t="s">
        <v>2883</v>
      </c>
      <c r="P48" s="3422"/>
      <c r="R48" s="3431" t="s">
        <v>2990</v>
      </c>
    </row>
    <row r="49" spans="1:18" ht="14.25" customHeight="1">
      <c r="A49" s="3422" t="s">
        <v>1145</v>
      </c>
      <c r="B49" s="1288" t="s">
        <v>1115</v>
      </c>
      <c r="C49" s="1288">
        <v>23400</v>
      </c>
      <c r="D49" s="1288">
        <v>22920</v>
      </c>
      <c r="E49" s="1288">
        <v>24900</v>
      </c>
      <c r="F49" s="3423"/>
      <c r="G49" s="3423">
        <v>16040</v>
      </c>
      <c r="I49" s="1023"/>
      <c r="O49" s="3422" t="s">
        <v>2884</v>
      </c>
      <c r="P49" s="3422"/>
      <c r="R49" s="3431" t="s">
        <v>2991</v>
      </c>
    </row>
    <row r="50" spans="1:18" ht="14.25" customHeight="1">
      <c r="A50" s="3422" t="s">
        <v>1145</v>
      </c>
      <c r="B50" s="3422" t="s">
        <v>2833</v>
      </c>
      <c r="C50" s="3422">
        <v>21200</v>
      </c>
      <c r="D50" s="3422">
        <v>26540</v>
      </c>
      <c r="E50" s="3422">
        <v>23200</v>
      </c>
      <c r="F50" s="3428"/>
      <c r="G50" s="3428">
        <v>18580</v>
      </c>
      <c r="I50" s="1023"/>
      <c r="O50" s="3431" t="s">
        <v>2885</v>
      </c>
      <c r="R50" s="3431" t="s">
        <v>2992</v>
      </c>
    </row>
    <row r="51" spans="1:18" ht="14.25" customHeight="1">
      <c r="A51" s="3422" t="s">
        <v>1145</v>
      </c>
      <c r="B51" s="3422" t="s">
        <v>2834</v>
      </c>
      <c r="C51" s="3422">
        <v>23000</v>
      </c>
      <c r="D51" s="3422">
        <v>23460</v>
      </c>
      <c r="E51" s="3422">
        <v>25290</v>
      </c>
      <c r="F51" s="3428"/>
      <c r="G51" s="3428">
        <v>16420</v>
      </c>
      <c r="I51" s="1023"/>
      <c r="O51" s="3431" t="s">
        <v>2886</v>
      </c>
      <c r="R51" s="3431" t="s">
        <v>2993</v>
      </c>
    </row>
    <row r="52" spans="1:18" ht="14.25" customHeight="1">
      <c r="A52" s="3422" t="s">
        <v>1145</v>
      </c>
      <c r="B52" s="3422" t="s">
        <v>2835</v>
      </c>
      <c r="C52" s="3422">
        <v>26660</v>
      </c>
      <c r="D52" s="3422">
        <v>22350</v>
      </c>
      <c r="E52" s="3422">
        <v>22920</v>
      </c>
      <c r="F52" s="3428"/>
      <c r="G52" s="3428">
        <v>15640</v>
      </c>
      <c r="I52" s="1023"/>
      <c r="O52" s="3431" t="s">
        <v>2887</v>
      </c>
    </row>
    <row r="53" spans="1:18" ht="14.25" customHeight="1">
      <c r="A53" s="3422" t="s">
        <v>1145</v>
      </c>
      <c r="B53" s="3422" t="s">
        <v>2836</v>
      </c>
      <c r="C53" s="3422">
        <v>23580</v>
      </c>
      <c r="D53" s="3422"/>
      <c r="E53" s="3422">
        <v>24280</v>
      </c>
      <c r="F53" s="3428"/>
      <c r="G53" s="3428"/>
      <c r="I53" s="1023"/>
      <c r="O53" s="3431" t="s">
        <v>2888</v>
      </c>
    </row>
    <row r="54" spans="1:18" ht="14.25" customHeight="1" thickBot="1">
      <c r="A54" s="3437" t="s">
        <v>1145</v>
      </c>
      <c r="B54" s="3425" t="s">
        <v>2837</v>
      </c>
      <c r="C54" s="3425">
        <v>22460</v>
      </c>
      <c r="D54" s="3425"/>
      <c r="E54" s="3425"/>
      <c r="F54" s="3426"/>
      <c r="G54" s="3438"/>
      <c r="I54" s="1023"/>
      <c r="O54" s="3431" t="s">
        <v>2889</v>
      </c>
    </row>
    <row r="55" spans="1:18" ht="14.25" customHeight="1">
      <c r="A55" s="3436" t="s">
        <v>853</v>
      </c>
      <c r="B55" s="1288" t="s">
        <v>2838</v>
      </c>
      <c r="C55" s="1288">
        <v>21970</v>
      </c>
      <c r="D55" s="1288">
        <v>20370</v>
      </c>
      <c r="E55" s="1288">
        <v>20180</v>
      </c>
      <c r="F55" s="3423">
        <v>5730</v>
      </c>
      <c r="G55" s="3423">
        <v>13820</v>
      </c>
      <c r="I55" s="1023"/>
      <c r="O55" s="3431" t="s">
        <v>2890</v>
      </c>
    </row>
    <row r="56" spans="1:18" ht="14.25" customHeight="1">
      <c r="A56" s="3422" t="s">
        <v>853</v>
      </c>
      <c r="B56" s="3422" t="s">
        <v>975</v>
      </c>
      <c r="C56" s="3422">
        <v>20470</v>
      </c>
      <c r="D56" s="3422">
        <v>20700</v>
      </c>
      <c r="E56" s="3422">
        <v>20380</v>
      </c>
      <c r="F56" s="3428">
        <v>4760</v>
      </c>
      <c r="G56" s="3428">
        <v>14050</v>
      </c>
      <c r="I56" s="1023"/>
      <c r="O56" s="3431" t="s">
        <v>2891</v>
      </c>
    </row>
    <row r="57" spans="1:18" ht="14.25" customHeight="1">
      <c r="A57" s="3422" t="s">
        <v>853</v>
      </c>
      <c r="B57" s="3422" t="s">
        <v>985</v>
      </c>
      <c r="C57" s="3422">
        <v>20790</v>
      </c>
      <c r="D57" s="3422">
        <v>21370</v>
      </c>
      <c r="E57" s="3422">
        <v>20890</v>
      </c>
      <c r="F57" s="3428">
        <v>4910</v>
      </c>
      <c r="G57" s="3428">
        <v>14510</v>
      </c>
      <c r="I57" s="1023"/>
      <c r="O57" s="3431" t="s">
        <v>2892</v>
      </c>
    </row>
    <row r="58" spans="1:18" ht="14.25" customHeight="1">
      <c r="A58" s="3422" t="s">
        <v>853</v>
      </c>
      <c r="B58" s="3422" t="s">
        <v>994</v>
      </c>
      <c r="C58" s="3422">
        <v>21460</v>
      </c>
      <c r="D58" s="3422">
        <v>20920</v>
      </c>
      <c r="E58" s="3422">
        <v>23410</v>
      </c>
      <c r="F58" s="3428">
        <v>5100</v>
      </c>
      <c r="G58" s="3428">
        <v>14200</v>
      </c>
      <c r="I58" s="1023"/>
      <c r="O58" s="3431" t="s">
        <v>2893</v>
      </c>
    </row>
    <row r="59" spans="1:18" ht="14.25" customHeight="1">
      <c r="A59" s="3422" t="s">
        <v>853</v>
      </c>
      <c r="B59" s="3422" t="s">
        <v>1004</v>
      </c>
      <c r="C59" s="3422">
        <v>21000</v>
      </c>
      <c r="D59" s="3422">
        <v>21550</v>
      </c>
      <c r="E59" s="3422">
        <v>21150</v>
      </c>
      <c r="F59" s="3428">
        <v>5250</v>
      </c>
      <c r="G59" s="3428">
        <v>14630</v>
      </c>
      <c r="I59" s="1023"/>
      <c r="O59" s="3431" t="s">
        <v>2894</v>
      </c>
    </row>
    <row r="60" spans="1:18" ht="14.25" customHeight="1">
      <c r="A60" s="3422" t="s">
        <v>853</v>
      </c>
      <c r="B60" s="3422" t="s">
        <v>1011</v>
      </c>
      <c r="C60" s="3422">
        <v>21640</v>
      </c>
      <c r="D60" s="3422">
        <v>21260</v>
      </c>
      <c r="E60" s="3422">
        <v>24040</v>
      </c>
      <c r="F60" s="3428">
        <v>4470</v>
      </c>
      <c r="G60" s="3428">
        <v>14430</v>
      </c>
      <c r="I60" s="1023"/>
      <c r="O60" s="3431" t="s">
        <v>2895</v>
      </c>
    </row>
    <row r="61" spans="1:18" ht="14.25" customHeight="1">
      <c r="A61" s="3422" t="s">
        <v>853</v>
      </c>
      <c r="B61" s="3422" t="s">
        <v>1017</v>
      </c>
      <c r="C61" s="3422">
        <v>21330</v>
      </c>
      <c r="D61" s="3422">
        <v>18640</v>
      </c>
      <c r="E61" s="3422">
        <v>21190</v>
      </c>
      <c r="F61" s="3428">
        <v>4180</v>
      </c>
      <c r="G61" s="3430">
        <v>12650</v>
      </c>
      <c r="I61" s="1023"/>
      <c r="O61" s="3431" t="s">
        <v>2896</v>
      </c>
    </row>
    <row r="62" spans="1:18" ht="14.25" customHeight="1">
      <c r="A62" s="3422" t="s">
        <v>853</v>
      </c>
      <c r="B62" s="3422" t="s">
        <v>1024</v>
      </c>
      <c r="C62" s="3422">
        <v>18710</v>
      </c>
      <c r="D62" s="3422">
        <v>19400</v>
      </c>
      <c r="E62" s="3422">
        <v>23750</v>
      </c>
      <c r="F62" s="3428">
        <v>4860</v>
      </c>
      <c r="G62" s="3430">
        <v>13170</v>
      </c>
      <c r="I62" s="1023"/>
      <c r="O62" s="3431" t="s">
        <v>2897</v>
      </c>
    </row>
    <row r="63" spans="1:18" ht="14.25" customHeight="1">
      <c r="A63" s="3422" t="s">
        <v>853</v>
      </c>
      <c r="B63" s="3422" t="s">
        <v>1034</v>
      </c>
      <c r="C63" s="3422">
        <v>19480</v>
      </c>
      <c r="D63" s="3422">
        <v>16830</v>
      </c>
      <c r="E63" s="3422">
        <v>21590</v>
      </c>
      <c r="F63" s="3428">
        <v>4560</v>
      </c>
      <c r="G63" s="3430">
        <v>11420</v>
      </c>
      <c r="I63" s="1023"/>
      <c r="O63" s="3431" t="s">
        <v>2898</v>
      </c>
    </row>
    <row r="64" spans="1:18" ht="14.25" customHeight="1">
      <c r="A64" s="3422" t="s">
        <v>853</v>
      </c>
      <c r="B64" s="3422" t="s">
        <v>1043</v>
      </c>
      <c r="C64" s="3422">
        <v>16920</v>
      </c>
      <c r="D64" s="3422">
        <v>19190</v>
      </c>
      <c r="E64" s="3422">
        <v>22200</v>
      </c>
      <c r="F64" s="3428">
        <v>4390</v>
      </c>
      <c r="G64" s="3430">
        <v>13030</v>
      </c>
      <c r="I64" s="1023"/>
      <c r="O64" s="3431" t="s">
        <v>2899</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2839</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2840</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2841</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2842</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2843</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2844</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2845</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2846</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2847</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2848</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2849</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2850</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2851</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2852</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2853</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2854</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2855</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2856</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2857</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2858</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2859</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2860</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2861</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2862</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2863</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2864</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2865</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2866</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2867</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2868</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2869</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2870</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2871</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2872</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2873</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2874</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2875</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2876</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2877</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2878</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2879</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2880</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2881</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2882</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2883</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2884</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2885</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2886</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2887</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2888</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2889</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2890</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2891</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2892</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2893</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2894</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2895</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2896</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2897</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2898</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2899</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2900</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2901</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2902</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2903</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2904</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2905</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2906</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2907</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2908</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2909</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2910</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2911</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2912</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2913</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2914</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2915</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2916</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2917</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2918</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2919</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2920</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2921</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2922</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2923</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2924</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2925</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2926</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2927</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2928</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2929</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2930</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2931</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2932</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2933</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2934</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2935</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2936</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2937</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2938</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2939</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2940</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2941</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2942</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2943</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2944</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2945</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2946</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2947</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2948</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2949</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2950</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2951</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2952</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2953</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2954</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2955</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2956</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2957</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2958</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2959</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2960</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2961</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2962</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2963</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2964</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2965</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2966</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2967</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2968</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2969</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2970</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2971</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2972</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2973</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2974</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2975</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2976</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2977</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2978</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2979</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2980</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2981</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2982</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2983</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2984</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2985</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2986</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2987</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2988</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2989</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2990</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2991</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2992</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2993</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599" t="s">
        <v>2994</v>
      </c>
      <c r="C327" s="2599">
        <v>3750</v>
      </c>
      <c r="D327" s="2599">
        <v>3710</v>
      </c>
      <c r="E327" s="2599">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2995</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2996</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2997</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2998</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2999</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3000</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3001</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3002</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3003</v>
      </c>
      <c r="C345" s="3431">
        <v>3190</v>
      </c>
      <c r="D345" s="3431">
        <v>3140</v>
      </c>
      <c r="E345" s="3431">
        <v>3450</v>
      </c>
      <c r="F345" s="3431">
        <v>720</v>
      </c>
      <c r="G345" s="3431">
        <v>1880</v>
      </c>
      <c r="H345" s="3444"/>
    </row>
    <row r="346" spans="1:21">
      <c r="A346" s="3431" t="s">
        <v>1157</v>
      </c>
      <c r="B346" s="3431" t="s">
        <v>3004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3005</v>
      </c>
      <c r="C348" s="3431">
        <v>4000</v>
      </c>
      <c r="D348" s="3431">
        <v>3950</v>
      </c>
      <c r="E348" s="3431">
        <v>4430</v>
      </c>
      <c r="F348" s="3431">
        <v>760</v>
      </c>
      <c r="G348" s="3431">
        <v>2360</v>
      </c>
      <c r="H348" s="3444"/>
    </row>
    <row r="349" spans="1:21">
      <c r="A349" s="3431" t="s">
        <v>1157</v>
      </c>
      <c r="B349" s="3431" t="s">
        <v>3006</v>
      </c>
      <c r="C349" s="3431">
        <v>3820</v>
      </c>
      <c r="D349" s="3431">
        <v>3780</v>
      </c>
      <c r="E349" s="3431">
        <v>4170</v>
      </c>
      <c r="F349" s="3431">
        <v>710</v>
      </c>
      <c r="G349" s="3431">
        <v>2260</v>
      </c>
      <c r="H349" s="3444"/>
    </row>
    <row r="350" spans="1:21">
      <c r="A350" s="3431" t="s">
        <v>1157</v>
      </c>
      <c r="B350" s="3431" t="s">
        <v>3007</v>
      </c>
      <c r="C350" s="3431">
        <v>3760</v>
      </c>
      <c r="D350" s="3431">
        <v>3730</v>
      </c>
      <c r="E350" s="3431">
        <v>4100</v>
      </c>
      <c r="F350" s="3431">
        <v>800</v>
      </c>
      <c r="G350" s="3431">
        <v>2230</v>
      </c>
      <c r="H350" s="3444"/>
    </row>
    <row r="351" spans="1:21">
      <c r="A351" s="3431" t="s">
        <v>1157</v>
      </c>
      <c r="B351" s="3431" t="s">
        <v>3008</v>
      </c>
      <c r="C351" s="3431">
        <v>3610</v>
      </c>
      <c r="D351" s="3431">
        <v>3580</v>
      </c>
      <c r="E351" s="3431">
        <v>3930</v>
      </c>
      <c r="F351" s="3431">
        <v>700</v>
      </c>
      <c r="G351" s="3431">
        <v>2140</v>
      </c>
      <c r="H351" s="3444"/>
    </row>
    <row r="352" spans="1:21">
      <c r="A352" s="3431" t="s">
        <v>1157</v>
      </c>
      <c r="B352" s="3431" t="s">
        <v>3009</v>
      </c>
      <c r="C352" s="3431">
        <v>3670</v>
      </c>
      <c r="D352" s="3431">
        <v>3630</v>
      </c>
      <c r="E352" s="3431">
        <v>4000</v>
      </c>
      <c r="F352" s="3431">
        <v>750</v>
      </c>
      <c r="G352" s="3431">
        <v>2180</v>
      </c>
      <c r="H352" s="3444"/>
    </row>
    <row r="353" spans="1:8">
      <c r="A353" s="3431" t="s">
        <v>1157</v>
      </c>
      <c r="B353" s="3431" t="s">
        <v>3010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3011</v>
      </c>
      <c r="C355" s="3431">
        <v>3650</v>
      </c>
      <c r="D355" s="3431">
        <v>3610</v>
      </c>
      <c r="E355" s="3431">
        <v>4200</v>
      </c>
      <c r="F355" s="3431">
        <v>640</v>
      </c>
      <c r="G355" s="3431">
        <v>2160</v>
      </c>
      <c r="H355" s="3444"/>
    </row>
    <row r="356" spans="1:8">
      <c r="A356" s="3431" t="s">
        <v>1157</v>
      </c>
      <c r="B356" s="3431" t="s">
        <v>3012</v>
      </c>
      <c r="C356" s="3431">
        <v>3260</v>
      </c>
      <c r="D356" s="3431">
        <v>3230</v>
      </c>
      <c r="E356" s="3431">
        <v>3740</v>
      </c>
      <c r="F356" s="3431">
        <v>600</v>
      </c>
      <c r="G356" s="3431">
        <v>1930</v>
      </c>
      <c r="H356" s="3444"/>
    </row>
    <row r="357" spans="1:8" ht="14.25" thickBot="1">
      <c r="A357" s="3447" t="s">
        <v>1157</v>
      </c>
      <c r="B357" s="3447" t="s">
        <v>3013</v>
      </c>
      <c r="C357" s="3447">
        <v>3690</v>
      </c>
      <c r="D357" s="3447">
        <v>3650</v>
      </c>
      <c r="E357" s="3447">
        <v>4020</v>
      </c>
      <c r="F357" s="3447">
        <v>700</v>
      </c>
      <c r="G357" s="3447">
        <v>2190</v>
      </c>
      <c r="H357" s="3444"/>
    </row>
    <row r="358" spans="1:8">
      <c r="A358" s="3448" t="s">
        <v>2765</v>
      </c>
      <c r="B358" s="3449" t="s">
        <v>3014</v>
      </c>
      <c r="C358" s="3449">
        <v>2080</v>
      </c>
      <c r="D358" s="3449">
        <v>2040</v>
      </c>
      <c r="E358" s="3449">
        <v>2010</v>
      </c>
      <c r="F358" s="3449">
        <v>530</v>
      </c>
      <c r="G358" s="3450">
        <v>1230</v>
      </c>
      <c r="H358" s="3444"/>
    </row>
    <row r="359" spans="1:8">
      <c r="A359" s="3451" t="s">
        <v>2765</v>
      </c>
      <c r="B359" s="3431" t="s">
        <v>3015</v>
      </c>
      <c r="C359" s="3431">
        <v>1850</v>
      </c>
      <c r="D359" s="3431">
        <v>1820</v>
      </c>
      <c r="E359" s="3431">
        <v>1780</v>
      </c>
      <c r="F359" s="3431">
        <v>520</v>
      </c>
      <c r="G359" s="3443">
        <v>1100</v>
      </c>
      <c r="H359" s="3444"/>
    </row>
    <row r="360" spans="1:8">
      <c r="A360" s="3451" t="s">
        <v>2765</v>
      </c>
      <c r="B360" s="3431" t="s">
        <v>3016</v>
      </c>
      <c r="C360" s="3431">
        <v>2020</v>
      </c>
      <c r="D360" s="3431">
        <v>1990</v>
      </c>
      <c r="E360" s="3431">
        <v>1950</v>
      </c>
      <c r="F360" s="3431">
        <v>500</v>
      </c>
      <c r="G360" s="3443">
        <v>1200</v>
      </c>
      <c r="H360" s="3444"/>
    </row>
    <row r="361" spans="1:8">
      <c r="A361" s="3451" t="s">
        <v>2765</v>
      </c>
      <c r="B361" s="3431" t="s">
        <v>999</v>
      </c>
      <c r="C361" s="3431">
        <v>2260</v>
      </c>
      <c r="D361" s="3431">
        <v>2220</v>
      </c>
      <c r="E361" s="3431">
        <v>2180</v>
      </c>
      <c r="F361" s="3431">
        <v>580</v>
      </c>
      <c r="G361" s="3443">
        <v>1340</v>
      </c>
      <c r="H361" s="3444"/>
    </row>
    <row r="362" spans="1:8">
      <c r="A362" s="3451" t="s">
        <v>2765</v>
      </c>
      <c r="B362" s="3431" t="s">
        <v>3017</v>
      </c>
      <c r="C362" s="3431">
        <v>2650</v>
      </c>
      <c r="D362" s="3431">
        <v>2610</v>
      </c>
      <c r="E362" s="3431">
        <v>2570</v>
      </c>
      <c r="F362" s="3431">
        <v>630</v>
      </c>
      <c r="G362" s="3443">
        <v>1570</v>
      </c>
      <c r="H362" s="3444"/>
    </row>
    <row r="363" spans="1:8">
      <c r="A363" s="3451" t="s">
        <v>2765</v>
      </c>
      <c r="B363" s="3431" t="s">
        <v>3018</v>
      </c>
      <c r="C363" s="3431">
        <v>2390</v>
      </c>
      <c r="D363" s="3431">
        <v>2360</v>
      </c>
      <c r="E363" s="3431">
        <v>2320</v>
      </c>
      <c r="F363" s="3431">
        <v>600</v>
      </c>
      <c r="G363" s="3443">
        <v>1420</v>
      </c>
      <c r="H363" s="3444"/>
    </row>
    <row r="364" spans="1:8">
      <c r="A364" s="3451" t="s">
        <v>2765</v>
      </c>
      <c r="B364" s="3431" t="s">
        <v>3019</v>
      </c>
      <c r="C364" s="3431">
        <v>2050</v>
      </c>
      <c r="D364" s="3431">
        <v>2030</v>
      </c>
      <c r="E364" s="3431">
        <v>1990</v>
      </c>
      <c r="F364" s="3431">
        <v>550</v>
      </c>
      <c r="G364" s="3443">
        <v>1220</v>
      </c>
      <c r="H364" s="3444"/>
    </row>
    <row r="365" spans="1:8">
      <c r="A365" s="3451" t="s">
        <v>2765</v>
      </c>
      <c r="B365" s="3431" t="s">
        <v>1047</v>
      </c>
      <c r="C365" s="3431">
        <v>2140</v>
      </c>
      <c r="D365" s="3431">
        <v>2100</v>
      </c>
      <c r="E365" s="3431">
        <v>2060</v>
      </c>
      <c r="F365" s="3431">
        <v>540</v>
      </c>
      <c r="G365" s="3443">
        <v>1270</v>
      </c>
      <c r="H365" s="3444"/>
    </row>
    <row r="366" spans="1:8">
      <c r="A366" s="3451" t="s">
        <v>2765</v>
      </c>
      <c r="B366" s="3431" t="s">
        <v>3020</v>
      </c>
      <c r="C366" s="3431">
        <v>2410</v>
      </c>
      <c r="D366" s="3431">
        <v>2370</v>
      </c>
      <c r="E366" s="3431">
        <v>2330</v>
      </c>
      <c r="F366" s="3431">
        <v>570</v>
      </c>
      <c r="G366" s="3443">
        <v>1440</v>
      </c>
      <c r="H366" s="3444"/>
    </row>
    <row r="367" spans="1:8">
      <c r="A367" s="3451" t="s">
        <v>2765</v>
      </c>
      <c r="B367" s="3431" t="s">
        <v>3021</v>
      </c>
      <c r="C367" s="3431">
        <v>2300</v>
      </c>
      <c r="D367" s="3431">
        <v>2260</v>
      </c>
      <c r="E367" s="3431">
        <v>2220</v>
      </c>
      <c r="F367" s="3431">
        <v>560</v>
      </c>
      <c r="G367" s="3443">
        <v>1370</v>
      </c>
      <c r="H367" s="3444"/>
    </row>
    <row r="368" spans="1:8">
      <c r="A368" s="3451" t="s">
        <v>2765</v>
      </c>
      <c r="B368" s="3431" t="s">
        <v>3022</v>
      </c>
      <c r="C368" s="3431">
        <v>2430</v>
      </c>
      <c r="D368" s="3431">
        <v>2390</v>
      </c>
      <c r="E368" s="3431">
        <v>2350</v>
      </c>
      <c r="F368" s="3431">
        <v>570</v>
      </c>
      <c r="G368" s="3443">
        <v>1450</v>
      </c>
      <c r="H368" s="3444"/>
    </row>
    <row r="369" spans="1:8">
      <c r="A369" s="3451" t="s">
        <v>2765</v>
      </c>
      <c r="B369" s="3431" t="s">
        <v>1061</v>
      </c>
      <c r="C369" s="3431">
        <v>2320</v>
      </c>
      <c r="D369" s="3431">
        <v>2290</v>
      </c>
      <c r="E369" s="3431">
        <v>2250</v>
      </c>
      <c r="F369" s="3431">
        <v>550</v>
      </c>
      <c r="G369" s="3443">
        <v>1380</v>
      </c>
      <c r="H369" s="3444"/>
    </row>
    <row r="370" spans="1:8">
      <c r="A370" s="3451" t="s">
        <v>2765</v>
      </c>
      <c r="B370" s="3431" t="s">
        <v>1069</v>
      </c>
      <c r="C370" s="3431">
        <v>2190</v>
      </c>
      <c r="D370" s="3431">
        <v>2170</v>
      </c>
      <c r="E370" s="3431">
        <v>2130</v>
      </c>
      <c r="F370" s="3431">
        <v>530</v>
      </c>
      <c r="G370" s="3443">
        <v>1310</v>
      </c>
      <c r="H370" s="3444"/>
    </row>
    <row r="371" spans="1:8">
      <c r="A371" s="3451" t="s">
        <v>2765</v>
      </c>
      <c r="B371" s="3431" t="s">
        <v>1077</v>
      </c>
      <c r="C371" s="3431">
        <v>2460</v>
      </c>
      <c r="D371" s="3431">
        <v>2420</v>
      </c>
      <c r="E371" s="3431">
        <v>2370</v>
      </c>
      <c r="F371" s="3431">
        <v>560</v>
      </c>
      <c r="G371" s="3443">
        <v>1470</v>
      </c>
      <c r="H371" s="3444"/>
    </row>
    <row r="372" spans="1:8">
      <c r="A372" s="3451" t="s">
        <v>2765</v>
      </c>
      <c r="B372" s="3431" t="s">
        <v>3023</v>
      </c>
      <c r="C372" s="3431">
        <v>2250</v>
      </c>
      <c r="D372" s="3431">
        <v>2210</v>
      </c>
      <c r="E372" s="3431">
        <v>2180</v>
      </c>
      <c r="F372" s="3431">
        <v>550</v>
      </c>
      <c r="G372" s="3443">
        <v>1340</v>
      </c>
      <c r="H372" s="3444"/>
    </row>
    <row r="373" spans="1:8">
      <c r="A373" s="3451" t="s">
        <v>2765</v>
      </c>
      <c r="B373" s="3431" t="s">
        <v>1106</v>
      </c>
      <c r="C373" s="3431">
        <v>2210</v>
      </c>
      <c r="D373" s="3431">
        <v>2190</v>
      </c>
      <c r="E373" s="3431">
        <v>2150</v>
      </c>
      <c r="F373" s="3431">
        <v>530</v>
      </c>
      <c r="G373" s="3443">
        <v>1320</v>
      </c>
      <c r="H373" s="3444"/>
    </row>
    <row r="374" spans="1:8">
      <c r="A374" s="3451" t="s">
        <v>2765</v>
      </c>
      <c r="B374" s="3431" t="s">
        <v>1114</v>
      </c>
      <c r="C374" s="3431">
        <v>2320</v>
      </c>
      <c r="D374" s="3431">
        <v>2280</v>
      </c>
      <c r="E374" s="3431">
        <v>2230</v>
      </c>
      <c r="F374" s="3431">
        <v>580</v>
      </c>
      <c r="G374" s="3443">
        <v>1380</v>
      </c>
      <c r="H374" s="3444"/>
    </row>
    <row r="375" spans="1:8">
      <c r="A375" s="3451" t="s">
        <v>2765</v>
      </c>
      <c r="B375" s="3431" t="s">
        <v>3024</v>
      </c>
      <c r="C375" s="3431">
        <v>2090</v>
      </c>
      <c r="D375" s="3431">
        <v>2050</v>
      </c>
      <c r="E375" s="3431">
        <v>2020</v>
      </c>
      <c r="F375" s="3431">
        <v>520</v>
      </c>
      <c r="G375" s="3443">
        <v>1240</v>
      </c>
      <c r="H375" s="3444"/>
    </row>
    <row r="376" spans="1:8">
      <c r="A376" s="3451" t="s">
        <v>2765</v>
      </c>
      <c r="B376" s="3431" t="s">
        <v>1126</v>
      </c>
      <c r="C376" s="3431">
        <v>2010</v>
      </c>
      <c r="D376" s="3431">
        <v>1980</v>
      </c>
      <c r="E376" s="3431">
        <v>1940</v>
      </c>
      <c r="F376" s="3431">
        <v>540</v>
      </c>
      <c r="G376" s="3443">
        <v>1190</v>
      </c>
      <c r="H376" s="3444"/>
    </row>
    <row r="377" spans="1:8" ht="14.25" thickBot="1">
      <c r="A377" s="3453" t="s">
        <v>2765</v>
      </c>
      <c r="B377" s="3447" t="s">
        <v>3025</v>
      </c>
      <c r="C377" s="3447">
        <v>1930</v>
      </c>
      <c r="D377" s="3447">
        <v>1890</v>
      </c>
      <c r="E377" s="3447">
        <v>1860</v>
      </c>
      <c r="F377" s="3447">
        <v>530</v>
      </c>
      <c r="G377" s="3454">
        <v>1150</v>
      </c>
      <c r="H377" s="3444"/>
    </row>
    <row r="378" spans="1:8">
      <c r="A378" s="3448" t="s">
        <v>2766</v>
      </c>
      <c r="B378" s="3449" t="s">
        <v>3026</v>
      </c>
      <c r="C378" s="3449">
        <v>1520</v>
      </c>
      <c r="D378" s="3449">
        <v>1490</v>
      </c>
      <c r="E378" s="3449">
        <v>1460</v>
      </c>
      <c r="F378" s="3449">
        <v>460</v>
      </c>
      <c r="G378" s="3450">
        <v>940</v>
      </c>
      <c r="H378" s="3444"/>
    </row>
    <row r="379" spans="1:8">
      <c r="A379" s="3451" t="s">
        <v>2766</v>
      </c>
      <c r="B379" s="3431" t="s">
        <v>3027</v>
      </c>
      <c r="C379" s="3431">
        <v>1500</v>
      </c>
      <c r="D379" s="3431">
        <v>1470</v>
      </c>
      <c r="E379" s="3431">
        <v>1430</v>
      </c>
      <c r="F379" s="3431">
        <v>460</v>
      </c>
      <c r="G379" s="3443">
        <v>920</v>
      </c>
      <c r="H379" s="3444"/>
    </row>
    <row r="380" spans="1:8">
      <c r="A380" s="3451" t="s">
        <v>2766</v>
      </c>
      <c r="B380" s="3431" t="s">
        <v>3028</v>
      </c>
      <c r="C380" s="3431">
        <v>1620</v>
      </c>
      <c r="D380" s="3431">
        <v>1590</v>
      </c>
      <c r="E380" s="3431">
        <v>1560</v>
      </c>
      <c r="F380" s="3431">
        <v>480</v>
      </c>
      <c r="G380" s="3443">
        <v>1000</v>
      </c>
      <c r="H380" s="3444"/>
    </row>
    <row r="381" spans="1:8">
      <c r="A381" s="3451" t="s">
        <v>2766</v>
      </c>
      <c r="B381" s="3431" t="s">
        <v>3029</v>
      </c>
      <c r="C381" s="3431">
        <v>1460</v>
      </c>
      <c r="D381" s="3431">
        <v>1430</v>
      </c>
      <c r="E381" s="3431">
        <v>1390</v>
      </c>
      <c r="F381" s="3431">
        <v>450</v>
      </c>
      <c r="G381" s="3443">
        <v>900</v>
      </c>
      <c r="H381" s="3444"/>
    </row>
    <row r="382" spans="1:8">
      <c r="A382" s="3451" t="s">
        <v>2766</v>
      </c>
      <c r="B382" s="3431" t="s">
        <v>3030</v>
      </c>
      <c r="C382" s="3431">
        <v>1310</v>
      </c>
      <c r="D382" s="3431">
        <v>1280</v>
      </c>
      <c r="E382" s="3431">
        <v>1250</v>
      </c>
      <c r="F382" s="3431">
        <v>440</v>
      </c>
      <c r="G382" s="3443">
        <v>800</v>
      </c>
      <c r="H382" s="3444"/>
    </row>
    <row r="383" spans="1:8">
      <c r="A383" s="3451" t="s">
        <v>2766</v>
      </c>
      <c r="B383" s="3431" t="s">
        <v>3031</v>
      </c>
      <c r="C383" s="3431">
        <v>1260</v>
      </c>
      <c r="D383" s="3431">
        <v>1230</v>
      </c>
      <c r="E383" s="3431">
        <v>1200</v>
      </c>
      <c r="F383" s="3431">
        <v>420</v>
      </c>
      <c r="G383" s="3443">
        <v>770</v>
      </c>
      <c r="H383" s="3444"/>
    </row>
    <row r="384" spans="1:8" ht="14.25" thickBot="1">
      <c r="A384" s="3452" t="s">
        <v>2766</v>
      </c>
      <c r="B384" s="3446" t="s">
        <v>3032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ht="15">
      <c r="A1" s="3950" t="s">
        <v>3195</v>
      </c>
      <c r="B1" s="3950"/>
      <c r="C1" s="3950"/>
      <c r="D1" s="3950"/>
      <c r="E1" s="3950"/>
      <c r="F1" s="3951"/>
    </row>
    <row r="2" spans="1:6" ht="15">
      <c r="A2" s="3498" t="s">
        <v>3196</v>
      </c>
      <c r="B2" s="3499"/>
      <c r="C2" s="3499"/>
      <c r="D2" s="3499"/>
      <c r="E2" s="3499"/>
      <c r="F2" s="3499"/>
    </row>
    <row r="3" spans="1:6" ht="15">
      <c r="A3" s="3498" t="s">
        <v>3197</v>
      </c>
      <c r="B3" s="3499"/>
      <c r="C3" s="3499"/>
      <c r="D3" s="3499"/>
      <c r="E3" s="3499"/>
      <c r="F3" s="3500" t="s">
        <v>3198</v>
      </c>
    </row>
    <row r="4" spans="1:6">
      <c r="A4" s="3501" t="s">
        <v>3193</v>
      </c>
      <c r="B4" s="3501" t="s">
        <v>2741</v>
      </c>
      <c r="C4" s="3501" t="s">
        <v>1212</v>
      </c>
      <c r="D4" s="3501" t="s">
        <v>3194</v>
      </c>
      <c r="E4" s="3501" t="s">
        <v>905</v>
      </c>
      <c r="F4" s="3501" t="s">
        <v>3199</v>
      </c>
    </row>
    <row r="5" spans="1:6">
      <c r="A5" s="3502" t="s">
        <v>2764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2765</v>
      </c>
      <c r="B16" s="3504">
        <v>2230</v>
      </c>
      <c r="C16" s="3504">
        <v>2200</v>
      </c>
      <c r="D16" s="3504">
        <v>2180</v>
      </c>
      <c r="E16" s="3504">
        <v>570</v>
      </c>
      <c r="F16" s="3504">
        <v>1330</v>
      </c>
    </row>
    <row r="17" spans="1:6">
      <c r="A17" s="3502" t="s">
        <v>2766</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8" t="s">
        <v>2778</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2765</v>
      </c>
      <c r="M2" s="974" t="s">
        <v>2766</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8" t="s">
        <v>2779</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2765</v>
      </c>
      <c r="M94" s="980" t="s">
        <v>2766</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8" t="s">
        <v>2780</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2765</v>
      </c>
      <c r="M186" s="980" t="s">
        <v>2766</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8" t="s">
        <v>2781</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2765</v>
      </c>
      <c r="M278" s="980" t="s">
        <v>2766</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8" t="s">
        <v>2782</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2765</v>
      </c>
      <c r="M370" s="980" t="s">
        <v>2766</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52" t="s">
        <v>3033</v>
      </c>
      <c r="B1" s="3952"/>
    </row>
    <row r="2" spans="1:7" ht="14.25" thickBot="1">
      <c r="A2" s="3463"/>
      <c r="B2" s="3463"/>
    </row>
    <row r="3" spans="1:7" ht="14.25" thickBot="1">
      <c r="A3" s="3463"/>
      <c r="B3" s="3463"/>
      <c r="C3" s="3464" t="s">
        <v>3034</v>
      </c>
      <c r="D3" s="3464" t="s">
        <v>3035</v>
      </c>
      <c r="E3" s="3464" t="s">
        <v>3036</v>
      </c>
      <c r="F3" s="3464" t="s">
        <v>3037</v>
      </c>
      <c r="G3" s="3464" t="s">
        <v>3038</v>
      </c>
    </row>
    <row r="4" spans="1:7" ht="14.25" thickBot="1">
      <c r="A4" s="3465" t="s">
        <v>3039</v>
      </c>
      <c r="B4" s="3466" t="s">
        <v>3040</v>
      </c>
      <c r="C4" s="3464"/>
      <c r="D4" s="3464"/>
      <c r="E4" s="3464"/>
      <c r="F4" s="3464"/>
      <c r="G4" s="3464"/>
    </row>
    <row r="5" spans="1:7">
      <c r="A5" s="3467" t="s">
        <v>3041</v>
      </c>
      <c r="B5" s="3468" t="s">
        <v>3042</v>
      </c>
      <c r="C5" s="3469">
        <v>9.8000000000000004E-2</v>
      </c>
      <c r="D5" s="3469">
        <v>8.6999999999999994E-2</v>
      </c>
      <c r="E5" s="3469">
        <v>8.6999999999999994E-2</v>
      </c>
      <c r="F5" s="3469">
        <v>9.8000000000000004E-2</v>
      </c>
      <c r="G5" s="3470">
        <v>9.5000000000000001E-2</v>
      </c>
    </row>
    <row r="6" spans="1:7">
      <c r="A6" s="3471" t="s">
        <v>990</v>
      </c>
      <c r="B6" s="3472" t="s">
        <v>3043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3044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2831</v>
      </c>
      <c r="C29" s="3481"/>
      <c r="D29" s="3477">
        <v>5.1999999999999998E-2</v>
      </c>
      <c r="E29" s="3477">
        <v>7.0000000000000007E-2</v>
      </c>
      <c r="F29" s="3481"/>
      <c r="G29" s="3479">
        <v>7.0999999999999994E-2</v>
      </c>
    </row>
    <row r="30" spans="1:7">
      <c r="A30" s="3482" t="s">
        <v>1145</v>
      </c>
      <c r="B30" s="3468" t="s">
        <v>3046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2833</v>
      </c>
      <c r="C50" s="3473">
        <v>9.8000000000000004E-2</v>
      </c>
      <c r="D50" s="3473">
        <v>7.2999999999999995E-2</v>
      </c>
      <c r="E50" s="3473">
        <v>7.0999999999999994E-2</v>
      </c>
      <c r="F50" s="3484"/>
      <c r="G50" s="3474">
        <v>7.2999999999999995E-2</v>
      </c>
    </row>
    <row r="51" spans="1:7">
      <c r="A51" s="3483" t="s">
        <v>1145</v>
      </c>
      <c r="B51" s="3472" t="s">
        <v>2834</v>
      </c>
      <c r="C51" s="3473">
        <v>9.9000000000000005E-2</v>
      </c>
      <c r="D51" s="3473">
        <v>8.5000000000000006E-2</v>
      </c>
      <c r="E51" s="3473">
        <v>6.3E-2</v>
      </c>
      <c r="F51" s="3484"/>
      <c r="G51" s="3474">
        <v>9.6000000000000002E-2</v>
      </c>
    </row>
    <row r="52" spans="1:7">
      <c r="A52" s="3483" t="s">
        <v>1145</v>
      </c>
      <c r="B52" s="3472" t="s">
        <v>2835</v>
      </c>
      <c r="C52" s="3473">
        <v>7.3999999999999996E-2</v>
      </c>
      <c r="D52" s="3473">
        <v>9.6000000000000002E-2</v>
      </c>
      <c r="E52" s="3473">
        <v>0.05</v>
      </c>
      <c r="F52" s="3484"/>
      <c r="G52" s="3474">
        <v>9.8000000000000004E-2</v>
      </c>
    </row>
    <row r="53" spans="1:7">
      <c r="A53" s="3483" t="s">
        <v>1145</v>
      </c>
      <c r="B53" s="3472" t="s">
        <v>2836</v>
      </c>
      <c r="C53" s="3473">
        <v>8.5999999999999993E-2</v>
      </c>
      <c r="D53" s="3484"/>
      <c r="E53" s="3473">
        <v>9.1999999999999998E-2</v>
      </c>
      <c r="F53" s="3484"/>
      <c r="G53" s="3485"/>
    </row>
    <row r="54" spans="1:7" ht="14.25" thickBot="1">
      <c r="A54" s="3486" t="s">
        <v>1145</v>
      </c>
      <c r="B54" s="3476" t="s">
        <v>2837</v>
      </c>
      <c r="C54" s="3477">
        <v>9.6000000000000002E-2</v>
      </c>
      <c r="D54" s="3478"/>
      <c r="E54" s="3487"/>
      <c r="F54" s="3478"/>
      <c r="G54" s="3488"/>
    </row>
    <row r="55" spans="1:7">
      <c r="A55" s="3482" t="s">
        <v>853</v>
      </c>
      <c r="B55" s="3468" t="s">
        <v>3048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2839</v>
      </c>
      <c r="C78" s="3473">
        <v>0.1</v>
      </c>
      <c r="D78" s="3473">
        <v>8.5000000000000006E-2</v>
      </c>
      <c r="E78" s="3473">
        <v>9.6000000000000002E-2</v>
      </c>
      <c r="F78" s="3484"/>
      <c r="G78" s="3474">
        <v>9.6000000000000002E-2</v>
      </c>
    </row>
    <row r="79" spans="1:7">
      <c r="A79" s="3483" t="s">
        <v>853</v>
      </c>
      <c r="B79" s="3472" t="s">
        <v>2840</v>
      </c>
      <c r="C79" s="3473">
        <v>0.05</v>
      </c>
      <c r="D79" s="3473">
        <v>9.6000000000000002E-2</v>
      </c>
      <c r="E79" s="3473">
        <v>9.5000000000000001E-2</v>
      </c>
      <c r="F79" s="3484"/>
      <c r="G79" s="3474">
        <v>9.8000000000000004E-2</v>
      </c>
    </row>
    <row r="80" spans="1:7">
      <c r="A80" s="3483" t="s">
        <v>853</v>
      </c>
      <c r="B80" s="3472" t="s">
        <v>2841</v>
      </c>
      <c r="C80" s="3473">
        <v>8.5999999999999993E-2</v>
      </c>
      <c r="D80" s="3489"/>
      <c r="E80" s="3473">
        <v>0.1</v>
      </c>
      <c r="F80" s="3484"/>
      <c r="G80" s="3485"/>
    </row>
    <row r="81" spans="1:7">
      <c r="A81" s="3483" t="s">
        <v>853</v>
      </c>
      <c r="B81" s="3472" t="s">
        <v>2842</v>
      </c>
      <c r="C81" s="3473">
        <v>9.6000000000000002E-2</v>
      </c>
      <c r="D81" s="3484"/>
      <c r="E81" s="3473">
        <v>9.8000000000000004E-2</v>
      </c>
      <c r="F81" s="3484"/>
      <c r="G81" s="3485"/>
    </row>
    <row r="82" spans="1:7">
      <c r="A82" s="3483" t="s">
        <v>853</v>
      </c>
      <c r="B82" s="3472" t="s">
        <v>2843</v>
      </c>
      <c r="C82" s="3489"/>
      <c r="D82" s="3484"/>
      <c r="E82" s="3473">
        <v>7.6999999999999999E-2</v>
      </c>
      <c r="F82" s="3484"/>
      <c r="G82" s="3485"/>
    </row>
    <row r="83" spans="1:7">
      <c r="A83" s="3483" t="s">
        <v>853</v>
      </c>
      <c r="B83" s="3472" t="s">
        <v>3049</v>
      </c>
      <c r="C83" s="3484"/>
      <c r="D83" s="3484"/>
      <c r="E83" s="3484"/>
      <c r="F83" s="3473">
        <v>0.1</v>
      </c>
      <c r="G83" s="3490"/>
    </row>
    <row r="84" spans="1:7">
      <c r="A84" s="3483" t="s">
        <v>853</v>
      </c>
      <c r="B84" s="3472" t="s">
        <v>3050</v>
      </c>
      <c r="C84" s="3484"/>
      <c r="D84" s="3484"/>
      <c r="E84" s="3484"/>
      <c r="F84" s="3473">
        <v>0.1</v>
      </c>
      <c r="G84" s="3490"/>
    </row>
    <row r="85" spans="1:7">
      <c r="A85" s="3483" t="s">
        <v>853</v>
      </c>
      <c r="B85" s="3472" t="s">
        <v>3051</v>
      </c>
      <c r="C85" s="3484"/>
      <c r="D85" s="3484"/>
      <c r="E85" s="3484"/>
      <c r="F85" s="3473">
        <v>0.1</v>
      </c>
      <c r="G85" s="3490"/>
    </row>
    <row r="86" spans="1:7" ht="14.25" thickBot="1">
      <c r="A86" s="3486" t="s">
        <v>853</v>
      </c>
      <c r="B86" s="3476" t="s">
        <v>3052</v>
      </c>
      <c r="C86" s="3477">
        <v>9.8000000000000004E-2</v>
      </c>
      <c r="D86" s="3477">
        <v>9.8000000000000004E-2</v>
      </c>
      <c r="E86" s="3477">
        <v>9.6000000000000002E-2</v>
      </c>
      <c r="F86" s="3487"/>
      <c r="G86" s="3479">
        <v>0.1</v>
      </c>
    </row>
    <row r="87" spans="1:7">
      <c r="A87" s="3482" t="s">
        <v>1152</v>
      </c>
      <c r="B87" s="3468" t="s">
        <v>3053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2849</v>
      </c>
      <c r="C113" s="3473">
        <v>0.1</v>
      </c>
      <c r="D113" s="3473">
        <v>0.1</v>
      </c>
      <c r="E113" s="3484"/>
      <c r="F113" s="3484"/>
      <c r="G113" s="3474">
        <v>0.1</v>
      </c>
    </row>
    <row r="114" spans="1:7">
      <c r="A114" s="3483" t="s">
        <v>1152</v>
      </c>
      <c r="B114" s="3472" t="s">
        <v>2850</v>
      </c>
      <c r="C114" s="3473">
        <v>9.7000000000000003E-2</v>
      </c>
      <c r="D114" s="3473">
        <v>9.7000000000000003E-2</v>
      </c>
      <c r="E114" s="3484"/>
      <c r="F114" s="3484"/>
      <c r="G114" s="3474">
        <v>9.9000000000000005E-2</v>
      </c>
    </row>
    <row r="115" spans="1:7">
      <c r="A115" s="3483" t="s">
        <v>1152</v>
      </c>
      <c r="B115" s="3472" t="s">
        <v>2851</v>
      </c>
      <c r="C115" s="3473">
        <v>0.1</v>
      </c>
      <c r="D115" s="3473">
        <v>0.1</v>
      </c>
      <c r="E115" s="3484"/>
      <c r="F115" s="3484"/>
      <c r="G115" s="3474">
        <v>0.1</v>
      </c>
    </row>
    <row r="116" spans="1:7">
      <c r="A116" s="3483" t="s">
        <v>1152</v>
      </c>
      <c r="B116" s="3472" t="s">
        <v>2852</v>
      </c>
      <c r="C116" s="3473">
        <v>0.1</v>
      </c>
      <c r="D116" s="3473">
        <v>0.1</v>
      </c>
      <c r="E116" s="3484"/>
      <c r="F116" s="3484"/>
      <c r="G116" s="3474">
        <v>0.1</v>
      </c>
    </row>
    <row r="117" spans="1:7">
      <c r="A117" s="3483" t="s">
        <v>1152</v>
      </c>
      <c r="B117" s="3472" t="s">
        <v>2853</v>
      </c>
      <c r="C117" s="3473">
        <v>9.7000000000000003E-2</v>
      </c>
      <c r="D117" s="3473">
        <v>9.7000000000000003E-2</v>
      </c>
      <c r="E117" s="3484"/>
      <c r="F117" s="3484"/>
      <c r="G117" s="3474">
        <v>9.7000000000000003E-2</v>
      </c>
    </row>
    <row r="118" spans="1:7">
      <c r="A118" s="3483" t="s">
        <v>1152</v>
      </c>
      <c r="B118" s="3472" t="s">
        <v>2854</v>
      </c>
      <c r="C118" s="3473">
        <v>0.1</v>
      </c>
      <c r="D118" s="3473">
        <v>0.1</v>
      </c>
      <c r="E118" s="3484"/>
      <c r="F118" s="3484"/>
      <c r="G118" s="3474">
        <v>0.1</v>
      </c>
    </row>
    <row r="119" spans="1:7">
      <c r="A119" s="3483" t="s">
        <v>1152</v>
      </c>
      <c r="B119" s="3472" t="s">
        <v>2855</v>
      </c>
      <c r="C119" s="3473">
        <v>5.0999999999999997E-2</v>
      </c>
      <c r="D119" s="3473">
        <v>5.1999999999999998E-2</v>
      </c>
      <c r="E119" s="3484"/>
      <c r="F119" s="3489"/>
      <c r="G119" s="3474">
        <v>0.06</v>
      </c>
    </row>
    <row r="120" spans="1:7">
      <c r="A120" s="3483" t="s">
        <v>1152</v>
      </c>
      <c r="B120" s="3472" t="s">
        <v>3054</v>
      </c>
      <c r="C120" s="3484"/>
      <c r="D120" s="3484"/>
      <c r="E120" s="3484"/>
      <c r="F120" s="3473">
        <v>0.1</v>
      </c>
      <c r="G120" s="3490"/>
    </row>
    <row r="121" spans="1:7">
      <c r="A121" s="3483" t="s">
        <v>1152</v>
      </c>
      <c r="B121" s="3472" t="s">
        <v>3055</v>
      </c>
      <c r="C121" s="3484"/>
      <c r="D121" s="3484"/>
      <c r="E121" s="3484"/>
      <c r="F121" s="3473">
        <v>0.1</v>
      </c>
      <c r="G121" s="3490"/>
    </row>
    <row r="122" spans="1:7">
      <c r="A122" s="3483" t="s">
        <v>1152</v>
      </c>
      <c r="B122" s="3472" t="s">
        <v>3056</v>
      </c>
      <c r="C122" s="3473">
        <v>0.1</v>
      </c>
      <c r="D122" s="3473">
        <v>0.1</v>
      </c>
      <c r="E122" s="3473">
        <v>9.8000000000000004E-2</v>
      </c>
      <c r="F122" s="3473">
        <v>0.1</v>
      </c>
      <c r="G122" s="3474">
        <v>0.1</v>
      </c>
    </row>
    <row r="123" spans="1:7">
      <c r="A123" s="3483" t="s">
        <v>1152</v>
      </c>
      <c r="B123" s="3472" t="s">
        <v>2859</v>
      </c>
      <c r="C123" s="3473">
        <v>0.1</v>
      </c>
      <c r="D123" s="3473">
        <v>0.1</v>
      </c>
      <c r="E123" s="3473">
        <v>9.8000000000000004E-2</v>
      </c>
      <c r="F123" s="3473">
        <v>0.1</v>
      </c>
      <c r="G123" s="3474">
        <v>0.1</v>
      </c>
    </row>
    <row r="124" spans="1:7">
      <c r="A124" s="3483" t="s">
        <v>1152</v>
      </c>
      <c r="B124" s="3472" t="s">
        <v>2860</v>
      </c>
      <c r="C124" s="3473">
        <v>0.1</v>
      </c>
      <c r="D124" s="3473">
        <v>0.1</v>
      </c>
      <c r="E124" s="3473">
        <v>9.8000000000000004E-2</v>
      </c>
      <c r="F124" s="3489"/>
      <c r="G124" s="3474">
        <v>0.1</v>
      </c>
    </row>
    <row r="125" spans="1:7">
      <c r="A125" s="3483" t="s">
        <v>1152</v>
      </c>
      <c r="B125" s="3472" t="s">
        <v>2861</v>
      </c>
      <c r="C125" s="3473">
        <v>9.8000000000000004E-2</v>
      </c>
      <c r="D125" s="3473">
        <v>9.8000000000000004E-2</v>
      </c>
      <c r="E125" s="3473">
        <v>9.6000000000000002E-2</v>
      </c>
      <c r="F125" s="3489"/>
      <c r="G125" s="3474">
        <v>0.1</v>
      </c>
    </row>
    <row r="126" spans="1:7" ht="14.25" thickBot="1">
      <c r="A126" s="3486" t="s">
        <v>1152</v>
      </c>
      <c r="B126" s="3476" t="s">
        <v>3057</v>
      </c>
      <c r="C126" s="3477">
        <v>0.1</v>
      </c>
      <c r="D126" s="3477">
        <v>0.1</v>
      </c>
      <c r="E126" s="3477">
        <v>9.8000000000000004E-2</v>
      </c>
      <c r="F126" s="3477">
        <v>0.1</v>
      </c>
      <c r="G126" s="3479">
        <v>0.1</v>
      </c>
    </row>
    <row r="127" spans="1:7">
      <c r="A127" s="3482" t="s">
        <v>1153</v>
      </c>
      <c r="B127" s="3468" t="s">
        <v>3058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3059</v>
      </c>
      <c r="C148" s="3473">
        <v>0.13</v>
      </c>
      <c r="D148" s="3473">
        <v>0.13</v>
      </c>
      <c r="E148" s="3473">
        <v>0.13</v>
      </c>
      <c r="F148" s="3484"/>
      <c r="G148" s="3474">
        <v>0.13</v>
      </c>
    </row>
    <row r="149" spans="1:7">
      <c r="A149" s="3483" t="s">
        <v>1153</v>
      </c>
      <c r="B149" s="3472" t="s">
        <v>3060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2866</v>
      </c>
      <c r="C153" s="3473">
        <v>0.13</v>
      </c>
      <c r="D153" s="3473">
        <v>0.13</v>
      </c>
      <c r="E153" s="3473">
        <v>0.13</v>
      </c>
      <c r="F153" s="3473">
        <v>0.13</v>
      </c>
      <c r="G153" s="3474">
        <v>0.13</v>
      </c>
    </row>
    <row r="154" spans="1:7">
      <c r="A154" s="3483" t="s">
        <v>1153</v>
      </c>
      <c r="B154" s="3472" t="s">
        <v>3061</v>
      </c>
      <c r="C154" s="3473">
        <v>0.121</v>
      </c>
      <c r="D154" s="3473">
        <v>0.121</v>
      </c>
      <c r="E154" s="3473">
        <v>0.105</v>
      </c>
      <c r="F154" s="3473">
        <v>0.121</v>
      </c>
      <c r="G154" s="3474">
        <v>0.123</v>
      </c>
    </row>
    <row r="155" spans="1:7">
      <c r="A155" s="3483" t="s">
        <v>1153</v>
      </c>
      <c r="B155" s="3472" t="s">
        <v>2868</v>
      </c>
      <c r="C155" s="3473">
        <v>0.1</v>
      </c>
      <c r="D155" s="3473">
        <v>0.1</v>
      </c>
      <c r="E155" s="3473">
        <v>0.1</v>
      </c>
      <c r="F155" s="3473">
        <v>0.1</v>
      </c>
      <c r="G155" s="3474">
        <v>0.1</v>
      </c>
    </row>
    <row r="156" spans="1:7">
      <c r="A156" s="3483" t="s">
        <v>1153</v>
      </c>
      <c r="B156" s="3472" t="s">
        <v>3062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3063</v>
      </c>
      <c r="C160" s="3473">
        <v>0.13</v>
      </c>
      <c r="D160" s="3473">
        <v>0.13</v>
      </c>
      <c r="E160" s="3473">
        <v>0.124</v>
      </c>
      <c r="F160" s="3473">
        <v>0.126</v>
      </c>
      <c r="G160" s="3474">
        <v>0.13</v>
      </c>
    </row>
    <row r="161" spans="1:7">
      <c r="A161" s="3483" t="s">
        <v>1153</v>
      </c>
      <c r="B161" s="3472" t="s">
        <v>2871</v>
      </c>
      <c r="C161" s="3473">
        <v>0.13</v>
      </c>
      <c r="D161" s="3473">
        <v>0.13</v>
      </c>
      <c r="E161" s="3473">
        <v>0.124</v>
      </c>
      <c r="F161" s="3473">
        <v>0.127</v>
      </c>
      <c r="G161" s="3474">
        <v>0.13</v>
      </c>
    </row>
    <row r="162" spans="1:7">
      <c r="A162" s="3483" t="s">
        <v>1153</v>
      </c>
      <c r="B162" s="3472" t="s">
        <v>2872</v>
      </c>
      <c r="C162" s="3473">
        <v>0.1</v>
      </c>
      <c r="D162" s="3473">
        <v>0.1</v>
      </c>
      <c r="E162" s="3473">
        <v>0.1</v>
      </c>
      <c r="F162" s="3473">
        <v>0.121</v>
      </c>
      <c r="G162" s="3474">
        <v>0.105</v>
      </c>
    </row>
    <row r="163" spans="1:7">
      <c r="A163" s="3483" t="s">
        <v>1153</v>
      </c>
      <c r="B163" s="3472" t="s">
        <v>2873</v>
      </c>
      <c r="C163" s="3473">
        <v>0.1</v>
      </c>
      <c r="D163" s="3473">
        <v>0.1</v>
      </c>
      <c r="E163" s="3473">
        <v>0.1</v>
      </c>
      <c r="F163" s="3473">
        <v>0.1</v>
      </c>
      <c r="G163" s="3474">
        <v>0.1</v>
      </c>
    </row>
    <row r="164" spans="1:7">
      <c r="A164" s="3483" t="s">
        <v>1153</v>
      </c>
      <c r="B164" s="3472" t="s">
        <v>2874</v>
      </c>
      <c r="C164" s="3489"/>
      <c r="D164" s="3489"/>
      <c r="E164" s="3489"/>
      <c r="F164" s="3473">
        <v>0.1</v>
      </c>
      <c r="G164" s="3485"/>
    </row>
    <row r="165" spans="1:7">
      <c r="A165" s="3483" t="s">
        <v>1153</v>
      </c>
      <c r="B165" s="3472" t="s">
        <v>3064</v>
      </c>
      <c r="C165" s="3473">
        <v>0.126</v>
      </c>
      <c r="D165" s="3473">
        <v>0.126</v>
      </c>
      <c r="E165" s="3473">
        <v>0.11899999999999999</v>
      </c>
      <c r="F165" s="3473">
        <v>0.13</v>
      </c>
      <c r="G165" s="3474">
        <v>0.128</v>
      </c>
    </row>
    <row r="166" spans="1:7">
      <c r="A166" s="3483" t="s">
        <v>1153</v>
      </c>
      <c r="B166" s="3472" t="s">
        <v>2876</v>
      </c>
      <c r="C166" s="3473">
        <v>0.129</v>
      </c>
      <c r="D166" s="3473">
        <v>0.129</v>
      </c>
      <c r="E166" s="3473">
        <v>0.123</v>
      </c>
      <c r="F166" s="3473">
        <v>0.128</v>
      </c>
      <c r="G166" s="3474">
        <v>0.13</v>
      </c>
    </row>
    <row r="167" spans="1:7">
      <c r="A167" s="3483" t="s">
        <v>1153</v>
      </c>
      <c r="B167" s="3472" t="s">
        <v>2877</v>
      </c>
      <c r="C167" s="3473">
        <v>0.125</v>
      </c>
      <c r="D167" s="3473">
        <v>0.125</v>
      </c>
      <c r="E167" s="3473">
        <v>0.11700000000000001</v>
      </c>
      <c r="F167" s="3473">
        <v>0.13</v>
      </c>
      <c r="G167" s="3474">
        <v>0.126</v>
      </c>
    </row>
    <row r="168" spans="1:7">
      <c r="A168" s="3483" t="s">
        <v>1153</v>
      </c>
      <c r="B168" s="3472" t="s">
        <v>2878</v>
      </c>
      <c r="C168" s="3473">
        <v>0.128</v>
      </c>
      <c r="D168" s="3473">
        <v>0.128</v>
      </c>
      <c r="E168" s="3473">
        <v>0.123</v>
      </c>
      <c r="F168" s="3484"/>
      <c r="G168" s="3474">
        <v>0.13</v>
      </c>
    </row>
    <row r="169" spans="1:7">
      <c r="A169" s="3483" t="s">
        <v>1153</v>
      </c>
      <c r="B169" s="3472" t="s">
        <v>3065</v>
      </c>
      <c r="C169" s="3489"/>
      <c r="D169" s="3489"/>
      <c r="E169" s="3489"/>
      <c r="F169" s="3473">
        <v>0.05</v>
      </c>
      <c r="G169" s="3485"/>
    </row>
    <row r="170" spans="1:7">
      <c r="A170" s="3483" t="s">
        <v>1153</v>
      </c>
      <c r="B170" s="3472" t="s">
        <v>3066</v>
      </c>
      <c r="C170" s="3489"/>
      <c r="D170" s="3489"/>
      <c r="E170" s="3489"/>
      <c r="F170" s="3473">
        <v>0.05</v>
      </c>
      <c r="G170" s="3485"/>
    </row>
    <row r="171" spans="1:7">
      <c r="A171" s="3483" t="s">
        <v>1153</v>
      </c>
      <c r="B171" s="3472" t="s">
        <v>3067</v>
      </c>
      <c r="C171" s="3489"/>
      <c r="D171" s="3489"/>
      <c r="E171" s="3489"/>
      <c r="F171" s="3473">
        <v>0.05</v>
      </c>
      <c r="G171" s="3490"/>
    </row>
    <row r="172" spans="1:7">
      <c r="A172" s="3483" t="s">
        <v>1153</v>
      </c>
      <c r="B172" s="3472" t="s">
        <v>3068</v>
      </c>
      <c r="C172" s="3489"/>
      <c r="D172" s="3489"/>
      <c r="E172" s="3489"/>
      <c r="F172" s="3473">
        <v>0.05</v>
      </c>
      <c r="G172" s="3490"/>
    </row>
    <row r="173" spans="1:7">
      <c r="A173" s="3483" t="s">
        <v>1153</v>
      </c>
      <c r="B173" s="3472" t="s">
        <v>3069</v>
      </c>
      <c r="C173" s="3489"/>
      <c r="D173" s="3489"/>
      <c r="E173" s="3489"/>
      <c r="F173" s="3473">
        <v>0.05</v>
      </c>
      <c r="G173" s="3485"/>
    </row>
    <row r="174" spans="1:7">
      <c r="A174" s="3483" t="s">
        <v>1153</v>
      </c>
      <c r="B174" s="3472" t="s">
        <v>3070</v>
      </c>
      <c r="C174" s="3489"/>
      <c r="D174" s="3489"/>
      <c r="E174" s="3489"/>
      <c r="F174" s="3473">
        <v>0.05</v>
      </c>
      <c r="G174" s="3485"/>
    </row>
    <row r="175" spans="1:7">
      <c r="A175" s="3483" t="s">
        <v>1153</v>
      </c>
      <c r="B175" s="3472" t="s">
        <v>3071</v>
      </c>
      <c r="C175" s="3489"/>
      <c r="D175" s="3489"/>
      <c r="E175" s="3489"/>
      <c r="F175" s="3473">
        <v>0.05</v>
      </c>
      <c r="G175" s="3485"/>
    </row>
    <row r="176" spans="1:7">
      <c r="A176" s="3483" t="s">
        <v>1153</v>
      </c>
      <c r="B176" s="3472" t="s">
        <v>3072</v>
      </c>
      <c r="C176" s="3489"/>
      <c r="D176" s="3489"/>
      <c r="E176" s="3489"/>
      <c r="F176" s="3473">
        <v>0.05</v>
      </c>
      <c r="G176" s="3485"/>
    </row>
    <row r="177" spans="1:7">
      <c r="A177" s="3483" t="s">
        <v>1153</v>
      </c>
      <c r="B177" s="3472" t="s">
        <v>3073</v>
      </c>
      <c r="C177" s="3484"/>
      <c r="D177" s="3484"/>
      <c r="E177" s="3484"/>
      <c r="F177" s="3473">
        <v>0.05</v>
      </c>
      <c r="G177" s="3490"/>
    </row>
    <row r="178" spans="1:7">
      <c r="A178" s="3483" t="s">
        <v>1153</v>
      </c>
      <c r="B178" s="3472" t="s">
        <v>3074</v>
      </c>
      <c r="C178" s="3484"/>
      <c r="D178" s="3484"/>
      <c r="E178" s="3484"/>
      <c r="F178" s="3473">
        <v>0.05</v>
      </c>
      <c r="G178" s="3490"/>
    </row>
    <row r="179" spans="1:7">
      <c r="A179" s="3483" t="s">
        <v>1153</v>
      </c>
      <c r="B179" s="3472" t="s">
        <v>3075</v>
      </c>
      <c r="C179" s="3484"/>
      <c r="D179" s="3484"/>
      <c r="E179" s="3484"/>
      <c r="F179" s="3473">
        <v>0.05</v>
      </c>
      <c r="G179" s="3490"/>
    </row>
    <row r="180" spans="1:7">
      <c r="A180" s="3483" t="s">
        <v>1153</v>
      </c>
      <c r="B180" s="3472" t="s">
        <v>3076</v>
      </c>
      <c r="C180" s="3484"/>
      <c r="D180" s="3484"/>
      <c r="E180" s="3484"/>
      <c r="F180" s="3473">
        <v>0.05</v>
      </c>
      <c r="G180" s="3490"/>
    </row>
    <row r="181" spans="1:7">
      <c r="A181" s="3483" t="s">
        <v>1153</v>
      </c>
      <c r="B181" s="3472" t="s">
        <v>3077</v>
      </c>
      <c r="C181" s="3484"/>
      <c r="D181" s="3484"/>
      <c r="E181" s="3484"/>
      <c r="F181" s="3473">
        <v>0.05</v>
      </c>
      <c r="G181" s="3490"/>
    </row>
    <row r="182" spans="1:7">
      <c r="A182" s="3483" t="s">
        <v>1153</v>
      </c>
      <c r="B182" s="3472" t="s">
        <v>3078</v>
      </c>
      <c r="C182" s="3484"/>
      <c r="D182" s="3484"/>
      <c r="E182" s="3484"/>
      <c r="F182" s="3473">
        <v>0.05</v>
      </c>
      <c r="G182" s="3490"/>
    </row>
    <row r="183" spans="1:7">
      <c r="A183" s="3483" t="s">
        <v>1153</v>
      </c>
      <c r="B183" s="3472" t="s">
        <v>3079</v>
      </c>
      <c r="C183" s="3484"/>
      <c r="D183" s="3484"/>
      <c r="E183" s="3484"/>
      <c r="F183" s="3473">
        <v>0.05</v>
      </c>
      <c r="G183" s="3490"/>
    </row>
    <row r="184" spans="1:7">
      <c r="A184" s="3483" t="s">
        <v>1153</v>
      </c>
      <c r="B184" s="3472" t="s">
        <v>3080</v>
      </c>
      <c r="C184" s="3484"/>
      <c r="D184" s="3484"/>
      <c r="E184" s="3484"/>
      <c r="F184" s="3473">
        <v>0.05</v>
      </c>
      <c r="G184" s="3490"/>
    </row>
    <row r="185" spans="1:7">
      <c r="A185" s="3483" t="s">
        <v>1153</v>
      </c>
      <c r="B185" s="3472" t="s">
        <v>3081</v>
      </c>
      <c r="C185" s="3484"/>
      <c r="D185" s="3484"/>
      <c r="E185" s="3484"/>
      <c r="F185" s="3473">
        <v>0.05</v>
      </c>
      <c r="G185" s="3490"/>
    </row>
    <row r="186" spans="1:7">
      <c r="A186" s="3483" t="s">
        <v>1153</v>
      </c>
      <c r="B186" s="3472" t="s">
        <v>3082</v>
      </c>
      <c r="C186" s="3484"/>
      <c r="D186" s="3484"/>
      <c r="E186" s="3484"/>
      <c r="F186" s="3473">
        <v>0.05</v>
      </c>
      <c r="G186" s="3490"/>
    </row>
    <row r="187" spans="1:7">
      <c r="A187" s="3483" t="s">
        <v>1153</v>
      </c>
      <c r="B187" s="3472" t="s">
        <v>3083</v>
      </c>
      <c r="C187" s="3484"/>
      <c r="D187" s="3484"/>
      <c r="E187" s="3484"/>
      <c r="F187" s="3473">
        <v>0.05</v>
      </c>
      <c r="G187" s="3490"/>
    </row>
    <row r="188" spans="1:7">
      <c r="A188" s="3483" t="s">
        <v>1153</v>
      </c>
      <c r="B188" s="3472" t="s">
        <v>3084</v>
      </c>
      <c r="C188" s="3484"/>
      <c r="D188" s="3484"/>
      <c r="E188" s="3484"/>
      <c r="F188" s="3473">
        <v>0.05</v>
      </c>
      <c r="G188" s="3490"/>
    </row>
    <row r="189" spans="1:7" ht="14.25" thickBot="1">
      <c r="A189" s="3486" t="s">
        <v>1153</v>
      </c>
      <c r="B189" s="3476" t="s">
        <v>3085</v>
      </c>
      <c r="C189" s="3478"/>
      <c r="D189" s="3478"/>
      <c r="E189" s="3478"/>
      <c r="F189" s="3477">
        <v>0.05</v>
      </c>
      <c r="G189" s="3491"/>
    </row>
    <row r="190" spans="1:7">
      <c r="A190" s="3482" t="s">
        <v>1154</v>
      </c>
      <c r="B190" s="3468" t="s">
        <v>3086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3087</v>
      </c>
      <c r="C199" s="3473">
        <v>0.13</v>
      </c>
      <c r="D199" s="3473">
        <v>0.13</v>
      </c>
      <c r="E199" s="3473">
        <v>0.13</v>
      </c>
      <c r="F199" s="3473">
        <v>0.13</v>
      </c>
      <c r="G199" s="3474">
        <v>0.13</v>
      </c>
    </row>
    <row r="200" spans="1:7">
      <c r="A200" s="3483" t="s">
        <v>1154</v>
      </c>
      <c r="B200" s="3472" t="s">
        <v>2902</v>
      </c>
      <c r="C200" s="3489"/>
      <c r="D200" s="3489"/>
      <c r="E200" s="3489"/>
      <c r="F200" s="3473">
        <v>0.13</v>
      </c>
      <c r="G200" s="3485"/>
    </row>
    <row r="201" spans="1:7">
      <c r="A201" s="3483" t="s">
        <v>1154</v>
      </c>
      <c r="B201" s="3472" t="s">
        <v>3088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3089</v>
      </c>
      <c r="C203" s="3473">
        <v>0.129</v>
      </c>
      <c r="D203" s="3473">
        <v>0.129</v>
      </c>
      <c r="E203" s="3473">
        <v>0.13</v>
      </c>
      <c r="F203" s="3473">
        <v>0.13</v>
      </c>
      <c r="G203" s="3474">
        <v>0.13</v>
      </c>
    </row>
    <row r="204" spans="1:7">
      <c r="A204" s="3483" t="s">
        <v>1154</v>
      </c>
      <c r="B204" s="3472" t="s">
        <v>2905</v>
      </c>
      <c r="C204" s="3473">
        <v>0.129</v>
      </c>
      <c r="D204" s="3473">
        <v>0.129</v>
      </c>
      <c r="E204" s="3473">
        <v>0.123</v>
      </c>
      <c r="F204" s="3473">
        <v>0.13</v>
      </c>
      <c r="G204" s="3474">
        <v>0.13</v>
      </c>
    </row>
    <row r="205" spans="1:7">
      <c r="A205" s="3483" t="s">
        <v>1154</v>
      </c>
      <c r="B205" s="3472" t="s">
        <v>2906</v>
      </c>
      <c r="C205" s="3473">
        <v>0.13</v>
      </c>
      <c r="D205" s="3473">
        <v>0.13</v>
      </c>
      <c r="E205" s="3473">
        <v>0.13</v>
      </c>
      <c r="F205" s="3473">
        <v>0.13</v>
      </c>
      <c r="G205" s="3474">
        <v>0.13</v>
      </c>
    </row>
    <row r="206" spans="1:7">
      <c r="A206" s="3483" t="s">
        <v>1154</v>
      </c>
      <c r="B206" s="3472" t="s">
        <v>2907</v>
      </c>
      <c r="C206" s="3473">
        <v>0.13</v>
      </c>
      <c r="D206" s="3473">
        <v>0.13</v>
      </c>
      <c r="E206" s="3473">
        <v>0.13</v>
      </c>
      <c r="F206" s="3473">
        <v>0.128</v>
      </c>
      <c r="G206" s="3474">
        <v>0.13</v>
      </c>
    </row>
    <row r="207" spans="1:7">
      <c r="A207" s="3483" t="s">
        <v>1154</v>
      </c>
      <c r="B207" s="3472" t="s">
        <v>2908</v>
      </c>
      <c r="C207" s="3473">
        <v>0.13</v>
      </c>
      <c r="D207" s="3473">
        <v>0.13</v>
      </c>
      <c r="E207" s="3473">
        <v>0.13</v>
      </c>
      <c r="F207" s="3473">
        <v>0.13</v>
      </c>
      <c r="G207" s="3474">
        <v>0.13</v>
      </c>
    </row>
    <row r="208" spans="1:7">
      <c r="A208" s="3483" t="s">
        <v>1154</v>
      </c>
      <c r="B208" s="3472" t="s">
        <v>3090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2910</v>
      </c>
      <c r="C210" s="3473">
        <v>0.121</v>
      </c>
      <c r="D210" s="3473">
        <v>0.121</v>
      </c>
      <c r="E210" s="3473">
        <v>0.125</v>
      </c>
      <c r="F210" s="3473">
        <v>0.13</v>
      </c>
      <c r="G210" s="3474">
        <v>0.123</v>
      </c>
    </row>
    <row r="211" spans="1:7">
      <c r="A211" s="3483" t="s">
        <v>1154</v>
      </c>
      <c r="B211" s="3472" t="s">
        <v>3091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3092</v>
      </c>
      <c r="C214" s="3473">
        <v>0.128</v>
      </c>
      <c r="D214" s="3473">
        <v>0.128</v>
      </c>
      <c r="E214" s="3473">
        <v>0.13</v>
      </c>
      <c r="F214" s="3473">
        <v>0.13</v>
      </c>
      <c r="G214" s="3474">
        <v>0.13</v>
      </c>
    </row>
    <row r="215" spans="1:7">
      <c r="A215" s="3483" t="s">
        <v>1154</v>
      </c>
      <c r="B215" s="3472" t="s">
        <v>3093</v>
      </c>
      <c r="C215" s="3473">
        <v>0.13</v>
      </c>
      <c r="D215" s="3473">
        <v>0.13</v>
      </c>
      <c r="E215" s="3473">
        <v>0.13</v>
      </c>
      <c r="F215" s="3473">
        <v>0.129</v>
      </c>
      <c r="G215" s="3474">
        <v>0.13</v>
      </c>
    </row>
    <row r="216" spans="1:7">
      <c r="A216" s="3483" t="s">
        <v>1154</v>
      </c>
      <c r="B216" s="3472" t="s">
        <v>3094</v>
      </c>
      <c r="C216" s="3473">
        <v>0.13</v>
      </c>
      <c r="D216" s="3473">
        <v>0.13</v>
      </c>
      <c r="E216" s="3473">
        <v>0.13</v>
      </c>
      <c r="F216" s="3473">
        <v>0.13</v>
      </c>
      <c r="G216" s="3474">
        <v>0.13</v>
      </c>
    </row>
    <row r="217" spans="1:7">
      <c r="A217" s="3483" t="s">
        <v>1154</v>
      </c>
      <c r="B217" s="3472" t="s">
        <v>2914</v>
      </c>
      <c r="C217" s="3473">
        <v>0.129</v>
      </c>
      <c r="D217" s="3473">
        <v>0.129</v>
      </c>
      <c r="E217" s="3473">
        <v>0.13</v>
      </c>
      <c r="F217" s="3473">
        <v>0.13</v>
      </c>
      <c r="G217" s="3474">
        <v>0.13</v>
      </c>
    </row>
    <row r="218" spans="1:7">
      <c r="A218" s="3483" t="s">
        <v>1154</v>
      </c>
      <c r="B218" s="3472" t="s">
        <v>3095</v>
      </c>
      <c r="C218" s="3484"/>
      <c r="D218" s="3484"/>
      <c r="E218" s="3484"/>
      <c r="F218" s="3473">
        <v>0.05</v>
      </c>
      <c r="G218" s="3490"/>
    </row>
    <row r="219" spans="1:7">
      <c r="A219" s="3483" t="s">
        <v>1154</v>
      </c>
      <c r="B219" s="3472" t="s">
        <v>3096</v>
      </c>
      <c r="C219" s="3484"/>
      <c r="D219" s="3484"/>
      <c r="E219" s="3484"/>
      <c r="F219" s="3473">
        <v>0.05</v>
      </c>
      <c r="G219" s="3490"/>
    </row>
    <row r="220" spans="1:7">
      <c r="A220" s="3483" t="s">
        <v>1154</v>
      </c>
      <c r="B220" s="3472" t="s">
        <v>3097</v>
      </c>
      <c r="C220" s="3484"/>
      <c r="D220" s="3484"/>
      <c r="E220" s="3484"/>
      <c r="F220" s="3473">
        <v>0.05</v>
      </c>
      <c r="G220" s="3490"/>
    </row>
    <row r="221" spans="1:7">
      <c r="A221" s="3483" t="s">
        <v>1154</v>
      </c>
      <c r="B221" s="3472" t="s">
        <v>3098</v>
      </c>
      <c r="C221" s="3484"/>
      <c r="D221" s="3484"/>
      <c r="E221" s="3484"/>
      <c r="F221" s="3473">
        <v>0.05</v>
      </c>
      <c r="G221" s="3490"/>
    </row>
    <row r="222" spans="1:7">
      <c r="A222" s="3483" t="s">
        <v>1154</v>
      </c>
      <c r="B222" s="3472" t="s">
        <v>3099</v>
      </c>
      <c r="C222" s="3484"/>
      <c r="D222" s="3484"/>
      <c r="E222" s="3484"/>
      <c r="F222" s="3473">
        <v>0.05</v>
      </c>
      <c r="G222" s="3490"/>
    </row>
    <row r="223" spans="1:7">
      <c r="A223" s="3483" t="s">
        <v>1154</v>
      </c>
      <c r="B223" s="3472" t="s">
        <v>3100</v>
      </c>
      <c r="C223" s="3484"/>
      <c r="D223" s="3484"/>
      <c r="E223" s="3484"/>
      <c r="F223" s="3473">
        <v>0.05</v>
      </c>
      <c r="G223" s="3490"/>
    </row>
    <row r="224" spans="1:7">
      <c r="A224" s="3483" t="s">
        <v>1154</v>
      </c>
      <c r="B224" s="3472" t="s">
        <v>3101</v>
      </c>
      <c r="C224" s="3484"/>
      <c r="D224" s="3484"/>
      <c r="E224" s="3484"/>
      <c r="F224" s="3473">
        <v>0.05</v>
      </c>
      <c r="G224" s="3490"/>
    </row>
    <row r="225" spans="1:7">
      <c r="A225" s="3483" t="s">
        <v>1154</v>
      </c>
      <c r="B225" s="3472" t="s">
        <v>3102</v>
      </c>
      <c r="C225" s="3484"/>
      <c r="D225" s="3484"/>
      <c r="E225" s="3484"/>
      <c r="F225" s="3473">
        <v>0.05</v>
      </c>
      <c r="G225" s="3490"/>
    </row>
    <row r="226" spans="1:7">
      <c r="A226" s="3483" t="s">
        <v>1154</v>
      </c>
      <c r="B226" s="3472" t="s">
        <v>3103</v>
      </c>
      <c r="C226" s="3484"/>
      <c r="D226" s="3484"/>
      <c r="E226" s="3484"/>
      <c r="F226" s="3473">
        <v>0.05</v>
      </c>
      <c r="G226" s="3490"/>
    </row>
    <row r="227" spans="1:7">
      <c r="A227" s="3483" t="s">
        <v>1154</v>
      </c>
      <c r="B227" s="3472" t="s">
        <v>3104</v>
      </c>
      <c r="C227" s="3484"/>
      <c r="D227" s="3484"/>
      <c r="E227" s="3484"/>
      <c r="F227" s="3473">
        <v>0.05</v>
      </c>
      <c r="G227" s="3490"/>
    </row>
    <row r="228" spans="1:7">
      <c r="A228" s="3483" t="s">
        <v>1154</v>
      </c>
      <c r="B228" s="3472" t="s">
        <v>3105</v>
      </c>
      <c r="C228" s="3484"/>
      <c r="D228" s="3484"/>
      <c r="E228" s="3484"/>
      <c r="F228" s="3473">
        <v>0.05</v>
      </c>
      <c r="G228" s="3490"/>
    </row>
    <row r="229" spans="1:7">
      <c r="A229" s="3483" t="s">
        <v>1154</v>
      </c>
      <c r="B229" s="3472" t="s">
        <v>3106</v>
      </c>
      <c r="C229" s="3484"/>
      <c r="D229" s="3484"/>
      <c r="E229" s="3484"/>
      <c r="F229" s="3473">
        <v>0.05</v>
      </c>
      <c r="G229" s="3490"/>
    </row>
    <row r="230" spans="1:7">
      <c r="A230" s="3483" t="s">
        <v>1154</v>
      </c>
      <c r="B230" s="3472" t="s">
        <v>3107</v>
      </c>
      <c r="C230" s="3484"/>
      <c r="D230" s="3484"/>
      <c r="E230" s="3484"/>
      <c r="F230" s="3473">
        <v>0.05</v>
      </c>
      <c r="G230" s="3490"/>
    </row>
    <row r="231" spans="1:7">
      <c r="A231" s="3483" t="s">
        <v>1154</v>
      </c>
      <c r="B231" s="3472" t="s">
        <v>3108</v>
      </c>
      <c r="C231" s="3484"/>
      <c r="D231" s="3484"/>
      <c r="E231" s="3484"/>
      <c r="F231" s="3473">
        <v>0.05</v>
      </c>
      <c r="G231" s="3490"/>
    </row>
    <row r="232" spans="1:7">
      <c r="A232" s="3483" t="s">
        <v>1154</v>
      </c>
      <c r="B232" s="3472" t="s">
        <v>3109</v>
      </c>
      <c r="C232" s="3484"/>
      <c r="D232" s="3484"/>
      <c r="E232" s="3484"/>
      <c r="F232" s="3473">
        <v>0.05</v>
      </c>
      <c r="G232" s="3490"/>
    </row>
    <row r="233" spans="1:7" ht="14.25" thickBot="1">
      <c r="A233" s="3486" t="s">
        <v>1154</v>
      </c>
      <c r="B233" s="3476" t="s">
        <v>3110</v>
      </c>
      <c r="C233" s="3478"/>
      <c r="D233" s="3478"/>
      <c r="E233" s="3478"/>
      <c r="F233" s="3477">
        <v>0.05</v>
      </c>
      <c r="G233" s="3491"/>
    </row>
    <row r="234" spans="1:7">
      <c r="A234" s="3482" t="s">
        <v>1155</v>
      </c>
      <c r="B234" s="3468" t="s">
        <v>3111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2932</v>
      </c>
      <c r="C238" s="3473">
        <v>0.14899999999999999</v>
      </c>
      <c r="D238" s="3473">
        <v>0.14899999999999999</v>
      </c>
      <c r="E238" s="3473">
        <v>0.15</v>
      </c>
      <c r="F238" s="3473">
        <v>0.15</v>
      </c>
      <c r="G238" s="3474">
        <v>0.15</v>
      </c>
    </row>
    <row r="239" spans="1:7">
      <c r="A239" s="3483" t="s">
        <v>1155</v>
      </c>
      <c r="B239" s="3472" t="s">
        <v>3112</v>
      </c>
      <c r="C239" s="3473">
        <v>0.15</v>
      </c>
      <c r="D239" s="3473">
        <v>0.15</v>
      </c>
      <c r="E239" s="3473">
        <v>0.15</v>
      </c>
      <c r="F239" s="3473">
        <v>0.15</v>
      </c>
      <c r="G239" s="3474">
        <v>0.15</v>
      </c>
    </row>
    <row r="240" spans="1:7">
      <c r="A240" s="3483" t="s">
        <v>1155</v>
      </c>
      <c r="B240" s="3472" t="s">
        <v>3113</v>
      </c>
      <c r="C240" s="3473">
        <v>0.15</v>
      </c>
      <c r="D240" s="3473">
        <v>0.15</v>
      </c>
      <c r="E240" s="3473">
        <v>0.15</v>
      </c>
      <c r="F240" s="3473">
        <v>0.15</v>
      </c>
      <c r="G240" s="3474">
        <v>0.15</v>
      </c>
    </row>
    <row r="241" spans="1:7">
      <c r="A241" s="3483" t="s">
        <v>1155</v>
      </c>
      <c r="B241" s="3472" t="s">
        <v>3114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2941</v>
      </c>
      <c r="C258" s="3473">
        <v>0.14299999999999999</v>
      </c>
      <c r="D258" s="3473">
        <v>0.14299999999999999</v>
      </c>
      <c r="E258" s="3473">
        <v>0.15</v>
      </c>
      <c r="F258" s="3473">
        <v>0.14799999999999999</v>
      </c>
      <c r="G258" s="3474">
        <v>0.14599999999999999</v>
      </c>
    </row>
    <row r="259" spans="1:7">
      <c r="A259" s="3483" t="s">
        <v>1155</v>
      </c>
      <c r="B259" s="3472" t="s">
        <v>3120</v>
      </c>
      <c r="C259" s="3473">
        <v>0.14399999999999999</v>
      </c>
      <c r="D259" s="3473">
        <v>0.14399999999999999</v>
      </c>
      <c r="E259" s="3473">
        <v>0.14899999999999999</v>
      </c>
      <c r="F259" s="3473">
        <v>0.14699999999999999</v>
      </c>
      <c r="G259" s="3474">
        <v>0.14599999999999999</v>
      </c>
    </row>
    <row r="260" spans="1:7">
      <c r="A260" s="3483" t="s">
        <v>1155</v>
      </c>
      <c r="B260" s="3472" t="s">
        <v>3121</v>
      </c>
      <c r="C260" s="3473">
        <v>0.109</v>
      </c>
      <c r="D260" s="3473">
        <v>0.111</v>
      </c>
      <c r="E260" s="3473">
        <v>0.13100000000000001</v>
      </c>
      <c r="F260" s="3473">
        <v>0.126</v>
      </c>
      <c r="G260" s="3474">
        <v>0.11899999999999999</v>
      </c>
    </row>
    <row r="261" spans="1:7">
      <c r="A261" s="3483" t="s">
        <v>1155</v>
      </c>
      <c r="B261" s="3472" t="s">
        <v>3122</v>
      </c>
      <c r="C261" s="3473">
        <v>0.1</v>
      </c>
      <c r="D261" s="3473">
        <v>0.1</v>
      </c>
      <c r="E261" s="3473">
        <v>0.11799999999999999</v>
      </c>
      <c r="F261" s="3473">
        <v>0.108</v>
      </c>
      <c r="G261" s="3474">
        <v>0.107</v>
      </c>
    </row>
    <row r="262" spans="1:7">
      <c r="A262" s="3483" t="s">
        <v>1155</v>
      </c>
      <c r="B262" s="3472" t="s">
        <v>3123</v>
      </c>
      <c r="C262" s="3473">
        <v>0.1</v>
      </c>
      <c r="D262" s="3473">
        <v>0.1</v>
      </c>
      <c r="E262" s="3473">
        <v>0.1</v>
      </c>
      <c r="F262" s="3473">
        <v>0.14099999999999999</v>
      </c>
      <c r="G262" s="3474">
        <v>0.1</v>
      </c>
    </row>
    <row r="263" spans="1:7">
      <c r="A263" s="3483" t="s">
        <v>1155</v>
      </c>
      <c r="B263" s="3472" t="s">
        <v>3124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3125</v>
      </c>
      <c r="C265" s="3484"/>
      <c r="D265" s="3484"/>
      <c r="E265" s="3484"/>
      <c r="F265" s="3473">
        <v>0.05</v>
      </c>
      <c r="G265" s="3490"/>
    </row>
    <row r="266" spans="1:7">
      <c r="A266" s="3483" t="s">
        <v>1155</v>
      </c>
      <c r="B266" s="3472" t="s">
        <v>3126</v>
      </c>
      <c r="C266" s="3484"/>
      <c r="D266" s="3484"/>
      <c r="E266" s="3484"/>
      <c r="F266" s="3473">
        <v>0.05</v>
      </c>
      <c r="G266" s="3490"/>
    </row>
    <row r="267" spans="1:7">
      <c r="A267" s="3483" t="s">
        <v>1155</v>
      </c>
      <c r="B267" s="3472" t="s">
        <v>3127</v>
      </c>
      <c r="C267" s="3484"/>
      <c r="D267" s="3484"/>
      <c r="E267" s="3484"/>
      <c r="F267" s="3473">
        <v>0.05</v>
      </c>
      <c r="G267" s="3490"/>
    </row>
    <row r="268" spans="1:7">
      <c r="A268" s="3483" t="s">
        <v>1155</v>
      </c>
      <c r="B268" s="3472" t="s">
        <v>3128</v>
      </c>
      <c r="C268" s="3484"/>
      <c r="D268" s="3484"/>
      <c r="E268" s="3484"/>
      <c r="F268" s="3473">
        <v>0.05</v>
      </c>
      <c r="G268" s="3490"/>
    </row>
    <row r="269" spans="1:7">
      <c r="A269" s="3483" t="s">
        <v>1155</v>
      </c>
      <c r="B269" s="3472" t="s">
        <v>3129</v>
      </c>
      <c r="C269" s="3484"/>
      <c r="D269" s="3484"/>
      <c r="E269" s="3484"/>
      <c r="F269" s="3473">
        <v>0.05</v>
      </c>
      <c r="G269" s="3490"/>
    </row>
    <row r="270" spans="1:7">
      <c r="A270" s="3483" t="s">
        <v>1155</v>
      </c>
      <c r="B270" s="3472" t="s">
        <v>3130</v>
      </c>
      <c r="C270" s="3484"/>
      <c r="D270" s="3484"/>
      <c r="E270" s="3484"/>
      <c r="F270" s="3473">
        <v>0.05</v>
      </c>
      <c r="G270" s="3490"/>
    </row>
    <row r="271" spans="1:7">
      <c r="A271" s="3483" t="s">
        <v>1155</v>
      </c>
      <c r="B271" s="3472" t="s">
        <v>3131</v>
      </c>
      <c r="C271" s="3484"/>
      <c r="D271" s="3484"/>
      <c r="E271" s="3484"/>
      <c r="F271" s="3473">
        <v>0.05</v>
      </c>
      <c r="G271" s="3490"/>
    </row>
    <row r="272" spans="1:7">
      <c r="A272" s="3483" t="s">
        <v>1155</v>
      </c>
      <c r="B272" s="3472" t="s">
        <v>3132</v>
      </c>
      <c r="C272" s="3484"/>
      <c r="D272" s="3484"/>
      <c r="E272" s="3484"/>
      <c r="F272" s="3473">
        <v>0.05</v>
      </c>
      <c r="G272" s="3490"/>
    </row>
    <row r="273" spans="1:7">
      <c r="A273" s="3483" t="s">
        <v>1155</v>
      </c>
      <c r="B273" s="3472" t="s">
        <v>3133</v>
      </c>
      <c r="C273" s="3484"/>
      <c r="D273" s="3484"/>
      <c r="E273" s="3484"/>
      <c r="F273" s="3473">
        <v>0.05</v>
      </c>
      <c r="G273" s="3490"/>
    </row>
    <row r="274" spans="1:7">
      <c r="A274" s="3483" t="s">
        <v>1155</v>
      </c>
      <c r="B274" s="3472" t="s">
        <v>3134</v>
      </c>
      <c r="C274" s="3484"/>
      <c r="D274" s="3484"/>
      <c r="E274" s="3484"/>
      <c r="F274" s="3473">
        <v>0.05</v>
      </c>
      <c r="G274" s="3490"/>
    </row>
    <row r="275" spans="1:7">
      <c r="A275" s="3483" t="s">
        <v>1155</v>
      </c>
      <c r="B275" s="3472" t="s">
        <v>3135</v>
      </c>
      <c r="C275" s="3484"/>
      <c r="D275" s="3484"/>
      <c r="E275" s="3484"/>
      <c r="F275" s="3473">
        <v>0.05</v>
      </c>
      <c r="G275" s="3490"/>
    </row>
    <row r="276" spans="1:7" ht="14.25" thickBot="1">
      <c r="A276" s="3486" t="s">
        <v>1155</v>
      </c>
      <c r="B276" s="3476" t="s">
        <v>3136</v>
      </c>
      <c r="C276" s="3478"/>
      <c r="D276" s="3478"/>
      <c r="E276" s="3478"/>
      <c r="F276" s="3477">
        <v>0.05</v>
      </c>
      <c r="G276" s="3491"/>
    </row>
    <row r="277" spans="1:7">
      <c r="A277" s="3482" t="s">
        <v>1156</v>
      </c>
      <c r="B277" s="3468" t="s">
        <v>3137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3138</v>
      </c>
      <c r="C279" s="3473">
        <v>0.15</v>
      </c>
      <c r="D279" s="3473">
        <v>0.15</v>
      </c>
      <c r="E279" s="3473">
        <v>0.15</v>
      </c>
      <c r="F279" s="3473">
        <v>0.15</v>
      </c>
      <c r="G279" s="3474">
        <v>0.15</v>
      </c>
    </row>
    <row r="280" spans="1:7">
      <c r="A280" s="3483" t="s">
        <v>1156</v>
      </c>
      <c r="B280" s="3472" t="s">
        <v>3139</v>
      </c>
      <c r="C280" s="3473">
        <v>0.15</v>
      </c>
      <c r="D280" s="3473">
        <v>0.15</v>
      </c>
      <c r="E280" s="3473">
        <v>0.15</v>
      </c>
      <c r="F280" s="3473">
        <v>0.15</v>
      </c>
      <c r="G280" s="3474">
        <v>0.15</v>
      </c>
    </row>
    <row r="281" spans="1:7">
      <c r="A281" s="3483" t="s">
        <v>1156</v>
      </c>
      <c r="B281" s="3472" t="s">
        <v>3140</v>
      </c>
      <c r="C281" s="3473">
        <v>0.15</v>
      </c>
      <c r="D281" s="3473">
        <v>0.15</v>
      </c>
      <c r="E281" s="3473">
        <v>0.15</v>
      </c>
      <c r="F281" s="3473">
        <v>0.15</v>
      </c>
      <c r="G281" s="3474">
        <v>0.15</v>
      </c>
    </row>
    <row r="282" spans="1:7">
      <c r="A282" s="3483" t="s">
        <v>1156</v>
      </c>
      <c r="B282" s="3472" t="s">
        <v>3141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3142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2966</v>
      </c>
      <c r="C293" s="3473">
        <v>0.15</v>
      </c>
      <c r="D293" s="3473">
        <v>0.15</v>
      </c>
      <c r="E293" s="3473">
        <v>0.15</v>
      </c>
      <c r="F293" s="3473">
        <v>0.14499999999999999</v>
      </c>
      <c r="G293" s="3474">
        <v>0.15</v>
      </c>
    </row>
    <row r="294" spans="1:7">
      <c r="A294" s="3483" t="s">
        <v>1156</v>
      </c>
      <c r="B294" s="3472" t="s">
        <v>3144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3145</v>
      </c>
      <c r="C302" s="3473">
        <v>0.15</v>
      </c>
      <c r="D302" s="3473">
        <v>0.15</v>
      </c>
      <c r="E302" s="3473">
        <v>0.15</v>
      </c>
      <c r="F302" s="3473">
        <v>0.14699999999999999</v>
      </c>
      <c r="G302" s="3474">
        <v>0.15</v>
      </c>
    </row>
    <row r="303" spans="1:7">
      <c r="A303" s="3483" t="s">
        <v>1156</v>
      </c>
      <c r="B303" s="3472" t="s">
        <v>2970</v>
      </c>
      <c r="C303" s="3473">
        <v>0.15</v>
      </c>
      <c r="D303" s="3473">
        <v>0.15</v>
      </c>
      <c r="E303" s="3473">
        <v>0.15</v>
      </c>
      <c r="F303" s="3473">
        <v>0.14199999999999999</v>
      </c>
      <c r="G303" s="3474">
        <v>0.15</v>
      </c>
    </row>
    <row r="304" spans="1:7">
      <c r="A304" s="3483" t="s">
        <v>1156</v>
      </c>
      <c r="B304" s="3472" t="s">
        <v>2971</v>
      </c>
      <c r="C304" s="3473">
        <v>0.15</v>
      </c>
      <c r="D304" s="3473">
        <v>0.15</v>
      </c>
      <c r="E304" s="3473">
        <v>0.15</v>
      </c>
      <c r="F304" s="3473">
        <v>0.14499999999999999</v>
      </c>
      <c r="G304" s="3474">
        <v>0.15</v>
      </c>
    </row>
    <row r="305" spans="1:7">
      <c r="A305" s="3483" t="s">
        <v>1156</v>
      </c>
      <c r="B305" s="3472" t="s">
        <v>2972</v>
      </c>
      <c r="C305" s="3473">
        <v>0.15</v>
      </c>
      <c r="D305" s="3473">
        <v>0.15</v>
      </c>
      <c r="E305" s="3473">
        <v>0.15</v>
      </c>
      <c r="F305" s="3473">
        <v>0.111</v>
      </c>
      <c r="G305" s="3474">
        <v>0.15</v>
      </c>
    </row>
    <row r="306" spans="1:7">
      <c r="A306" s="3483" t="s">
        <v>1156</v>
      </c>
      <c r="B306" s="3472" t="s">
        <v>3146</v>
      </c>
      <c r="C306" s="3473">
        <v>0.15</v>
      </c>
      <c r="D306" s="3473">
        <v>0.15</v>
      </c>
      <c r="E306" s="3473">
        <v>0.15</v>
      </c>
      <c r="F306" s="3473">
        <v>0.126</v>
      </c>
      <c r="G306" s="3474">
        <v>0.15</v>
      </c>
    </row>
    <row r="307" spans="1:7">
      <c r="A307" s="3483" t="s">
        <v>1156</v>
      </c>
      <c r="B307" s="3472" t="s">
        <v>2974</v>
      </c>
      <c r="C307" s="3473">
        <v>0.15</v>
      </c>
      <c r="D307" s="3473">
        <v>0.15</v>
      </c>
      <c r="E307" s="3473">
        <v>0.15</v>
      </c>
      <c r="F307" s="3473">
        <v>0.12</v>
      </c>
      <c r="G307" s="3474">
        <v>0.15</v>
      </c>
    </row>
    <row r="308" spans="1:7">
      <c r="A308" s="3483" t="s">
        <v>1156</v>
      </c>
      <c r="B308" s="3472" t="s">
        <v>3147</v>
      </c>
      <c r="C308" s="3473">
        <v>0.15</v>
      </c>
      <c r="D308" s="3473">
        <v>0.15</v>
      </c>
      <c r="E308" s="3473">
        <v>0.15</v>
      </c>
      <c r="F308" s="3473">
        <v>0.13</v>
      </c>
      <c r="G308" s="3474">
        <v>0.15</v>
      </c>
    </row>
    <row r="309" spans="1:7">
      <c r="A309" s="3483" t="s">
        <v>1156</v>
      </c>
      <c r="B309" s="3472" t="s">
        <v>3148</v>
      </c>
      <c r="C309" s="3473">
        <v>0.15</v>
      </c>
      <c r="D309" s="3473">
        <v>0.15</v>
      </c>
      <c r="E309" s="3473">
        <v>0.15</v>
      </c>
      <c r="F309" s="3473">
        <v>0.14099999999999999</v>
      </c>
      <c r="G309" s="3474">
        <v>0.15</v>
      </c>
    </row>
    <row r="310" spans="1:7">
      <c r="A310" s="3483" t="s">
        <v>1156</v>
      </c>
      <c r="B310" s="3472" t="s">
        <v>2977</v>
      </c>
      <c r="C310" s="3473">
        <v>0.15</v>
      </c>
      <c r="D310" s="3473">
        <v>0.15</v>
      </c>
      <c r="E310" s="3473">
        <v>0.15</v>
      </c>
      <c r="F310" s="3473">
        <v>0.15</v>
      </c>
      <c r="G310" s="3474">
        <v>0.15</v>
      </c>
    </row>
    <row r="311" spans="1:7">
      <c r="A311" s="3483" t="s">
        <v>1156</v>
      </c>
      <c r="B311" s="3472" t="s">
        <v>3149</v>
      </c>
      <c r="C311" s="3473">
        <v>0.13200000000000001</v>
      </c>
      <c r="D311" s="3473">
        <v>0.13300000000000001</v>
      </c>
      <c r="E311" s="3473">
        <v>0.14499999999999999</v>
      </c>
      <c r="F311" s="3473">
        <v>0.14199999999999999</v>
      </c>
      <c r="G311" s="3474">
        <v>0.14000000000000001</v>
      </c>
    </row>
    <row r="312" spans="1:7">
      <c r="A312" s="3483" t="s">
        <v>1156</v>
      </c>
      <c r="B312" s="3472" t="s">
        <v>2979</v>
      </c>
      <c r="C312" s="3473">
        <v>0.13800000000000001</v>
      </c>
      <c r="D312" s="3473">
        <v>0.14000000000000001</v>
      </c>
      <c r="E312" s="3473">
        <v>0.14599999999999999</v>
      </c>
      <c r="F312" s="3473">
        <v>0.14899999999999999</v>
      </c>
      <c r="G312" s="3474">
        <v>0.14199999999999999</v>
      </c>
    </row>
    <row r="313" spans="1:7">
      <c r="A313" s="3483" t="s">
        <v>1156</v>
      </c>
      <c r="B313" s="3472" t="s">
        <v>2980</v>
      </c>
      <c r="C313" s="3473">
        <v>0.125</v>
      </c>
      <c r="D313" s="3473">
        <v>0.127</v>
      </c>
      <c r="E313" s="3473">
        <v>0.14399999999999999</v>
      </c>
      <c r="F313" s="3473">
        <v>0.115</v>
      </c>
      <c r="G313" s="3474">
        <v>0.13600000000000001</v>
      </c>
    </row>
    <row r="314" spans="1:7">
      <c r="A314" s="3483" t="s">
        <v>1156</v>
      </c>
      <c r="B314" s="3472" t="s">
        <v>3150</v>
      </c>
      <c r="C314" s="3489"/>
      <c r="D314" s="3489"/>
      <c r="E314" s="3489"/>
      <c r="F314" s="3473">
        <v>0.05</v>
      </c>
      <c r="G314" s="3490"/>
    </row>
    <row r="315" spans="1:7">
      <c r="A315" s="3483" t="s">
        <v>1156</v>
      </c>
      <c r="B315" s="3472" t="s">
        <v>3151</v>
      </c>
      <c r="C315" s="3489"/>
      <c r="D315" s="3489"/>
      <c r="E315" s="3489"/>
      <c r="F315" s="3473">
        <v>0.05</v>
      </c>
      <c r="G315" s="3490"/>
    </row>
    <row r="316" spans="1:7">
      <c r="A316" s="3483" t="s">
        <v>1156</v>
      </c>
      <c r="B316" s="3472" t="s">
        <v>3152</v>
      </c>
      <c r="C316" s="3484"/>
      <c r="D316" s="3484"/>
      <c r="E316" s="3484"/>
      <c r="F316" s="3473">
        <v>0.05</v>
      </c>
      <c r="G316" s="3490"/>
    </row>
    <row r="317" spans="1:7">
      <c r="A317" s="3483" t="s">
        <v>1156</v>
      </c>
      <c r="B317" s="3472" t="s">
        <v>3153</v>
      </c>
      <c r="C317" s="3484"/>
      <c r="D317" s="3484"/>
      <c r="E317" s="3484"/>
      <c r="F317" s="3473">
        <v>0.05</v>
      </c>
      <c r="G317" s="3490"/>
    </row>
    <row r="318" spans="1:7">
      <c r="A318" s="3483" t="s">
        <v>1156</v>
      </c>
      <c r="B318" s="3472" t="s">
        <v>3154</v>
      </c>
      <c r="C318" s="3484"/>
      <c r="D318" s="3484"/>
      <c r="E318" s="3484"/>
      <c r="F318" s="3473">
        <v>0.05</v>
      </c>
      <c r="G318" s="3490"/>
    </row>
    <row r="319" spans="1:7">
      <c r="A319" s="3483" t="s">
        <v>1156</v>
      </c>
      <c r="B319" s="3472" t="s">
        <v>3155</v>
      </c>
      <c r="C319" s="3484"/>
      <c r="D319" s="3484"/>
      <c r="E319" s="3484"/>
      <c r="F319" s="3473">
        <v>0.05</v>
      </c>
      <c r="G319" s="3490"/>
    </row>
    <row r="320" spans="1:7">
      <c r="A320" s="3483" t="s">
        <v>1156</v>
      </c>
      <c r="B320" s="3472" t="s">
        <v>3156</v>
      </c>
      <c r="C320" s="3484"/>
      <c r="D320" s="3484"/>
      <c r="E320" s="3484"/>
      <c r="F320" s="3473">
        <v>0.05</v>
      </c>
      <c r="G320" s="3490"/>
    </row>
    <row r="321" spans="1:7">
      <c r="A321" s="3483" t="s">
        <v>1156</v>
      </c>
      <c r="B321" s="3472" t="s">
        <v>3157</v>
      </c>
      <c r="C321" s="3484"/>
      <c r="D321" s="3484"/>
      <c r="E321" s="3484"/>
      <c r="F321" s="3473">
        <v>0.05</v>
      </c>
      <c r="G321" s="3490"/>
    </row>
    <row r="322" spans="1:7">
      <c r="A322" s="3483" t="s">
        <v>1156</v>
      </c>
      <c r="B322" s="3472" t="s">
        <v>3158</v>
      </c>
      <c r="C322" s="3484"/>
      <c r="D322" s="3484"/>
      <c r="E322" s="3484"/>
      <c r="F322" s="3473">
        <v>0.05</v>
      </c>
      <c r="G322" s="3490"/>
    </row>
    <row r="323" spans="1:7">
      <c r="A323" s="3483" t="s">
        <v>1156</v>
      </c>
      <c r="B323" s="3472" t="s">
        <v>3159</v>
      </c>
      <c r="C323" s="3484"/>
      <c r="D323" s="3484"/>
      <c r="E323" s="3484"/>
      <c r="F323" s="3473">
        <v>0.05</v>
      </c>
      <c r="G323" s="3490"/>
    </row>
    <row r="324" spans="1:7">
      <c r="A324" s="3483" t="s">
        <v>1156</v>
      </c>
      <c r="B324" s="3472" t="s">
        <v>3160</v>
      </c>
      <c r="C324" s="3484"/>
      <c r="D324" s="3484"/>
      <c r="E324" s="3484"/>
      <c r="F324" s="3473">
        <v>0.05</v>
      </c>
      <c r="G324" s="3490"/>
    </row>
    <row r="325" spans="1:7">
      <c r="A325" s="3483" t="s">
        <v>1156</v>
      </c>
      <c r="B325" s="3472" t="s">
        <v>3161</v>
      </c>
      <c r="C325" s="3484"/>
      <c r="D325" s="3484"/>
      <c r="E325" s="3484"/>
      <c r="F325" s="3473">
        <v>0.05</v>
      </c>
      <c r="G325" s="3490"/>
    </row>
    <row r="326" spans="1:7" ht="14.25" thickBot="1">
      <c r="A326" s="3486" t="s">
        <v>1156</v>
      </c>
      <c r="B326" s="3476" t="s">
        <v>3162</v>
      </c>
      <c r="C326" s="3478"/>
      <c r="D326" s="3478"/>
      <c r="E326" s="3478"/>
      <c r="F326" s="3477">
        <v>0.05</v>
      </c>
      <c r="G326" s="3491"/>
    </row>
    <row r="327" spans="1:7">
      <c r="A327" s="3482" t="s">
        <v>1157</v>
      </c>
      <c r="B327" s="3468" t="s">
        <v>3163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3164</v>
      </c>
      <c r="C329" s="3473">
        <v>0.15</v>
      </c>
      <c r="D329" s="3473">
        <v>0.15</v>
      </c>
      <c r="E329" s="3473">
        <v>0.15</v>
      </c>
      <c r="F329" s="3473">
        <v>0.15</v>
      </c>
      <c r="G329" s="3474">
        <v>0.15</v>
      </c>
    </row>
    <row r="330" spans="1:7">
      <c r="A330" s="3483" t="s">
        <v>1157</v>
      </c>
      <c r="B330" s="3472" t="s">
        <v>3165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2997</v>
      </c>
      <c r="C332" s="3473">
        <v>0.15</v>
      </c>
      <c r="D332" s="3473">
        <v>0.15</v>
      </c>
      <c r="E332" s="3473">
        <v>0.15</v>
      </c>
      <c r="F332" s="3473">
        <v>0.15</v>
      </c>
      <c r="G332" s="3474">
        <v>0.15</v>
      </c>
    </row>
    <row r="333" spans="1:7">
      <c r="A333" s="3483" t="s">
        <v>1157</v>
      </c>
      <c r="B333" s="3472" t="s">
        <v>3166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2999</v>
      </c>
      <c r="C336" s="3473">
        <v>0.15</v>
      </c>
      <c r="D336" s="3473">
        <v>0.15</v>
      </c>
      <c r="E336" s="3473">
        <v>0.15</v>
      </c>
      <c r="F336" s="3473">
        <v>0.14199999999999999</v>
      </c>
      <c r="G336" s="3474">
        <v>0.15</v>
      </c>
    </row>
    <row r="337" spans="1:7">
      <c r="A337" s="3483" t="s">
        <v>1157</v>
      </c>
      <c r="B337" s="3472" t="s">
        <v>3167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3003</v>
      </c>
      <c r="C345" s="3473">
        <v>0.15</v>
      </c>
      <c r="D345" s="3473">
        <v>0.15</v>
      </c>
      <c r="E345" s="3473">
        <v>0.15</v>
      </c>
      <c r="F345" s="3473">
        <v>0.13800000000000001</v>
      </c>
      <c r="G345" s="3474">
        <v>0.15</v>
      </c>
    </row>
    <row r="346" spans="1:7">
      <c r="A346" s="3483" t="s">
        <v>1157</v>
      </c>
      <c r="B346" s="3472" t="s">
        <v>3170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3005</v>
      </c>
      <c r="C348" s="3473">
        <v>0.15</v>
      </c>
      <c r="D348" s="3473">
        <v>0.15</v>
      </c>
      <c r="E348" s="3473">
        <v>0.15</v>
      </c>
      <c r="F348" s="3473">
        <v>0.14399999999999999</v>
      </c>
      <c r="G348" s="3474">
        <v>0.15</v>
      </c>
    </row>
    <row r="349" spans="1:7">
      <c r="A349" s="3483" t="s">
        <v>1157</v>
      </c>
      <c r="B349" s="3472" t="s">
        <v>3006</v>
      </c>
      <c r="C349" s="3473">
        <v>0.15</v>
      </c>
      <c r="D349" s="3473">
        <v>0.15</v>
      </c>
      <c r="E349" s="3473">
        <v>0.15</v>
      </c>
      <c r="F349" s="3473">
        <v>0.15</v>
      </c>
      <c r="G349" s="3474">
        <v>0.15</v>
      </c>
    </row>
    <row r="350" spans="1:7">
      <c r="A350" s="3483" t="s">
        <v>1157</v>
      </c>
      <c r="B350" s="3472" t="s">
        <v>3171</v>
      </c>
      <c r="C350" s="3473">
        <v>0.15</v>
      </c>
      <c r="D350" s="3473">
        <v>0.15</v>
      </c>
      <c r="E350" s="3473">
        <v>0.15</v>
      </c>
      <c r="F350" s="3473">
        <v>0.14699999999999999</v>
      </c>
      <c r="G350" s="3474">
        <v>0.15</v>
      </c>
    </row>
    <row r="351" spans="1:7">
      <c r="A351" s="3483" t="s">
        <v>1157</v>
      </c>
      <c r="B351" s="3472" t="s">
        <v>3008</v>
      </c>
      <c r="C351" s="3473">
        <v>0.15</v>
      </c>
      <c r="D351" s="3473">
        <v>0.15</v>
      </c>
      <c r="E351" s="3473">
        <v>0.15</v>
      </c>
      <c r="F351" s="3473">
        <v>0.13</v>
      </c>
      <c r="G351" s="3474">
        <v>0.15</v>
      </c>
    </row>
    <row r="352" spans="1:7">
      <c r="A352" s="3483" t="s">
        <v>1157</v>
      </c>
      <c r="B352" s="3472" t="s">
        <v>3009</v>
      </c>
      <c r="C352" s="3473">
        <v>0.15</v>
      </c>
      <c r="D352" s="3473">
        <v>0.15</v>
      </c>
      <c r="E352" s="3473">
        <v>0.15</v>
      </c>
      <c r="F352" s="3473">
        <v>0.14599999999999999</v>
      </c>
      <c r="G352" s="3474">
        <v>0.15</v>
      </c>
    </row>
    <row r="353" spans="1:7">
      <c r="A353" s="3483" t="s">
        <v>1157</v>
      </c>
      <c r="B353" s="3472" t="s">
        <v>3172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3011</v>
      </c>
      <c r="C355" s="3473">
        <v>0.15</v>
      </c>
      <c r="D355" s="3473">
        <v>0.15</v>
      </c>
      <c r="E355" s="3473">
        <v>0.15</v>
      </c>
      <c r="F355" s="3473">
        <v>0.15</v>
      </c>
      <c r="G355" s="3474">
        <v>0.15</v>
      </c>
    </row>
    <row r="356" spans="1:7">
      <c r="A356" s="3483" t="s">
        <v>1157</v>
      </c>
      <c r="B356" s="3472" t="s">
        <v>3012</v>
      </c>
      <c r="C356" s="3473">
        <v>0.15</v>
      </c>
      <c r="D356" s="3473">
        <v>0.15</v>
      </c>
      <c r="E356" s="3473">
        <v>0.15</v>
      </c>
      <c r="F356" s="3473">
        <v>0.15</v>
      </c>
      <c r="G356" s="3474">
        <v>0.15</v>
      </c>
    </row>
    <row r="357" spans="1:7" ht="14.25" thickBot="1">
      <c r="A357" s="3486" t="s">
        <v>1157</v>
      </c>
      <c r="B357" s="3476" t="s">
        <v>3173</v>
      </c>
      <c r="C357" s="3477">
        <v>0.126</v>
      </c>
      <c r="D357" s="3477">
        <v>0.127</v>
      </c>
      <c r="E357" s="3477">
        <v>0.14299999999999999</v>
      </c>
      <c r="F357" s="3477">
        <v>0.125</v>
      </c>
      <c r="G357" s="3479">
        <v>0.129</v>
      </c>
    </row>
    <row r="358" spans="1:7">
      <c r="A358" s="3482" t="s">
        <v>3174</v>
      </c>
      <c r="B358" s="3468" t="s">
        <v>3175</v>
      </c>
      <c r="C358" s="3469">
        <v>0.15</v>
      </c>
      <c r="D358" s="3469">
        <v>0.15</v>
      </c>
      <c r="E358" s="3469">
        <v>0.15</v>
      </c>
      <c r="F358" s="3469">
        <v>0.15</v>
      </c>
      <c r="G358" s="3470">
        <v>0.15</v>
      </c>
    </row>
    <row r="359" spans="1:7">
      <c r="A359" s="3483" t="s">
        <v>3174</v>
      </c>
      <c r="B359" s="3472" t="s">
        <v>3176</v>
      </c>
      <c r="C359" s="3473">
        <v>0.1</v>
      </c>
      <c r="D359" s="3473">
        <v>0.1</v>
      </c>
      <c r="E359" s="3473">
        <v>0.1</v>
      </c>
      <c r="F359" s="3473">
        <v>0.1</v>
      </c>
      <c r="G359" s="3474">
        <v>0.1</v>
      </c>
    </row>
    <row r="360" spans="1:7">
      <c r="A360" s="3483" t="s">
        <v>3174</v>
      </c>
      <c r="B360" s="3472" t="s">
        <v>3177</v>
      </c>
      <c r="C360" s="3473">
        <v>0.15</v>
      </c>
      <c r="D360" s="3473">
        <v>0.15</v>
      </c>
      <c r="E360" s="3473">
        <v>0.15</v>
      </c>
      <c r="F360" s="3473">
        <v>0.14899999999999999</v>
      </c>
      <c r="G360" s="3474">
        <v>0.15</v>
      </c>
    </row>
    <row r="361" spans="1:7">
      <c r="A361" s="3483" t="s">
        <v>3174</v>
      </c>
      <c r="B361" s="3472" t="s">
        <v>999</v>
      </c>
      <c r="C361" s="3473">
        <v>0.15</v>
      </c>
      <c r="D361" s="3473">
        <v>0.15</v>
      </c>
      <c r="E361" s="3473">
        <v>0.15</v>
      </c>
      <c r="F361" s="3473">
        <v>0.115</v>
      </c>
      <c r="G361" s="3474">
        <v>0.15</v>
      </c>
    </row>
    <row r="362" spans="1:7">
      <c r="A362" s="3483" t="s">
        <v>3174</v>
      </c>
      <c r="B362" s="3472" t="s">
        <v>3178</v>
      </c>
      <c r="C362" s="3473">
        <v>0.15</v>
      </c>
      <c r="D362" s="3473">
        <v>0.15</v>
      </c>
      <c r="E362" s="3473">
        <v>0.15</v>
      </c>
      <c r="F362" s="3473">
        <v>0.106</v>
      </c>
      <c r="G362" s="3474">
        <v>0.15</v>
      </c>
    </row>
    <row r="363" spans="1:7">
      <c r="A363" s="3483" t="s">
        <v>3174</v>
      </c>
      <c r="B363" s="3472" t="s">
        <v>3018</v>
      </c>
      <c r="C363" s="3473">
        <v>0.15</v>
      </c>
      <c r="D363" s="3473">
        <v>0.15</v>
      </c>
      <c r="E363" s="3473">
        <v>0.15</v>
      </c>
      <c r="F363" s="3473">
        <v>0.14699999999999999</v>
      </c>
      <c r="G363" s="3474">
        <v>0.15</v>
      </c>
    </row>
    <row r="364" spans="1:7">
      <c r="A364" s="3483" t="s">
        <v>3174</v>
      </c>
      <c r="B364" s="3472" t="s">
        <v>3179</v>
      </c>
      <c r="C364" s="3473">
        <v>0.15</v>
      </c>
      <c r="D364" s="3473">
        <v>0.15</v>
      </c>
      <c r="E364" s="3473">
        <v>0.15</v>
      </c>
      <c r="F364" s="3473">
        <v>0.14799999999999999</v>
      </c>
      <c r="G364" s="3474">
        <v>0.15</v>
      </c>
    </row>
    <row r="365" spans="1:7">
      <c r="A365" s="3483" t="s">
        <v>3174</v>
      </c>
      <c r="B365" s="3472" t="s">
        <v>1047</v>
      </c>
      <c r="C365" s="3473">
        <v>0.15</v>
      </c>
      <c r="D365" s="3473">
        <v>0.15</v>
      </c>
      <c r="E365" s="3473">
        <v>0.15</v>
      </c>
      <c r="F365" s="3473">
        <v>0.15</v>
      </c>
      <c r="G365" s="3474">
        <v>0.15</v>
      </c>
    </row>
    <row r="366" spans="1:7">
      <c r="A366" s="3483" t="s">
        <v>3174</v>
      </c>
      <c r="B366" s="3472" t="s">
        <v>3020</v>
      </c>
      <c r="C366" s="3473">
        <v>0.15</v>
      </c>
      <c r="D366" s="3473">
        <v>0.15</v>
      </c>
      <c r="E366" s="3473">
        <v>0.15</v>
      </c>
      <c r="F366" s="3473">
        <v>0.15</v>
      </c>
      <c r="G366" s="3474">
        <v>0.15</v>
      </c>
    </row>
    <row r="367" spans="1:7">
      <c r="A367" s="3483" t="s">
        <v>3174</v>
      </c>
      <c r="B367" s="3472" t="s">
        <v>3180</v>
      </c>
      <c r="C367" s="3473">
        <v>0.15</v>
      </c>
      <c r="D367" s="3473">
        <v>0.15</v>
      </c>
      <c r="E367" s="3473">
        <v>0.15</v>
      </c>
      <c r="F367" s="3473">
        <v>0.14699999999999999</v>
      </c>
      <c r="G367" s="3474">
        <v>0.15</v>
      </c>
    </row>
    <row r="368" spans="1:7">
      <c r="A368" s="3483" t="s">
        <v>3174</v>
      </c>
      <c r="B368" s="3472" t="s">
        <v>3181</v>
      </c>
      <c r="C368" s="3473">
        <v>0.15</v>
      </c>
      <c r="D368" s="3473">
        <v>0.15</v>
      </c>
      <c r="E368" s="3473">
        <v>0.15</v>
      </c>
      <c r="F368" s="3473">
        <v>0.13600000000000001</v>
      </c>
      <c r="G368" s="3474">
        <v>0.15</v>
      </c>
    </row>
    <row r="369" spans="1:7">
      <c r="A369" s="3483" t="s">
        <v>3174</v>
      </c>
      <c r="B369" s="3472" t="s">
        <v>1061</v>
      </c>
      <c r="C369" s="3473">
        <v>0.15</v>
      </c>
      <c r="D369" s="3473">
        <v>0.15</v>
      </c>
      <c r="E369" s="3473">
        <v>0.15</v>
      </c>
      <c r="F369" s="3473">
        <v>0.14399999999999999</v>
      </c>
      <c r="G369" s="3474">
        <v>0.15</v>
      </c>
    </row>
    <row r="370" spans="1:7">
      <c r="A370" s="3483" t="s">
        <v>3174</v>
      </c>
      <c r="B370" s="3472" t="s">
        <v>1069</v>
      </c>
      <c r="C370" s="3473">
        <v>0.15</v>
      </c>
      <c r="D370" s="3473">
        <v>0.15</v>
      </c>
      <c r="E370" s="3473">
        <v>0.15</v>
      </c>
      <c r="F370" s="3473">
        <v>0.14599999999999999</v>
      </c>
      <c r="G370" s="3474">
        <v>0.15</v>
      </c>
    </row>
    <row r="371" spans="1:7">
      <c r="A371" s="3483" t="s">
        <v>3174</v>
      </c>
      <c r="B371" s="3472" t="s">
        <v>1077</v>
      </c>
      <c r="C371" s="3473">
        <v>0.15</v>
      </c>
      <c r="D371" s="3473">
        <v>0.15</v>
      </c>
      <c r="E371" s="3473">
        <v>0.15</v>
      </c>
      <c r="F371" s="3473">
        <v>0.12</v>
      </c>
      <c r="G371" s="3474">
        <v>0.15</v>
      </c>
    </row>
    <row r="372" spans="1:7">
      <c r="A372" s="3483" t="s">
        <v>3174</v>
      </c>
      <c r="B372" s="3472" t="s">
        <v>3182</v>
      </c>
      <c r="C372" s="3473">
        <v>0.15</v>
      </c>
      <c r="D372" s="3473">
        <v>0.15</v>
      </c>
      <c r="E372" s="3473">
        <v>0.15</v>
      </c>
      <c r="F372" s="3473">
        <v>0.14299999999999999</v>
      </c>
      <c r="G372" s="3474">
        <v>0.15</v>
      </c>
    </row>
    <row r="373" spans="1:7">
      <c r="A373" s="3483" t="s">
        <v>3174</v>
      </c>
      <c r="B373" s="3472" t="s">
        <v>1106</v>
      </c>
      <c r="C373" s="3473">
        <v>0.15</v>
      </c>
      <c r="D373" s="3473">
        <v>0.15</v>
      </c>
      <c r="E373" s="3473">
        <v>0.15</v>
      </c>
      <c r="F373" s="3473">
        <v>0.14599999999999999</v>
      </c>
      <c r="G373" s="3474">
        <v>0.15</v>
      </c>
    </row>
    <row r="374" spans="1:7">
      <c r="A374" s="3483" t="s">
        <v>3174</v>
      </c>
      <c r="B374" s="3472" t="s">
        <v>1114</v>
      </c>
      <c r="C374" s="3473">
        <v>0.15</v>
      </c>
      <c r="D374" s="3473">
        <v>0.15</v>
      </c>
      <c r="E374" s="3473">
        <v>0.15</v>
      </c>
      <c r="F374" s="3473">
        <v>0.14399999999999999</v>
      </c>
      <c r="G374" s="3474">
        <v>0.15</v>
      </c>
    </row>
    <row r="375" spans="1:7">
      <c r="A375" s="3483" t="s">
        <v>3174</v>
      </c>
      <c r="B375" s="3472" t="s">
        <v>3183</v>
      </c>
      <c r="C375" s="3473">
        <v>0.15</v>
      </c>
      <c r="D375" s="3473">
        <v>0.15</v>
      </c>
      <c r="E375" s="3473">
        <v>0.15</v>
      </c>
      <c r="F375" s="3473">
        <v>0.13</v>
      </c>
      <c r="G375" s="3474">
        <v>0.15</v>
      </c>
    </row>
    <row r="376" spans="1:7">
      <c r="A376" s="3483" t="s">
        <v>3174</v>
      </c>
      <c r="B376" s="3472" t="s">
        <v>1126</v>
      </c>
      <c r="C376" s="3473">
        <v>0.15</v>
      </c>
      <c r="D376" s="3473">
        <v>0.15</v>
      </c>
      <c r="E376" s="3473">
        <v>0.15</v>
      </c>
      <c r="F376" s="3473">
        <v>0.14199999999999999</v>
      </c>
      <c r="G376" s="3474">
        <v>0.15</v>
      </c>
    </row>
    <row r="377" spans="1:7" ht="14.25" thickBot="1">
      <c r="A377" s="3486" t="s">
        <v>3174</v>
      </c>
      <c r="B377" s="3476" t="s">
        <v>3025</v>
      </c>
      <c r="C377" s="3477">
        <v>0.15</v>
      </c>
      <c r="D377" s="3477">
        <v>0.15</v>
      </c>
      <c r="E377" s="3477">
        <v>0.15</v>
      </c>
      <c r="F377" s="3477">
        <v>0.14000000000000001</v>
      </c>
      <c r="G377" s="3479">
        <v>0.15</v>
      </c>
    </row>
    <row r="378" spans="1:7">
      <c r="A378" s="3482" t="s">
        <v>3184</v>
      </c>
      <c r="B378" s="3468" t="s">
        <v>3185</v>
      </c>
      <c r="C378" s="3469">
        <v>0.15</v>
      </c>
      <c r="D378" s="3469">
        <v>0.15</v>
      </c>
      <c r="E378" s="3469">
        <v>0.15</v>
      </c>
      <c r="F378" s="3469">
        <v>0.107</v>
      </c>
      <c r="G378" s="3470">
        <v>0.15</v>
      </c>
    </row>
    <row r="379" spans="1:7">
      <c r="A379" s="3483" t="s">
        <v>3184</v>
      </c>
      <c r="B379" s="3472" t="s">
        <v>3186</v>
      </c>
      <c r="C379" s="3473">
        <v>0.15</v>
      </c>
      <c r="D379" s="3473">
        <v>0.15</v>
      </c>
      <c r="E379" s="3473">
        <v>0.15</v>
      </c>
      <c r="F379" s="3473">
        <v>0.115</v>
      </c>
      <c r="G379" s="3474">
        <v>0.14899999999999999</v>
      </c>
    </row>
    <row r="380" spans="1:7">
      <c r="A380" s="3483" t="s">
        <v>3187</v>
      </c>
      <c r="B380" s="3472" t="s">
        <v>3188</v>
      </c>
      <c r="C380" s="3473">
        <v>0.15</v>
      </c>
      <c r="D380" s="3473">
        <v>0.15</v>
      </c>
      <c r="E380" s="3473">
        <v>0.15</v>
      </c>
      <c r="F380" s="3473">
        <v>0.1</v>
      </c>
      <c r="G380" s="3474">
        <v>0.14799999999999999</v>
      </c>
    </row>
    <row r="381" spans="1:7">
      <c r="A381" s="3483" t="s">
        <v>3187</v>
      </c>
      <c r="B381" s="3472" t="s">
        <v>3189</v>
      </c>
      <c r="C381" s="3473">
        <v>0.15</v>
      </c>
      <c r="D381" s="3473">
        <v>0.15</v>
      </c>
      <c r="E381" s="3473">
        <v>0.15</v>
      </c>
      <c r="F381" s="3473">
        <v>0.126</v>
      </c>
      <c r="G381" s="3474">
        <v>0.15</v>
      </c>
    </row>
    <row r="382" spans="1:7">
      <c r="A382" s="3483" t="s">
        <v>3187</v>
      </c>
      <c r="B382" s="3472" t="s">
        <v>3190</v>
      </c>
      <c r="C382" s="3473">
        <v>0.15</v>
      </c>
      <c r="D382" s="3473">
        <v>0.15</v>
      </c>
      <c r="E382" s="3473">
        <v>0.15</v>
      </c>
      <c r="F382" s="3473">
        <v>0.15</v>
      </c>
      <c r="G382" s="3474">
        <v>0.15</v>
      </c>
    </row>
    <row r="383" spans="1:7">
      <c r="A383" s="3483" t="s">
        <v>3187</v>
      </c>
      <c r="B383" s="3472" t="s">
        <v>3191</v>
      </c>
      <c r="C383" s="3473">
        <v>0.15</v>
      </c>
      <c r="D383" s="3473">
        <v>0.15</v>
      </c>
      <c r="E383" s="3473">
        <v>0.15</v>
      </c>
      <c r="F383" s="3473">
        <v>0.14699999999999999</v>
      </c>
      <c r="G383" s="3474">
        <v>0.15</v>
      </c>
    </row>
    <row r="384" spans="1:7" ht="14.25" thickBot="1">
      <c r="A384" s="3493" t="s">
        <v>3187</v>
      </c>
      <c r="B384" s="3494" t="s">
        <v>3192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18.75">
      <c r="A21" s="1578" t="s">
        <v>1592</v>
      </c>
    </row>
    <row r="22" spans="1:1" ht="11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10月31日地下车库2072年10月31日、地下仓储2072年10月31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55" t="s">
        <v>1858</v>
      </c>
      <c r="C1" s="3955"/>
      <c r="D1" s="3955"/>
      <c r="E1" s="3955"/>
      <c r="F1" s="3955"/>
      <c r="G1" s="3954" t="s">
        <v>1859</v>
      </c>
      <c r="H1" s="3954"/>
      <c r="I1" s="3954"/>
      <c r="J1" s="3954"/>
      <c r="K1" s="3954"/>
      <c r="L1" s="3954"/>
      <c r="N1" s="3954" t="s">
        <v>1860</v>
      </c>
      <c r="O1" s="3954"/>
      <c r="P1" s="3954"/>
      <c r="Q1" s="3954"/>
      <c r="S1" s="3954" t="s">
        <v>1861</v>
      </c>
      <c r="T1" s="3954"/>
      <c r="U1" s="3954"/>
      <c r="V1" s="3954"/>
      <c r="X1" s="3953" t="s">
        <v>1921</v>
      </c>
      <c r="Y1" s="3954"/>
      <c r="Z1" s="3954"/>
      <c r="AA1" s="3954"/>
      <c r="AB1" s="3954"/>
      <c r="AD1" s="3953" t="s">
        <v>1925</v>
      </c>
      <c r="AE1" s="3954"/>
      <c r="AF1" s="3954"/>
      <c r="AG1" s="3954"/>
      <c r="AH1" s="3954"/>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3957">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3957"/>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3957"/>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3963"/>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3962">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57"/>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57"/>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63"/>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62">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57"/>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57"/>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58"/>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56">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57"/>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57"/>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58"/>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56">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57"/>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57"/>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58"/>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59">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60"/>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60"/>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61"/>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56">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57"/>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57"/>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58"/>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56">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57">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57">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58">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56">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57">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57">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58">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56">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57">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57">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58">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56">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57">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57">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58">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56">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57">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57">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58">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56">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57">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57">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58">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56">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57">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57">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58">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56">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57">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57">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58">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56">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57">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57">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58">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56">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57">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57">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58">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8">
        <f>基准地价!G23</f>
        <v>44929</v>
      </c>
      <c r="B1" s="3346" t="s">
        <v>2796</v>
      </c>
      <c r="C1" s="3347"/>
      <c r="D1" s="3347"/>
      <c r="E1" s="3347"/>
      <c r="F1" s="3347"/>
      <c r="G1" s="3347"/>
      <c r="H1" s="3347"/>
      <c r="I1" s="3347"/>
      <c r="J1" s="3348"/>
      <c r="K1" s="3347" t="s">
        <v>2797</v>
      </c>
      <c r="L1" s="3347"/>
      <c r="M1" s="3347"/>
      <c r="N1" s="3347"/>
      <c r="O1" s="3347"/>
      <c r="P1" s="3347"/>
      <c r="Q1" s="3348"/>
      <c r="R1" s="3964" t="s">
        <v>2806</v>
      </c>
      <c r="S1" s="3965"/>
      <c r="T1" s="3965"/>
      <c r="U1" s="3965"/>
      <c r="V1" s="3965"/>
      <c r="W1" s="3965"/>
      <c r="X1" s="3348"/>
      <c r="Y1" s="3964" t="s">
        <v>2817</v>
      </c>
      <c r="Z1" s="3965"/>
      <c r="AA1" s="3965"/>
      <c r="AB1" s="3965"/>
      <c r="AC1" s="3965"/>
      <c r="AD1" s="3965"/>
    </row>
    <row r="2" spans="1:30" ht="14.25" thickBot="1">
      <c r="A2" s="3339"/>
      <c r="B2" s="3349"/>
      <c r="C2" s="3350"/>
      <c r="D2" s="3351" t="s">
        <v>2799</v>
      </c>
      <c r="E2" s="3352" t="s">
        <v>2800</v>
      </c>
      <c r="F2" s="3352" t="s">
        <v>2801</v>
      </c>
      <c r="G2" s="3352" t="s">
        <v>2802</v>
      </c>
      <c r="H2" s="3352" t="s">
        <v>2803</v>
      </c>
      <c r="I2" s="3352" t="s">
        <v>2740</v>
      </c>
      <c r="J2" s="3353"/>
      <c r="K2" s="3351" t="s">
        <v>2799</v>
      </c>
      <c r="L2" s="3352" t="s">
        <v>2800</v>
      </c>
      <c r="M2" s="3352" t="s">
        <v>2801</v>
      </c>
      <c r="N2" s="3352" t="s">
        <v>2802</v>
      </c>
      <c r="O2" s="3352" t="s">
        <v>2803</v>
      </c>
      <c r="P2" s="3352" t="s">
        <v>2740</v>
      </c>
      <c r="Q2" s="3353"/>
      <c r="R2" s="3351" t="s">
        <v>2807</v>
      </c>
      <c r="S2" s="3352" t="s">
        <v>2808</v>
      </c>
      <c r="T2" s="3352" t="s">
        <v>2809</v>
      </c>
      <c r="U2" s="3352" t="s">
        <v>2810</v>
      </c>
      <c r="V2" s="3352" t="s">
        <v>2811</v>
      </c>
      <c r="W2" s="3352" t="s">
        <v>2812</v>
      </c>
      <c r="X2" s="3353"/>
      <c r="Y2" s="3351" t="s">
        <v>2799</v>
      </c>
      <c r="Z2" s="3352" t="s">
        <v>1470</v>
      </c>
      <c r="AA2" s="3352" t="s">
        <v>2818</v>
      </c>
      <c r="AB2" s="3352" t="s">
        <v>1469</v>
      </c>
      <c r="AC2" s="3352" t="s">
        <v>2803</v>
      </c>
      <c r="AD2" s="3352" t="s">
        <v>2457</v>
      </c>
    </row>
    <row r="3" spans="1:30">
      <c r="A3" s="3340" t="s">
        <v>2783</v>
      </c>
      <c r="B3" s="3354"/>
      <c r="C3" s="3355"/>
      <c r="D3" s="3355">
        <f>ROUND(AVERAGEIF(D4:D13,"&lt;&gt;0"),2)</f>
        <v>0.84</v>
      </c>
      <c r="E3" s="3355">
        <f>ROUND(AVERAGEIF(E4:E13,"&lt;&gt;0"),2)</f>
        <v>0.35</v>
      </c>
      <c r="F3" s="3355">
        <f>ROUND(AVERAGEIF(F4:F13,"&lt;&gt;0"),2)</f>
        <v>0.15</v>
      </c>
      <c r="G3" s="3355">
        <f>ROUND(AVERAGEIF(G4:G13,"&lt;&gt;0"),2)</f>
        <v>0.92</v>
      </c>
      <c r="H3" s="3355">
        <f>ROUND(AVERAGEIF(H4:H13,"&lt;&gt;0"),2)</f>
        <v>0.68</v>
      </c>
      <c r="I3" s="3355">
        <f>F3</f>
        <v>0.15</v>
      </c>
      <c r="J3" s="3356"/>
      <c r="K3" s="3357">
        <f>ROUND(AVERAGEIF(K4:K13,"&lt;&gt;0"),4)</f>
        <v>8.3999999999999995E-3</v>
      </c>
      <c r="L3" s="3358">
        <f>ROUND(AVERAGEIF(L4:L13,"&lt;&gt;0"),4)</f>
        <v>3.5000000000000001E-3</v>
      </c>
      <c r="M3" s="3358">
        <f>ROUND(AVERAGEIF(M4:M13,"&lt;&gt;0"),4)</f>
        <v>1.5E-3</v>
      </c>
      <c r="N3" s="3358">
        <f>ROUND(AVERAGEIF(N4:N13,"&lt;&gt;0"),4)</f>
        <v>9.1999999999999998E-3</v>
      </c>
      <c r="O3" s="3358">
        <f>ROUND(AVERAGEIF(O4:O13,"&lt;&gt;0"),4)</f>
        <v>6.7999999999999996E-3</v>
      </c>
      <c r="P3" s="3358">
        <f>M3</f>
        <v>1.5E-3</v>
      </c>
      <c r="Q3" s="3356"/>
      <c r="R3" s="3373">
        <f>ROUND(SUMPRODUCT(PRODUCT(1+K4:K13)),4)</f>
        <v>1.0602</v>
      </c>
      <c r="S3" s="3374">
        <f>ROUND(SUMPRODUCT(PRODUCT(1+L4:L13)),4)</f>
        <v>1.0246</v>
      </c>
      <c r="T3" s="3374">
        <f>ROUND(SUMPRODUCT(PRODUCT(1+M4:M13)),4)</f>
        <v>1.0107999999999999</v>
      </c>
      <c r="U3" s="3374">
        <f>ROUND(SUMPRODUCT(PRODUCT(1+N4:N13)),4)</f>
        <v>1.0662</v>
      </c>
      <c r="V3" s="3374">
        <f>ROUND(SUMPRODUCT(PRODUCT(1+O4:O13)),4)</f>
        <v>1.0485</v>
      </c>
      <c r="W3" s="3373">
        <f>T3</f>
        <v>1.0107999999999999</v>
      </c>
      <c r="X3" s="3356"/>
      <c r="Y3" s="3381">
        <f>ROUND(AVERAGEIF(Y5:Y13,"&lt;&gt;0"),4)</f>
        <v>8.8000000000000005E-3</v>
      </c>
      <c r="Z3" s="3382">
        <f>ROUND(AVERAGEIF(Z5:Z13,"&lt;&gt;0"),4)</f>
        <v>3.5999999999999999E-3</v>
      </c>
      <c r="AA3" s="3383">
        <f>ROUND(AVERAGEIF(AA5:AA13,"&lt;&gt;0"),4)</f>
        <v>8.0000000000000004E-4</v>
      </c>
      <c r="AB3" s="3381">
        <f>ROUND(AVERAGEIF(AB5:AB13,"&lt;&gt;0"),4)</f>
        <v>9.5999999999999992E-3</v>
      </c>
      <c r="AC3" s="3384">
        <f>ROUND(AVERAGEIF(AC5:AC13,"&lt;&gt;0"),4)</f>
        <v>6.1000000000000004E-3</v>
      </c>
      <c r="AD3" s="3381">
        <f>AA3</f>
        <v>8.0000000000000004E-4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2784</v>
      </c>
      <c r="B5" s="3401">
        <v>2023</v>
      </c>
      <c r="C5" s="3402">
        <v>1</v>
      </c>
      <c r="D5" s="3402">
        <v>0</v>
      </c>
      <c r="E5" s="3402">
        <v>0</v>
      </c>
      <c r="F5" s="3402">
        <v>0</v>
      </c>
      <c r="G5" s="3402">
        <v>0</v>
      </c>
      <c r="H5" s="3402">
        <v>0</v>
      </c>
      <c r="I5" s="3403">
        <f t="shared" ref="I5:I13" si="0">F5</f>
        <v>0</v>
      </c>
      <c r="J5" s="3363"/>
      <c r="K5" s="3364">
        <f t="shared" ref="K5:O13" si="1">D5/100</f>
        <v>0</v>
      </c>
      <c r="L5" s="3365">
        <f t="shared" si="1"/>
        <v>0</v>
      </c>
      <c r="M5" s="3365">
        <f t="shared" si="1"/>
        <v>0</v>
      </c>
      <c r="N5" s="3365">
        <f t="shared" si="1"/>
        <v>0</v>
      </c>
      <c r="O5" s="3365">
        <f t="shared" si="1"/>
        <v>0</v>
      </c>
      <c r="P5" s="3365">
        <f>M5</f>
        <v>0</v>
      </c>
      <c r="Q5" s="3363"/>
      <c r="R5" s="3379">
        <f>ROUND(IF(项目基本情况!B8="出让",SUMPRODUCT(PRODUCT(1+K5:K13)),SUMPRODUCT(PRODUCT(1+K5:K12))),4)</f>
        <v>1.05</v>
      </c>
      <c r="S5" s="3379">
        <f>ROUND(IF(项目基本情况!B8="出让",SUMPRODUCT(PRODUCT(1+L5:L13)),SUMPRODUCT(PRODUCT(1+L5:L12))),4)</f>
        <v>1.0229999999999999</v>
      </c>
      <c r="T5" s="3379">
        <f>ROUND(IF(项目基本情况!B8="出让",SUMPRODUCT(PRODUCT(1+M5:M13)),SUMPRODUCT(PRODUCT(1+M5:M12))),4)</f>
        <v>1.0134000000000001</v>
      </c>
      <c r="U5" s="3379">
        <f>ROUND(IF(项目基本情况!B8="出让",SUMPRODUCT(PRODUCT(1+N5:N13)),SUMPRODUCT(PRODUCT(1+N5:N12))),4)</f>
        <v>1.0545</v>
      </c>
      <c r="V5" s="3379">
        <f>ROUND(IF(项目基本情况!B8="出让",SUMPRODUCT(PRODUCT(1+O5:O13)),SUMPRODUCT(PRODUCT(1+O5:O12))),4)</f>
        <v>1.0447</v>
      </c>
      <c r="W5" s="3379">
        <f>T5</f>
        <v>1.0134000000000001</v>
      </c>
      <c r="X5" s="3363"/>
      <c r="Y5" s="3388">
        <f>IF(D5=0,0,ROUND(AVERAGE(D5:D13)/100,4))</f>
        <v>0</v>
      </c>
      <c r="Z5" s="3388">
        <f>IF(E5=0,0,ROUND(AVERAGE(E5:E13)/100,4))</f>
        <v>0</v>
      </c>
      <c r="AA5" s="3388">
        <f>IF(F5=0,0,ROUND(AVERAGE(F5:F13)/100,4))</f>
        <v>0</v>
      </c>
      <c r="AB5" s="3388">
        <f>IF(G5=0,0,ROUND(AVERAGE(G5:G13)/100,4))</f>
        <v>0</v>
      </c>
      <c r="AC5" s="3388">
        <f>IF(H5=0,0,ROUND(AVERAGE(H5:H13)/100,4))</f>
        <v>0</v>
      </c>
      <c r="AD5" s="3388">
        <f t="shared" ref="AD5:AD12" si="2">AA5</f>
        <v>0</v>
      </c>
    </row>
    <row r="6" spans="1:30">
      <c r="A6" s="3342" t="s">
        <v>2785</v>
      </c>
      <c r="B6" s="3401">
        <v>2022</v>
      </c>
      <c r="C6" s="3402">
        <v>4</v>
      </c>
      <c r="D6" s="3402">
        <v>0</v>
      </c>
      <c r="E6" s="3402">
        <v>0</v>
      </c>
      <c r="F6" s="3402">
        <v>0</v>
      </c>
      <c r="G6" s="3402">
        <v>0</v>
      </c>
      <c r="H6" s="3402">
        <v>0</v>
      </c>
      <c r="I6" s="3403">
        <f t="shared" si="0"/>
        <v>0</v>
      </c>
      <c r="J6" s="3363"/>
      <c r="K6" s="3364">
        <f t="shared" si="1"/>
        <v>0</v>
      </c>
      <c r="L6" s="3365">
        <f t="shared" si="1"/>
        <v>0</v>
      </c>
      <c r="M6" s="3365">
        <f t="shared" si="1"/>
        <v>0</v>
      </c>
      <c r="N6" s="3365">
        <f t="shared" si="1"/>
        <v>0</v>
      </c>
      <c r="O6" s="3365">
        <f t="shared" si="1"/>
        <v>0</v>
      </c>
      <c r="P6" s="3365">
        <f t="shared" ref="P6:P13" si="3">M6</f>
        <v>0</v>
      </c>
      <c r="Q6" s="3363"/>
      <c r="R6" s="3379">
        <f>ROUND(IF(项目基本情况!B8="出让",SUMPRODUCT(PRODUCT(1+K6:K13)),SUMPRODUCT(PRODUCT(1+K6:K12))),4)</f>
        <v>1.05</v>
      </c>
      <c r="S6" s="3379">
        <f>ROUND(IF(项目基本情况!B8="出让",SUMPRODUCT(PRODUCT(1+L6:L13)),SUMPRODUCT(PRODUCT(1+L6:L12))),4)</f>
        <v>1.0229999999999999</v>
      </c>
      <c r="T6" s="3379">
        <f>ROUND(IF(项目基本情况!B8="出让",SUMPRODUCT(PRODUCT(1+M6:M13)),SUMPRODUCT(PRODUCT(1+M6:M12))),4)</f>
        <v>1.0134000000000001</v>
      </c>
      <c r="U6" s="3379">
        <f>ROUND(IF(项目基本情况!B8="出让",SUMPRODUCT(PRODUCT(1+N6:N13)),SUMPRODUCT(PRODUCT(1+N6:N12))),4)</f>
        <v>1.0545</v>
      </c>
      <c r="V6" s="3379">
        <f>ROUND(IF(项目基本情况!B8="出让",SUMPRODUCT(PRODUCT(1+O6:O13)),SUMPRODUCT(PRODUCT(1+O6:O12))),4)</f>
        <v>1.0447</v>
      </c>
      <c r="W6" s="3379">
        <f t="shared" ref="W6:W13" si="4">T6</f>
        <v>1.0134000000000001</v>
      </c>
      <c r="X6" s="3363"/>
      <c r="Y6" s="3388">
        <f>IF(D6=0,0,ROUND(AVERAGE(D6:D14)/100,4))</f>
        <v>0</v>
      </c>
      <c r="Z6" s="3388">
        <f>IF(E6=0,0,ROUND(AVERAGE(E6:E13)/100,4))</f>
        <v>0</v>
      </c>
      <c r="AA6" s="3388">
        <f>IF(F6=0,0,ROUND(AVERAGE(F6:F13)/100,4))</f>
        <v>0</v>
      </c>
      <c r="AB6" s="3388">
        <f>IF(G6=0,0,ROUND(AVERAGE(G6:G13)/100,4))</f>
        <v>0</v>
      </c>
      <c r="AC6" s="3388">
        <f>IF(H6=0,0,ROUND(AVERAGE(H6:H13)/100,4))</f>
        <v>0</v>
      </c>
      <c r="AD6" s="3388">
        <f t="shared" si="2"/>
        <v>0</v>
      </c>
    </row>
    <row r="7" spans="1:30">
      <c r="A7" s="3343" t="s">
        <v>3254</v>
      </c>
      <c r="B7" s="3404">
        <v>2022</v>
      </c>
      <c r="C7" s="3405">
        <v>3</v>
      </c>
      <c r="D7" s="3405">
        <v>0.66</v>
      </c>
      <c r="E7" s="3405">
        <v>0.32</v>
      </c>
      <c r="F7" s="3405">
        <v>0.23</v>
      </c>
      <c r="G7" s="3405">
        <v>0.72</v>
      </c>
      <c r="H7" s="3406">
        <v>0.63</v>
      </c>
      <c r="I7" s="3407">
        <f t="shared" si="0"/>
        <v>0.23</v>
      </c>
      <c r="J7" s="3366"/>
      <c r="K7" s="3367">
        <f t="shared" si="1"/>
        <v>6.6E-3</v>
      </c>
      <c r="L7" s="3368">
        <f t="shared" si="1"/>
        <v>3.2000000000000002E-3</v>
      </c>
      <c r="M7" s="3368">
        <f t="shared" si="1"/>
        <v>2.3E-3</v>
      </c>
      <c r="N7" s="3368">
        <f t="shared" si="1"/>
        <v>7.1999999999999998E-3</v>
      </c>
      <c r="O7" s="3368">
        <f t="shared" si="1"/>
        <v>6.3E-3</v>
      </c>
      <c r="P7" s="3368">
        <f t="shared" si="3"/>
        <v>2.3E-3</v>
      </c>
      <c r="Q7" s="3366"/>
      <c r="R7" s="3366">
        <f>ROUND(IF(项目基本情况!B8="出让",SUMPRODUCT(PRODUCT(1+K7:K13)),SUMPRODUCT(PRODUCT(1+K7:K12))),4)</f>
        <v>1.05</v>
      </c>
      <c r="S7" s="3366">
        <f>ROUND(IF(项目基本情况!B8="出让",SUMPRODUCT(PRODUCT(1+L7:L13)),SUMPRODUCT(PRODUCT(1+L7:L12))),4)</f>
        <v>1.0229999999999999</v>
      </c>
      <c r="T7" s="3366">
        <f>ROUND(IF(项目基本情况!B8="出让",SUMPRODUCT(PRODUCT(1+M7:M13)),SUMPRODUCT(PRODUCT(1+M7:M12))),4)</f>
        <v>1.0134000000000001</v>
      </c>
      <c r="U7" s="3366">
        <f>ROUND(IF(项目基本情况!B8="出让",SUMPRODUCT(PRODUCT(1+N7:N13)),SUMPRODUCT(PRODUCT(1+N7:N12))),4)</f>
        <v>1.0545</v>
      </c>
      <c r="V7" s="3366">
        <f>ROUND(IF(项目基本情况!B8="出让",SUMPRODUCT(PRODUCT(1+O7:O13)),SUMPRODUCT(PRODUCT(1+O7:O12))),4)</f>
        <v>1.0447</v>
      </c>
      <c r="W7" s="3366">
        <f t="shared" si="4"/>
        <v>1.0134000000000001</v>
      </c>
      <c r="X7" s="3366"/>
      <c r="Y7" s="3368">
        <f>IF(D7=0,0,ROUND(AVERAGE(D7:D13)/100,4))</f>
        <v>8.3999999999999995E-3</v>
      </c>
      <c r="Z7" s="3368">
        <f>IF(E7=0,0,ROUND(AVERAGE(E7:E13)/100,4))</f>
        <v>3.5000000000000001E-3</v>
      </c>
      <c r="AA7" s="3368">
        <f>IF(F7=0,0,ROUND(AVERAGE(F7:F13)/100,4))</f>
        <v>1.5E-3</v>
      </c>
      <c r="AB7" s="3368">
        <f>IF(G7=0,0,ROUND(AVERAGE(G7:G13)/100,4))</f>
        <v>9.1999999999999998E-3</v>
      </c>
      <c r="AC7" s="3368">
        <f>IF(H7=0,0,ROUND(AVERAGE(H7:H13)/100,4))</f>
        <v>6.7999999999999996E-3</v>
      </c>
      <c r="AD7" s="3368">
        <f t="shared" si="2"/>
        <v>1.5E-3</v>
      </c>
    </row>
    <row r="8" spans="1:30">
      <c r="A8" s="3342" t="s">
        <v>3255</v>
      </c>
      <c r="B8" s="3401">
        <v>2022</v>
      </c>
      <c r="C8" s="3402">
        <v>2</v>
      </c>
      <c r="D8" s="3402">
        <v>0.93</v>
      </c>
      <c r="E8" s="3402">
        <v>0.15</v>
      </c>
      <c r="F8" s="3402">
        <v>0.01</v>
      </c>
      <c r="G8" s="3402">
        <v>1.05</v>
      </c>
      <c r="H8" s="3408">
        <v>1.08</v>
      </c>
      <c r="I8" s="3403">
        <f t="shared" si="0"/>
        <v>0.01</v>
      </c>
      <c r="J8" s="3363"/>
      <c r="K8" s="3364">
        <f t="shared" si="1"/>
        <v>9.300000000000001E-3</v>
      </c>
      <c r="L8" s="3365">
        <f t="shared" si="1"/>
        <v>1.5E-3</v>
      </c>
      <c r="M8" s="3365">
        <f t="shared" si="1"/>
        <v>1E-4</v>
      </c>
      <c r="N8" s="3365">
        <f t="shared" si="1"/>
        <v>1.0500000000000001E-2</v>
      </c>
      <c r="O8" s="3365">
        <f t="shared" si="1"/>
        <v>1.0800000000000001E-2</v>
      </c>
      <c r="P8" s="3365">
        <f t="shared" si="3"/>
        <v>1E-4</v>
      </c>
      <c r="Q8" s="3363"/>
      <c r="R8" s="3379">
        <f>ROUND(IF(项目基本情况!B8="出让",SUMPRODUCT(PRODUCT(1+K8:K13)),SUMPRODUCT(PRODUCT(1+K8:K12))),4)</f>
        <v>1.0430999999999999</v>
      </c>
      <c r="S8" s="3379">
        <f>ROUND(IF(项目基本情况!B8="出让",SUMPRODUCT(PRODUCT(1+L8:L13)),SUMPRODUCT(PRODUCT(1+L8:L12))),4)</f>
        <v>1.0197000000000001</v>
      </c>
      <c r="T8" s="3379">
        <f>ROUND(IF(项目基本情况!B8="出让",SUMPRODUCT(PRODUCT(1+M8:M13)),SUMPRODUCT(PRODUCT(1+M8:M12))),4)</f>
        <v>1.0109999999999999</v>
      </c>
      <c r="U8" s="3379">
        <f>ROUND(IF(项目基本情况!B8="出让",SUMPRODUCT(PRODUCT(1+N8:N13)),SUMPRODUCT(PRODUCT(1+N8:N12))),4)</f>
        <v>1.0468999999999999</v>
      </c>
      <c r="V8" s="3379">
        <f>ROUND(IF(项目基本情况!B8="出让",SUMPRODUCT(PRODUCT(1+O8:O13)),SUMPRODUCT(PRODUCT(1+O8:O12))),4)</f>
        <v>1.0382</v>
      </c>
      <c r="W8" s="3379">
        <f t="shared" si="4"/>
        <v>1.0109999999999999</v>
      </c>
      <c r="X8" s="3363"/>
      <c r="Y8" s="3388">
        <f>IF(D8=0,0,ROUND(AVERAGE(D8:D13)/100,4))</f>
        <v>8.6999999999999994E-3</v>
      </c>
      <c r="Z8" s="3388">
        <f>IF(E8=0,0,ROUND(AVERAGE(E8:E13)/100,4))</f>
        <v>3.5000000000000001E-3</v>
      </c>
      <c r="AA8" s="3388">
        <f>IF(F8=0,0,ROUND(AVERAGE(F8:F13)/100,4))</f>
        <v>1.4E-3</v>
      </c>
      <c r="AB8" s="3388">
        <f>IF(G8=0,0,ROUND(AVERAGE(G8:G13)/100,4))</f>
        <v>9.4999999999999998E-3</v>
      </c>
      <c r="AC8" s="3388">
        <f>IF(H8=0,0,ROUND(AVERAGE(H8:H13)/100,4))</f>
        <v>6.8999999999999999E-3</v>
      </c>
      <c r="AD8" s="3388">
        <f t="shared" si="2"/>
        <v>1.4E-3</v>
      </c>
    </row>
    <row r="9" spans="1:30">
      <c r="A9" s="3342" t="s">
        <v>2786</v>
      </c>
      <c r="B9" s="3401">
        <v>2022</v>
      </c>
      <c r="C9" s="3402">
        <v>1</v>
      </c>
      <c r="D9" s="3402">
        <v>0.89</v>
      </c>
      <c r="E9" s="3402">
        <v>0.44</v>
      </c>
      <c r="F9" s="3402">
        <v>0.37</v>
      </c>
      <c r="G9" s="3402">
        <v>0.96</v>
      </c>
      <c r="H9" s="3408">
        <v>0.64</v>
      </c>
      <c r="I9" s="3403">
        <f t="shared" si="0"/>
        <v>0.37</v>
      </c>
      <c r="J9" s="3363"/>
      <c r="K9" s="3364">
        <f t="shared" si="1"/>
        <v>8.8999999999999999E-3</v>
      </c>
      <c r="L9" s="3365">
        <f t="shared" si="1"/>
        <v>4.4000000000000003E-3</v>
      </c>
      <c r="M9" s="3365">
        <f t="shared" si="1"/>
        <v>3.7000000000000002E-3</v>
      </c>
      <c r="N9" s="3365">
        <f t="shared" si="1"/>
        <v>9.5999999999999992E-3</v>
      </c>
      <c r="O9" s="3365">
        <f t="shared" si="1"/>
        <v>6.4000000000000003E-3</v>
      </c>
      <c r="P9" s="3365">
        <f t="shared" si="3"/>
        <v>3.7000000000000002E-3</v>
      </c>
      <c r="Q9" s="3363"/>
      <c r="R9" s="3379">
        <f>ROUND(IF(项目基本情况!B8="出让",SUMPRODUCT(PRODUCT(1+K9:K13)),SUMPRODUCT(PRODUCT(1+K9:K12))),4)</f>
        <v>1.0335000000000001</v>
      </c>
      <c r="S9" s="3379">
        <f>ROUND(IF(项目基本情况!B8="出让",SUMPRODUCT(PRODUCT(1+L9:L13)),SUMPRODUCT(PRODUCT(1+L9:L12))),4)</f>
        <v>1.0182</v>
      </c>
      <c r="T9" s="3379">
        <f>ROUND(IF(项目基本情况!B8="出让",SUMPRODUCT(PRODUCT(1+M9:M13)),SUMPRODUCT(PRODUCT(1+M9:M12))),4)</f>
        <v>1.0108999999999999</v>
      </c>
      <c r="U9" s="3379">
        <f>ROUND(IF(项目基本情况!B8="出让",SUMPRODUCT(PRODUCT(1+N9:N13)),SUMPRODUCT(PRODUCT(1+N9:N12))),4)</f>
        <v>1.0361</v>
      </c>
      <c r="V9" s="3379">
        <f>ROUND(IF(项目基本情况!B8="出让",SUMPRODUCT(PRODUCT(1+O9:O13)),SUMPRODUCT(PRODUCT(1+O9:O12))),4)</f>
        <v>1.0270999999999999</v>
      </c>
      <c r="W9" s="3379">
        <f t="shared" si="4"/>
        <v>1.0108999999999999</v>
      </c>
      <c r="X9" s="3363"/>
      <c r="Y9" s="3388">
        <f>IF(D9=0,0,ROUND(AVERAGE(D9:D13)/100,4))</f>
        <v>8.6E-3</v>
      </c>
      <c r="Z9" s="3388">
        <f>IF(E9=0,0,ROUND(AVERAGE(E9:E13)/100,4))</f>
        <v>3.8999999999999998E-3</v>
      </c>
      <c r="AA9" s="3388">
        <f>IF(F9=0,0,ROUND(AVERAGE(F9:F13)/100,4))</f>
        <v>1.6999999999999999E-3</v>
      </c>
      <c r="AB9" s="3388">
        <f>IF(G9=0,0,ROUND(AVERAGE(G9:G13)/100,4))</f>
        <v>9.2999999999999992E-3</v>
      </c>
      <c r="AC9" s="3388">
        <f>IF(H9=0,0,ROUND(AVERAGE(H9:H13)/100,4))</f>
        <v>6.1000000000000004E-3</v>
      </c>
      <c r="AD9" s="3388">
        <f t="shared" si="2"/>
        <v>1.6999999999999999E-3</v>
      </c>
    </row>
    <row r="10" spans="1:30">
      <c r="A10" s="3342" t="s">
        <v>2787</v>
      </c>
      <c r="B10" s="3401">
        <v>2021</v>
      </c>
      <c r="C10" s="3402">
        <v>4</v>
      </c>
      <c r="D10" s="3402">
        <v>1.03</v>
      </c>
      <c r="E10" s="3402">
        <v>0.24</v>
      </c>
      <c r="F10" s="3402">
        <v>7.0000000000000007E-2</v>
      </c>
      <c r="G10" s="3402">
        <v>1.17</v>
      </c>
      <c r="H10" s="3408">
        <v>0.55000000000000004</v>
      </c>
      <c r="I10" s="3403">
        <f t="shared" si="0"/>
        <v>7.0000000000000007E-2</v>
      </c>
      <c r="J10" s="3363"/>
      <c r="K10" s="3364">
        <f t="shared" si="1"/>
        <v>1.03E-2</v>
      </c>
      <c r="L10" s="3365">
        <f t="shared" si="1"/>
        <v>2.3999999999999998E-3</v>
      </c>
      <c r="M10" s="3365">
        <f t="shared" si="1"/>
        <v>7.000000000000001E-4</v>
      </c>
      <c r="N10" s="3365">
        <f t="shared" si="1"/>
        <v>1.1699999999999999E-2</v>
      </c>
      <c r="O10" s="3365">
        <f t="shared" si="1"/>
        <v>5.5000000000000005E-3</v>
      </c>
      <c r="P10" s="3365">
        <f t="shared" si="3"/>
        <v>7.000000000000001E-4</v>
      </c>
      <c r="Q10" s="3363"/>
      <c r="R10" s="3379">
        <f>ROUND(IF(项目基本情况!B8="出让",SUMPRODUCT(PRODUCT(1+K10:K13)),SUMPRODUCT(PRODUCT(1+K10:K12))),4)</f>
        <v>1.0244</v>
      </c>
      <c r="S10" s="3379">
        <f>ROUND(IF(项目基本情况!B8="出让",SUMPRODUCT(PRODUCT(1+L10:L13)),SUMPRODUCT(PRODUCT(1+L10:L12))),4)</f>
        <v>1.0138</v>
      </c>
      <c r="T10" s="3379">
        <f>ROUND(IF(项目基本情况!B8="出让",SUMPRODUCT(PRODUCT(1+M10:M13)),SUMPRODUCT(PRODUCT(1+M10:M12))),4)</f>
        <v>1.0072000000000001</v>
      </c>
      <c r="U10" s="3379">
        <f>ROUND(IF(项目基本情况!B8="出让",SUMPRODUCT(PRODUCT(1+N10:N13)),SUMPRODUCT(PRODUCT(1+N10:N12))),4)</f>
        <v>1.0262</v>
      </c>
      <c r="V10" s="3379">
        <f>ROUND(IF(项目基本情况!B8="出让",SUMPRODUCT(PRODUCT(1+O10:O13)),SUMPRODUCT(PRODUCT(1+O10:O12))),4)</f>
        <v>1.0205</v>
      </c>
      <c r="W10" s="3379">
        <f t="shared" si="4"/>
        <v>1.0072000000000001</v>
      </c>
      <c r="X10" s="3363"/>
      <c r="Y10" s="3388">
        <f>IF(D10=0,0,ROUND(AVERAGE(D10:D13)/100,4))</f>
        <v>8.5000000000000006E-3</v>
      </c>
      <c r="Z10" s="3388">
        <f>IF(E10=0,0,ROUND(AVERAGE(E10:E13)/100,4))</f>
        <v>3.8E-3</v>
      </c>
      <c r="AA10" s="3388">
        <f>IF(F10=0,0,ROUND(AVERAGE(F10:F13)/100,4))</f>
        <v>1.1999999999999999E-3</v>
      </c>
      <c r="AB10" s="3388">
        <f>IF(G10=0,0,ROUND(AVERAGE(G10:G13)/100,4))</f>
        <v>9.2999999999999992E-3</v>
      </c>
      <c r="AC10" s="3388">
        <f>IF(H10=0,0,ROUND(AVERAGE(H10:H13)/100,4))</f>
        <v>6.0000000000000001E-3</v>
      </c>
      <c r="AD10" s="3388">
        <f t="shared" si="2"/>
        <v>1.1999999999999999E-3</v>
      </c>
    </row>
    <row r="11" spans="1:30">
      <c r="A11" s="3342" t="s">
        <v>2788</v>
      </c>
      <c r="B11" s="3401">
        <v>2021</v>
      </c>
      <c r="C11" s="3402">
        <v>3</v>
      </c>
      <c r="D11" s="3402">
        <v>0.47</v>
      </c>
      <c r="E11" s="3402">
        <v>0.41</v>
      </c>
      <c r="F11" s="3402">
        <v>0.24</v>
      </c>
      <c r="G11" s="3402">
        <v>0.48</v>
      </c>
      <c r="H11" s="3408">
        <v>0.48</v>
      </c>
      <c r="I11" s="3403">
        <f t="shared" si="0"/>
        <v>0.24</v>
      </c>
      <c r="J11" s="3363"/>
      <c r="K11" s="3364">
        <f t="shared" si="1"/>
        <v>4.6999999999999993E-3</v>
      </c>
      <c r="L11" s="3365">
        <f t="shared" si="1"/>
        <v>4.0999999999999995E-3</v>
      </c>
      <c r="M11" s="3365">
        <f t="shared" si="1"/>
        <v>2.3999999999999998E-3</v>
      </c>
      <c r="N11" s="3365">
        <f t="shared" si="1"/>
        <v>4.7999999999999996E-3</v>
      </c>
      <c r="O11" s="3365">
        <f t="shared" si="1"/>
        <v>4.7999999999999996E-3</v>
      </c>
      <c r="P11" s="3365">
        <f t="shared" si="3"/>
        <v>2.3999999999999998E-3</v>
      </c>
      <c r="Q11" s="3363"/>
      <c r="R11" s="3379">
        <f>ROUND(IF(项目基本情况!B8="出让",SUMPRODUCT(PRODUCT(1+K11:K13)),SUMPRODUCT(PRODUCT(1+K11:K12))),4)</f>
        <v>1.0139</v>
      </c>
      <c r="S11" s="3379">
        <f>ROUND(IF(项目基本情况!B8="出让",SUMPRODUCT(PRODUCT(1+L11:L13)),SUMPRODUCT(PRODUCT(1+L11:L12))),4)</f>
        <v>1.0113000000000001</v>
      </c>
      <c r="T11" s="3379">
        <f>ROUND(IF(项目基本情况!B8="出让",SUMPRODUCT(PRODUCT(1+M11:M13)),SUMPRODUCT(PRODUCT(1+M11:M12))),4)</f>
        <v>1.0065</v>
      </c>
      <c r="U11" s="3379">
        <f>ROUND(IF(项目基本情况!B8="出让",SUMPRODUCT(PRODUCT(1+N11:N13)),SUMPRODUCT(PRODUCT(1+N11:N12))),4)</f>
        <v>1.0143</v>
      </c>
      <c r="V11" s="3379">
        <f>ROUND(IF(项目基本情况!B8="出让",SUMPRODUCT(PRODUCT(1+O11:O13)),SUMPRODUCT(PRODUCT(1+O11:O12))),4)</f>
        <v>1.0148999999999999</v>
      </c>
      <c r="W11" s="3379">
        <f t="shared" si="4"/>
        <v>1.0065</v>
      </c>
      <c r="X11" s="3363"/>
      <c r="Y11" s="3388">
        <f>IF(D11=0,0,ROUND(AVERAGE(D11:D13)/100,4))</f>
        <v>7.9000000000000008E-3</v>
      </c>
      <c r="Z11" s="3388">
        <f>IF(E11=0,0,ROUND(AVERAGE(E11:E13)/100,4))</f>
        <v>4.3E-3</v>
      </c>
      <c r="AA11" s="3388">
        <f>IF(F11=0,0,ROUND(AVERAGE(F11:F13)/100,4))</f>
        <v>1.2999999999999999E-3</v>
      </c>
      <c r="AB11" s="3388">
        <f>IF(G11=0,0,ROUND(AVERAGE(G11:G13)/100,4))</f>
        <v>8.5000000000000006E-3</v>
      </c>
      <c r="AC11" s="3388">
        <f>IF(H11=0,0,ROUND(AVERAGE(H11:H13)/100,4))</f>
        <v>6.1999999999999998E-3</v>
      </c>
      <c r="AD11" s="3388">
        <f t="shared" si="2"/>
        <v>1.2999999999999999E-3</v>
      </c>
    </row>
    <row r="12" spans="1:30">
      <c r="A12" s="3342" t="s">
        <v>2789</v>
      </c>
      <c r="B12" s="3401">
        <v>2021</v>
      </c>
      <c r="C12" s="3402">
        <v>2</v>
      </c>
      <c r="D12" s="3402">
        <v>0.92</v>
      </c>
      <c r="E12" s="3402">
        <v>0.72</v>
      </c>
      <c r="F12" s="3402">
        <v>0.41</v>
      </c>
      <c r="G12" s="3402">
        <v>0.95</v>
      </c>
      <c r="H12" s="3408">
        <v>1.01</v>
      </c>
      <c r="I12" s="3403">
        <f t="shared" si="0"/>
        <v>0.41</v>
      </c>
      <c r="J12" s="3363"/>
      <c r="K12" s="3364">
        <f t="shared" si="1"/>
        <v>9.1999999999999998E-3</v>
      </c>
      <c r="L12" s="3365">
        <f t="shared" si="1"/>
        <v>7.1999999999999998E-3</v>
      </c>
      <c r="M12" s="3365">
        <f t="shared" si="1"/>
        <v>4.0999999999999995E-3</v>
      </c>
      <c r="N12" s="3365">
        <f t="shared" si="1"/>
        <v>9.4999999999999998E-3</v>
      </c>
      <c r="O12" s="3365">
        <f t="shared" si="1"/>
        <v>1.01E-2</v>
      </c>
      <c r="P12" s="3365">
        <f t="shared" si="3"/>
        <v>4.0999999999999995E-3</v>
      </c>
      <c r="Q12" s="3363"/>
      <c r="R12" s="3379">
        <f>ROUND(IF(项目基本情况!B8="出让",SUMPRODUCT(PRODUCT(1+K12:K13)),SUMPRODUCT(PRODUCT(1+K12:K12))),4)</f>
        <v>1.0092000000000001</v>
      </c>
      <c r="S12" s="3379">
        <f>ROUND(IF(项目基本情况!B8="出让",SUMPRODUCT(PRODUCT(1+L12:L13)),SUMPRODUCT(PRODUCT(1+L12:L12))),4)</f>
        <v>1.0072000000000001</v>
      </c>
      <c r="T12" s="3379">
        <f>ROUND(IF(项目基本情况!B8="出让",SUMPRODUCT(PRODUCT(1+M12:M13)),SUMPRODUCT(PRODUCT(1+M12:M12))),4)</f>
        <v>1.0041</v>
      </c>
      <c r="U12" s="3379">
        <f>ROUND(IF(项目基本情况!B8="出让",SUMPRODUCT(PRODUCT(1+N12:N13)),SUMPRODUCT(PRODUCT(1+N12:N12))),4)</f>
        <v>1.0095000000000001</v>
      </c>
      <c r="V12" s="3379">
        <f>ROUND(IF(项目基本情况!B8="出让",SUMPRODUCT(PRODUCT(1+O12:O13)),SUMPRODUCT(PRODUCT(1+O12:O12))),4)</f>
        <v>1.0101</v>
      </c>
      <c r="W12" s="3379">
        <f t="shared" si="4"/>
        <v>1.0041</v>
      </c>
      <c r="X12" s="3363"/>
      <c r="Y12" s="3388">
        <f>IF(D12=0,0,ROUND(AVERAGE(D12:D13)/100,4))</f>
        <v>9.4999999999999998E-3</v>
      </c>
      <c r="Z12" s="3388">
        <f>IF(E12=0,0,ROUND(AVERAGE(E12:E13)/100,4))</f>
        <v>4.4000000000000003E-3</v>
      </c>
      <c r="AA12" s="3388">
        <f>IF(F12=0,0,ROUND(AVERAGE(F12:F13)/100,4))</f>
        <v>8.0000000000000004E-4</v>
      </c>
      <c r="AB12" s="3388">
        <f>IF(G12=0,0,ROUND(AVERAGE(G12:G13)/100,4))</f>
        <v>1.03E-2</v>
      </c>
      <c r="AC12" s="3388">
        <f>IF(H12=0,0,ROUND(AVERAGE(H12:H13)/100,4))</f>
        <v>6.8999999999999999E-3</v>
      </c>
      <c r="AD12" s="3388">
        <f t="shared" si="2"/>
        <v>8.0000000000000004E-4</v>
      </c>
    </row>
    <row r="13" spans="1:30" ht="14.25" thickBot="1">
      <c r="A13" s="3344" t="s">
        <v>2790</v>
      </c>
      <c r="B13" s="3409">
        <v>2021</v>
      </c>
      <c r="C13" s="3410">
        <v>1</v>
      </c>
      <c r="D13" s="3410">
        <v>0.97</v>
      </c>
      <c r="E13" s="3410">
        <v>0.16</v>
      </c>
      <c r="F13" s="3410">
        <v>-0.25</v>
      </c>
      <c r="G13" s="3410">
        <v>1.1100000000000001</v>
      </c>
      <c r="H13" s="3411">
        <v>0.36</v>
      </c>
      <c r="I13" s="3412">
        <f t="shared" si="0"/>
        <v>-0.25</v>
      </c>
      <c r="J13" s="3369"/>
      <c r="K13" s="3370">
        <f t="shared" si="1"/>
        <v>9.7000000000000003E-3</v>
      </c>
      <c r="L13" s="3371">
        <f t="shared" si="1"/>
        <v>1.6000000000000001E-3</v>
      </c>
      <c r="M13" s="3371">
        <f>F13/100</f>
        <v>-2.5000000000000001E-3</v>
      </c>
      <c r="N13" s="3371">
        <f t="shared" si="1"/>
        <v>1.11E-2</v>
      </c>
      <c r="O13" s="3371">
        <f t="shared" si="1"/>
        <v>3.5999999999999999E-3</v>
      </c>
      <c r="P13" s="3371">
        <f t="shared" si="3"/>
        <v>-2.5000000000000001E-3</v>
      </c>
      <c r="Q13" s="3369"/>
      <c r="R13" s="3380">
        <v>1</v>
      </c>
      <c r="S13" s="3380">
        <v>1</v>
      </c>
      <c r="T13" s="3380">
        <v>1</v>
      </c>
      <c r="U13" s="3380">
        <v>1</v>
      </c>
      <c r="V13" s="3380">
        <v>1</v>
      </c>
      <c r="W13" s="3380">
        <f t="shared" si="4"/>
        <v>1</v>
      </c>
      <c r="X13" s="3369"/>
      <c r="Y13" s="3371">
        <f>IF(D13=0,0,ROUND(AVERAGE(D13:D13)/100,4))</f>
        <v>9.7000000000000003E-3</v>
      </c>
      <c r="Z13" s="3371">
        <f>IF(E13=0,0,ROUND(AVERAGE(E13:E13)/100,4))</f>
        <v>1.6000000000000001E-3</v>
      </c>
      <c r="AA13" s="3371">
        <f>IF(F13=0,0,ROUND(AVERAGE(F13:F13)/100,4))</f>
        <v>-2.5000000000000001E-3</v>
      </c>
      <c r="AB13" s="3371">
        <f>IF(G13=0,0,ROUND(AVERAGE(G13:G13)/100,4))</f>
        <v>1.11E-2</v>
      </c>
      <c r="AC13" s="3371">
        <f>IF(H13=0,0,ROUND(AVERAGE(H13:H13)/100,4))</f>
        <v>3.5999999999999999E-3</v>
      </c>
      <c r="AD13" s="3371">
        <f>AA13</f>
        <v>-2.5000000000000001E-3</v>
      </c>
    </row>
    <row r="14" spans="1:30" ht="14.25" thickTop="1">
      <c r="A14" s="3279"/>
      <c r="B14" s="3279"/>
      <c r="C14" s="3279"/>
      <c r="D14" s="3279"/>
      <c r="E14" s="3279"/>
      <c r="F14" s="3279"/>
      <c r="G14" s="3279"/>
      <c r="H14" s="3279"/>
      <c r="I14" s="3279"/>
      <c r="J14" s="3279"/>
      <c r="K14" s="3279"/>
      <c r="L14" s="3279"/>
      <c r="M14" s="3279"/>
      <c r="N14" s="3279"/>
      <c r="O14" s="3279"/>
      <c r="P14" s="3279"/>
      <c r="Q14" s="3279"/>
      <c r="R14" s="3279"/>
      <c r="S14" s="3279"/>
      <c r="T14" s="3279"/>
      <c r="U14" s="3279"/>
      <c r="V14" s="3279"/>
      <c r="W14" s="3279"/>
      <c r="X14" s="3279"/>
      <c r="Y14" s="3279"/>
      <c r="Z14" s="3279"/>
      <c r="AA14" s="3279"/>
      <c r="AB14" s="3279"/>
      <c r="AC14" s="3279"/>
      <c r="AD14" s="3279"/>
    </row>
    <row r="15" spans="1:30">
      <c r="A15" s="3279"/>
      <c r="B15" s="3279"/>
      <c r="C15" s="3279"/>
      <c r="D15" s="3279"/>
      <c r="E15" s="3279"/>
      <c r="F15" s="3279"/>
      <c r="G15" s="3279"/>
      <c r="H15" s="3279"/>
      <c r="I15" s="3279"/>
      <c r="J15" s="3279"/>
      <c r="K15" s="3279"/>
      <c r="L15" s="3279"/>
      <c r="M15" s="3279"/>
      <c r="N15" s="3279"/>
      <c r="O15" s="3279"/>
      <c r="P15" s="3279"/>
      <c r="Q15" s="3279"/>
      <c r="R15" s="3279"/>
      <c r="S15" s="3279"/>
      <c r="T15" s="3279"/>
      <c r="U15" s="3279"/>
      <c r="V15" s="3279"/>
      <c r="W15" s="3279"/>
      <c r="X15" s="3279"/>
      <c r="Y15" s="3279"/>
      <c r="Z15" s="3279"/>
      <c r="AA15" s="3279"/>
      <c r="AB15" s="3279"/>
      <c r="AC15" s="3279"/>
      <c r="AD15" s="3279"/>
    </row>
    <row r="16" spans="1:30">
      <c r="A16" s="3279"/>
      <c r="B16" s="3279"/>
      <c r="C16" s="3279"/>
      <c r="D16" s="3279"/>
      <c r="E16" s="3279"/>
      <c r="F16" s="3279"/>
      <c r="G16" s="3279"/>
      <c r="H16" s="3279"/>
      <c r="I16" s="3372" t="s">
        <v>2804</v>
      </c>
      <c r="J16" s="3279"/>
      <c r="K16" s="3279"/>
      <c r="L16" s="3279"/>
      <c r="M16" s="3279"/>
      <c r="N16" s="3279"/>
      <c r="O16" s="3279"/>
      <c r="P16" s="3279"/>
      <c r="Q16" s="3279"/>
      <c r="R16" s="3279"/>
      <c r="S16" s="3279"/>
      <c r="T16" s="3279"/>
      <c r="U16" s="3279"/>
      <c r="V16" s="3279"/>
      <c r="W16" s="3279"/>
      <c r="X16" s="3279"/>
      <c r="Y16" s="3279"/>
      <c r="Z16" s="3279"/>
      <c r="AA16" s="3279"/>
      <c r="AB16" s="3279"/>
      <c r="AC16" s="3279"/>
      <c r="AD16" s="3279"/>
    </row>
    <row r="17" spans="1:30">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345"/>
      <c r="B18" s="3346" t="s">
        <v>2805</v>
      </c>
      <c r="C18" s="3347"/>
      <c r="D18" s="3347"/>
      <c r="E18" s="3347"/>
      <c r="F18" s="3347"/>
      <c r="G18" s="3347"/>
      <c r="H18" s="3347"/>
      <c r="I18" s="3347"/>
      <c r="J18" s="3348"/>
      <c r="K18" s="3347" t="s">
        <v>2797</v>
      </c>
      <c r="L18" s="3347"/>
      <c r="M18" s="3347"/>
      <c r="N18" s="3347"/>
      <c r="O18" s="3347"/>
      <c r="P18" s="3347"/>
      <c r="Q18" s="3348"/>
      <c r="R18" s="3964" t="s">
        <v>2813</v>
      </c>
      <c r="S18" s="3965"/>
      <c r="T18" s="3965"/>
      <c r="U18" s="3965"/>
      <c r="V18" s="3965"/>
      <c r="W18" s="3965"/>
      <c r="X18" s="3348"/>
      <c r="Y18" s="3964" t="s">
        <v>1925</v>
      </c>
      <c r="Z18" s="3965"/>
      <c r="AA18" s="3965"/>
      <c r="AB18" s="3965"/>
      <c r="AC18" s="3965"/>
      <c r="AD18" s="3965"/>
    </row>
    <row r="19" spans="1:30" ht="14.25" thickBot="1">
      <c r="A19" s="3339"/>
      <c r="B19" s="3349"/>
      <c r="C19" s="3350"/>
      <c r="D19" s="3351" t="s">
        <v>2799</v>
      </c>
      <c r="E19" s="3352" t="s">
        <v>2800</v>
      </c>
      <c r="F19" s="3352" t="s">
        <v>2801</v>
      </c>
      <c r="G19" s="3352" t="s">
        <v>1469</v>
      </c>
      <c r="H19" s="3352"/>
      <c r="I19" s="3352" t="s">
        <v>2740</v>
      </c>
      <c r="J19" s="3353"/>
      <c r="K19" s="3351" t="s">
        <v>2799</v>
      </c>
      <c r="L19" s="3352" t="s">
        <v>2800</v>
      </c>
      <c r="M19" s="3352" t="s">
        <v>2801</v>
      </c>
      <c r="N19" s="3352" t="s">
        <v>2802</v>
      </c>
      <c r="O19" s="3352"/>
      <c r="P19" s="3352" t="s">
        <v>2740</v>
      </c>
      <c r="Q19" s="3353"/>
      <c r="R19" s="3351" t="s">
        <v>2814</v>
      </c>
      <c r="S19" s="3352" t="s">
        <v>2815</v>
      </c>
      <c r="T19" s="3352" t="s">
        <v>2801</v>
      </c>
      <c r="U19" s="3352" t="s">
        <v>1469</v>
      </c>
      <c r="V19" s="3352"/>
      <c r="W19" s="3352" t="s">
        <v>2816</v>
      </c>
      <c r="X19" s="3353"/>
      <c r="Y19" s="3351" t="s">
        <v>2798</v>
      </c>
      <c r="Z19" s="3352" t="s">
        <v>2800</v>
      </c>
      <c r="AA19" s="3352" t="s">
        <v>2801</v>
      </c>
      <c r="AB19" s="3352" t="s">
        <v>1469</v>
      </c>
      <c r="AC19" s="3352"/>
      <c r="AD19" s="3352" t="s">
        <v>2819</v>
      </c>
    </row>
    <row r="20" spans="1:30">
      <c r="A20" s="3340" t="s">
        <v>2791</v>
      </c>
      <c r="B20" s="3354"/>
      <c r="C20" s="3355"/>
      <c r="D20" s="3355"/>
      <c r="E20" s="3355">
        <f>ROUND(AVERAGEIF(E21:E30,"&lt;&gt;0"),2)</f>
        <v>0.39</v>
      </c>
      <c r="F20" s="3355">
        <f>ROUND(AVERAGEIF(F21:F30,"&lt;&gt;0"),2)</f>
        <v>0.27</v>
      </c>
      <c r="G20" s="3355">
        <f>ROUND(AVERAGEIF(G21:G30,"&lt;&gt;0"),2)</f>
        <v>0.79</v>
      </c>
      <c r="H20" s="3355"/>
      <c r="I20" s="3355">
        <f>F20</f>
        <v>0.27</v>
      </c>
      <c r="J20" s="3356"/>
      <c r="K20" s="3357"/>
      <c r="L20" s="3358">
        <f>ROUND(AVERAGEIF(L21:L30,"&lt;&gt;0"),4)</f>
        <v>3.8999999999999998E-3</v>
      </c>
      <c r="M20" s="3358">
        <f>ROUND(AVERAGEIF(M21:M30,"&lt;&gt;0"),4)</f>
        <v>2.7000000000000001E-3</v>
      </c>
      <c r="N20" s="3358">
        <f>ROUND(AVERAGEIF(N21:N30,"&lt;&gt;0"),4)</f>
        <v>7.9000000000000008E-3</v>
      </c>
      <c r="O20" s="3358"/>
      <c r="P20" s="3358">
        <f>M20</f>
        <v>2.7000000000000001E-3</v>
      </c>
      <c r="Q20" s="3356"/>
      <c r="R20" s="3373"/>
      <c r="S20" s="3374">
        <f>ROUND(SUMPRODUCT(PRODUCT(1+L21:L30)),4)</f>
        <v>1.0277000000000001</v>
      </c>
      <c r="T20" s="3374">
        <f>ROUND(SUMPRODUCT(PRODUCT(1+M21:M30)),4)</f>
        <v>1.0192000000000001</v>
      </c>
      <c r="U20" s="3374">
        <f>ROUND(SUMPRODUCT(PRODUCT(1+N21:N30)),4)</f>
        <v>1.0569</v>
      </c>
      <c r="V20" s="3374"/>
      <c r="W20" s="3373">
        <f>T20</f>
        <v>1.0192000000000001</v>
      </c>
      <c r="X20" s="3356"/>
      <c r="Y20" s="3381"/>
      <c r="Z20" s="3382">
        <f>ROUND(AVERAGEIF(Z21:Z30,"&lt;&gt;0"),4)</f>
        <v>4.4000000000000003E-3</v>
      </c>
      <c r="AA20" s="3383">
        <f>ROUND(AVERAGEIF(AA21:AA30,"&lt;&gt;0"),4)</f>
        <v>3.7000000000000002E-3</v>
      </c>
      <c r="AB20" s="3381">
        <f>ROUND(AVERAGEIF(AB21:AB30,"&lt;&gt;0"),4)</f>
        <v>9.1000000000000004E-3</v>
      </c>
      <c r="AC20" s="3384"/>
      <c r="AD20" s="3381">
        <f>AA20</f>
        <v>3.7000000000000002E-3</v>
      </c>
    </row>
    <row r="21" spans="1:30">
      <c r="A21" s="3341"/>
      <c r="B21" s="3359"/>
      <c r="C21" s="3360"/>
      <c r="D21" s="3360"/>
      <c r="E21" s="3360"/>
      <c r="F21" s="3360"/>
      <c r="G21" s="3360"/>
      <c r="H21" s="3360"/>
      <c r="I21" s="3360"/>
      <c r="J21" s="3348"/>
      <c r="K21" s="3361"/>
      <c r="L21" s="3362"/>
      <c r="M21" s="3362"/>
      <c r="N21" s="3362"/>
      <c r="O21" s="3362"/>
      <c r="P21" s="3362"/>
      <c r="Q21" s="3348"/>
      <c r="R21" s="3375"/>
      <c r="S21" s="3376"/>
      <c r="T21" s="3377"/>
      <c r="U21" s="3375"/>
      <c r="V21" s="3378"/>
      <c r="W21" s="3375"/>
      <c r="X21" s="3348"/>
      <c r="Y21" s="3365"/>
      <c r="Z21" s="3385"/>
      <c r="AA21" s="3386"/>
      <c r="AB21" s="3365"/>
      <c r="AC21" s="3387"/>
      <c r="AD21" s="3365"/>
    </row>
    <row r="22" spans="1:30">
      <c r="A22" s="3342" t="s">
        <v>2792</v>
      </c>
      <c r="B22" s="3401">
        <v>2023</v>
      </c>
      <c r="C22" s="3402">
        <v>1</v>
      </c>
      <c r="D22" s="3402"/>
      <c r="E22" s="3402">
        <v>0</v>
      </c>
      <c r="F22" s="3402">
        <v>0</v>
      </c>
      <c r="G22" s="3402">
        <v>0</v>
      </c>
      <c r="H22" s="3402"/>
      <c r="I22" s="3403">
        <f t="shared" ref="I22:I30" si="5">F22</f>
        <v>0</v>
      </c>
      <c r="J22" s="3363"/>
      <c r="K22" s="3364"/>
      <c r="L22" s="3365">
        <f t="shared" ref="L22:N30" si="6">E22/100</f>
        <v>0</v>
      </c>
      <c r="M22" s="3365">
        <f t="shared" si="6"/>
        <v>0</v>
      </c>
      <c r="N22" s="3365">
        <f t="shared" si="6"/>
        <v>0</v>
      </c>
      <c r="O22" s="3365"/>
      <c r="P22" s="3365">
        <f>M22</f>
        <v>0</v>
      </c>
      <c r="Q22" s="3363"/>
      <c r="R22" s="3379"/>
      <c r="S22" s="3379">
        <f>ROUND(IF(项目基本情况!$B$8="出让",SUMPRODUCT(PRODUCT(1+L22:L$30)),SUMPRODUCT(PRODUCT(1+L22:L$29))),4)</f>
        <v>1.0241</v>
      </c>
      <c r="T22" s="3379">
        <f>ROUND(IF(项目基本情况!$B$8="出让",SUMPRODUCT(PRODUCT(1+M22:M$30)),SUMPRODUCT(PRODUCT(1+M22:M$29))),4)</f>
        <v>1.0144</v>
      </c>
      <c r="U22" s="3379">
        <f>ROUND(IF(项目基本情况!$B$8="出让",SUMPRODUCT(PRODUCT(1+N22:N$30)),SUMPRODUCT(PRODUCT(1+N22:N$29))),4)</f>
        <v>1.0467</v>
      </c>
      <c r="V22" s="3379"/>
      <c r="W22" s="3379">
        <f>T22</f>
        <v>1.0144</v>
      </c>
      <c r="X22" s="3363"/>
      <c r="Y22" s="3388"/>
      <c r="Z22" s="3389">
        <f>IF(E22=0,0,ROUND(AVERAGE(E22:E30)/100,4))</f>
        <v>0</v>
      </c>
      <c r="AA22" s="3389">
        <f>IF(F22=0,0,ROUND(AVERAGE(F22:F30)/100,4))</f>
        <v>0</v>
      </c>
      <c r="AB22" s="3389">
        <f>IF(G22=0,0,ROUND(AVERAGE(G22:G30)/100,4))</f>
        <v>0</v>
      </c>
      <c r="AC22" s="3390"/>
      <c r="AD22" s="3388">
        <f>IF(I22=0,0,ROUND(AVERAGE(I22:I30)/100,4))</f>
        <v>0</v>
      </c>
    </row>
    <row r="23" spans="1:30">
      <c r="A23" s="3342" t="s">
        <v>2793</v>
      </c>
      <c r="B23" s="3401">
        <v>2022</v>
      </c>
      <c r="C23" s="3402">
        <v>4</v>
      </c>
      <c r="D23" s="3402"/>
      <c r="E23" s="3402">
        <v>0</v>
      </c>
      <c r="F23" s="3402">
        <v>0</v>
      </c>
      <c r="G23" s="3402">
        <v>0</v>
      </c>
      <c r="H23" s="3402"/>
      <c r="I23" s="3403">
        <f t="shared" si="5"/>
        <v>0</v>
      </c>
      <c r="J23" s="3363"/>
      <c r="K23" s="3364"/>
      <c r="L23" s="3365">
        <f t="shared" si="6"/>
        <v>0</v>
      </c>
      <c r="M23" s="3365">
        <f t="shared" si="6"/>
        <v>0</v>
      </c>
      <c r="N23" s="3365">
        <f t="shared" si="6"/>
        <v>0</v>
      </c>
      <c r="O23" s="3365"/>
      <c r="P23" s="3365">
        <f t="shared" ref="P23:P30" si="7">M23</f>
        <v>0</v>
      </c>
      <c r="Q23" s="3363"/>
      <c r="R23" s="3379"/>
      <c r="S23" s="3379">
        <f>ROUND(IF(项目基本情况!$B$8="出让",SUMPRODUCT(PRODUCT(1+L23:L$30)),SUMPRODUCT(PRODUCT(1+L23:L$29))),4)</f>
        <v>1.0241</v>
      </c>
      <c r="T23" s="3379">
        <f>ROUND(IF(项目基本情况!$B$8="出让",SUMPRODUCT(PRODUCT(1+M23:M$30)),SUMPRODUCT(PRODUCT(1+M23:M$29))),4)</f>
        <v>1.0144</v>
      </c>
      <c r="U23" s="3379">
        <f>ROUND(IF(项目基本情况!$B$8="出让",SUMPRODUCT(PRODUCT(1+N23:N$30)),SUMPRODUCT(PRODUCT(1+N23:N$29))),4)</f>
        <v>1.0467</v>
      </c>
      <c r="V23" s="3379"/>
      <c r="W23" s="3379">
        <f t="shared" ref="W23:W30" si="8">T23</f>
        <v>1.0144</v>
      </c>
      <c r="X23" s="3363"/>
      <c r="Y23" s="3388"/>
      <c r="Z23" s="3389">
        <f t="shared" ref="Z23:AD30" si="9">IF(E23=0,0,ROUND(AVERAGE(E23:E31)/100,4))</f>
        <v>0</v>
      </c>
      <c r="AA23" s="3391">
        <f t="shared" si="9"/>
        <v>0</v>
      </c>
      <c r="AB23" s="3388">
        <f t="shared" si="9"/>
        <v>0</v>
      </c>
      <c r="AC23" s="3390"/>
      <c r="AD23" s="3388">
        <f t="shared" si="9"/>
        <v>0</v>
      </c>
    </row>
    <row r="24" spans="1:30">
      <c r="A24" s="3343" t="s">
        <v>3256</v>
      </c>
      <c r="B24" s="3404">
        <v>2022</v>
      </c>
      <c r="C24" s="3405">
        <v>3</v>
      </c>
      <c r="D24" s="3405"/>
      <c r="E24" s="3405">
        <v>0.3</v>
      </c>
      <c r="F24" s="3405">
        <v>0.28999999999999998</v>
      </c>
      <c r="G24" s="3405">
        <v>0.83</v>
      </c>
      <c r="H24" s="3406"/>
      <c r="I24" s="3407">
        <f t="shared" si="5"/>
        <v>0.28999999999999998</v>
      </c>
      <c r="J24" s="3366"/>
      <c r="K24" s="3367"/>
      <c r="L24" s="3368">
        <f t="shared" si="6"/>
        <v>3.0000000000000001E-3</v>
      </c>
      <c r="M24" s="3368">
        <f t="shared" si="6"/>
        <v>2.8999999999999998E-3</v>
      </c>
      <c r="N24" s="3368">
        <f t="shared" si="6"/>
        <v>8.3000000000000001E-3</v>
      </c>
      <c r="O24" s="3368"/>
      <c r="P24" s="3368">
        <f t="shared" si="7"/>
        <v>2.8999999999999998E-3</v>
      </c>
      <c r="Q24" s="3366"/>
      <c r="R24" s="3366"/>
      <c r="S24" s="3366">
        <f>ROUND(IF(项目基本情况!$B$8="出让",SUMPRODUCT(PRODUCT(1+L24:L$30)),SUMPRODUCT(PRODUCT(1+L24:L$29))),4)</f>
        <v>1.0241</v>
      </c>
      <c r="T24" s="3366">
        <f>ROUND(IF(项目基本情况!$B$8="出让",SUMPRODUCT(PRODUCT(1+M24:M$30)),SUMPRODUCT(PRODUCT(1+M24:M$29))),4)</f>
        <v>1.0144</v>
      </c>
      <c r="U24" s="3366">
        <f>ROUND(IF(项目基本情况!$B$8="出让",SUMPRODUCT(PRODUCT(1+N24:N$30)),SUMPRODUCT(PRODUCT(1+N24:N$29))),4)</f>
        <v>1.0467</v>
      </c>
      <c r="V24" s="3366"/>
      <c r="W24" s="3366">
        <f t="shared" si="8"/>
        <v>1.0144</v>
      </c>
      <c r="X24" s="3366"/>
      <c r="Y24" s="3368"/>
      <c r="Z24" s="3392">
        <f t="shared" si="9"/>
        <v>3.8999999999999998E-3</v>
      </c>
      <c r="AA24" s="3393">
        <f t="shared" si="9"/>
        <v>2.7000000000000001E-3</v>
      </c>
      <c r="AB24" s="3368">
        <f t="shared" si="9"/>
        <v>7.9000000000000008E-3</v>
      </c>
      <c r="AC24" s="3394"/>
      <c r="AD24" s="3368">
        <f t="shared" si="9"/>
        <v>2.7000000000000001E-3</v>
      </c>
    </row>
    <row r="25" spans="1:30">
      <c r="A25" s="3342" t="s">
        <v>3255</v>
      </c>
      <c r="B25" s="3401">
        <v>2022</v>
      </c>
      <c r="C25" s="3402">
        <v>2</v>
      </c>
      <c r="D25" s="3402"/>
      <c r="E25" s="3402">
        <v>-0.11</v>
      </c>
      <c r="F25" s="3402">
        <v>-0.13</v>
      </c>
      <c r="G25" s="3402">
        <v>0.53</v>
      </c>
      <c r="H25" s="3408"/>
      <c r="I25" s="3403">
        <f t="shared" si="5"/>
        <v>-0.13</v>
      </c>
      <c r="J25" s="3363"/>
      <c r="K25" s="3364"/>
      <c r="L25" s="3365">
        <f t="shared" si="6"/>
        <v>-1.1000000000000001E-3</v>
      </c>
      <c r="M25" s="3365">
        <f t="shared" si="6"/>
        <v>-1.2999999999999999E-3</v>
      </c>
      <c r="N25" s="3365">
        <f t="shared" si="6"/>
        <v>5.3E-3</v>
      </c>
      <c r="O25" s="3365"/>
      <c r="P25" s="3365">
        <f t="shared" si="7"/>
        <v>-1.2999999999999999E-3</v>
      </c>
      <c r="Q25" s="3363"/>
      <c r="R25" s="3379"/>
      <c r="S25" s="3379">
        <f>ROUND(IF(项目基本情况!$B$8="出让",SUMPRODUCT(PRODUCT(1+L25:L$30)),SUMPRODUCT(PRODUCT(1+L25:L$29))),4)</f>
        <v>1.0210999999999999</v>
      </c>
      <c r="T25" s="3379">
        <f>ROUND(IF(项目基本情况!$B$8="出让",SUMPRODUCT(PRODUCT(1+M25:M$30)),SUMPRODUCT(PRODUCT(1+M25:M$29))),4)</f>
        <v>1.0114000000000001</v>
      </c>
      <c r="U25" s="3379">
        <f>ROUND(IF(项目基本情况!$B$8="出让",SUMPRODUCT(PRODUCT(1+N25:N$30)),SUMPRODUCT(PRODUCT(1+N25:N$29))),4)</f>
        <v>1.0381</v>
      </c>
      <c r="V25" s="3379"/>
      <c r="W25" s="3379">
        <f t="shared" si="8"/>
        <v>1.0114000000000001</v>
      </c>
      <c r="X25" s="3363"/>
      <c r="Y25" s="3388"/>
      <c r="Z25" s="3389">
        <f t="shared" si="9"/>
        <v>4.1000000000000003E-3</v>
      </c>
      <c r="AA25" s="3391">
        <f t="shared" si="9"/>
        <v>2.7000000000000001E-3</v>
      </c>
      <c r="AB25" s="3388">
        <f t="shared" si="9"/>
        <v>7.9000000000000008E-3</v>
      </c>
      <c r="AC25" s="3390"/>
      <c r="AD25" s="3388">
        <f t="shared" si="9"/>
        <v>2.7000000000000001E-3</v>
      </c>
    </row>
    <row r="26" spans="1:30">
      <c r="A26" s="3342" t="s">
        <v>2786</v>
      </c>
      <c r="B26" s="3401">
        <v>2022</v>
      </c>
      <c r="C26" s="3402">
        <v>1</v>
      </c>
      <c r="D26" s="3402"/>
      <c r="E26" s="3402">
        <v>0.6</v>
      </c>
      <c r="F26" s="3402">
        <v>0.45</v>
      </c>
      <c r="G26" s="3402">
        <v>0.53</v>
      </c>
      <c r="H26" s="3408"/>
      <c r="I26" s="3403">
        <f t="shared" si="5"/>
        <v>0.45</v>
      </c>
      <c r="J26" s="3363"/>
      <c r="K26" s="3364"/>
      <c r="L26" s="3365">
        <f t="shared" si="6"/>
        <v>6.0000000000000001E-3</v>
      </c>
      <c r="M26" s="3365">
        <f t="shared" si="6"/>
        <v>4.5000000000000005E-3</v>
      </c>
      <c r="N26" s="3365">
        <f t="shared" si="6"/>
        <v>5.3E-3</v>
      </c>
      <c r="O26" s="3365"/>
      <c r="P26" s="3365">
        <f t="shared" si="7"/>
        <v>4.5000000000000005E-3</v>
      </c>
      <c r="Q26" s="3363"/>
      <c r="R26" s="3379"/>
      <c r="S26" s="3379">
        <f>ROUND(IF(项目基本情况!$B$8="出让",SUMPRODUCT(PRODUCT(1+L26:L$30)),SUMPRODUCT(PRODUCT(1+L26:L$29))),4)</f>
        <v>1.0222</v>
      </c>
      <c r="T26" s="3379">
        <f>ROUND(IF(项目基本情况!$B$8="出让",SUMPRODUCT(PRODUCT(1+M26:M$30)),SUMPRODUCT(PRODUCT(1+M26:M$29))),4)</f>
        <v>1.0127999999999999</v>
      </c>
      <c r="U26" s="3379">
        <f>ROUND(IF(项目基本情况!$B$8="出让",SUMPRODUCT(PRODUCT(1+N26:N$30)),SUMPRODUCT(PRODUCT(1+N26:N$29))),4)</f>
        <v>1.0326</v>
      </c>
      <c r="V26" s="3379"/>
      <c r="W26" s="3379">
        <f t="shared" si="8"/>
        <v>1.0127999999999999</v>
      </c>
      <c r="X26" s="3363"/>
      <c r="Y26" s="3388"/>
      <c r="Z26" s="3389">
        <f t="shared" si="9"/>
        <v>5.1000000000000004E-3</v>
      </c>
      <c r="AA26" s="3391">
        <f t="shared" si="9"/>
        <v>3.5000000000000001E-3</v>
      </c>
      <c r="AB26" s="3388">
        <f t="shared" si="9"/>
        <v>8.3999999999999995E-3</v>
      </c>
      <c r="AC26" s="3390"/>
      <c r="AD26" s="3388">
        <f t="shared" si="9"/>
        <v>3.5000000000000001E-3</v>
      </c>
    </row>
    <row r="27" spans="1:30">
      <c r="A27" s="3342" t="s">
        <v>2787</v>
      </c>
      <c r="B27" s="3401">
        <v>2021</v>
      </c>
      <c r="C27" s="3402">
        <v>4</v>
      </c>
      <c r="D27" s="3402"/>
      <c r="E27" s="3402">
        <v>0.57999999999999996</v>
      </c>
      <c r="F27" s="3402">
        <v>0.08</v>
      </c>
      <c r="G27" s="3402">
        <v>0.68</v>
      </c>
      <c r="H27" s="3408"/>
      <c r="I27" s="3403">
        <f t="shared" si="5"/>
        <v>0.08</v>
      </c>
      <c r="J27" s="3363"/>
      <c r="K27" s="3364"/>
      <c r="L27" s="3365">
        <f t="shared" si="6"/>
        <v>5.7999999999999996E-3</v>
      </c>
      <c r="M27" s="3365">
        <f t="shared" si="6"/>
        <v>8.0000000000000004E-4</v>
      </c>
      <c r="N27" s="3365">
        <f t="shared" si="6"/>
        <v>6.8000000000000005E-3</v>
      </c>
      <c r="O27" s="3365"/>
      <c r="P27" s="3365">
        <f t="shared" si="7"/>
        <v>8.0000000000000004E-4</v>
      </c>
      <c r="Q27" s="3363"/>
      <c r="R27" s="3379"/>
      <c r="S27" s="3379">
        <f>ROUND(IF(项目基本情况!$B$8="出让",SUMPRODUCT(PRODUCT(1+L27:L$30)),SUMPRODUCT(PRODUCT(1+L27:L$29))),4)</f>
        <v>1.0161</v>
      </c>
      <c r="T27" s="3379">
        <f>ROUND(IF(项目基本情况!$B$8="出让",SUMPRODUCT(PRODUCT(1+M27:M$30)),SUMPRODUCT(PRODUCT(1+M27:M$29))),4)</f>
        <v>1.0082</v>
      </c>
      <c r="U27" s="3379">
        <f>ROUND(IF(项目基本情况!$B$8="出让",SUMPRODUCT(PRODUCT(1+N27:N$30)),SUMPRODUCT(PRODUCT(1+N27:N$29))),4)</f>
        <v>1.0270999999999999</v>
      </c>
      <c r="V27" s="3379"/>
      <c r="W27" s="3379">
        <f t="shared" si="8"/>
        <v>1.0082</v>
      </c>
      <c r="X27" s="3363"/>
      <c r="Y27" s="3388"/>
      <c r="Z27" s="3389">
        <f t="shared" si="9"/>
        <v>4.8999999999999998E-3</v>
      </c>
      <c r="AA27" s="3391">
        <f t="shared" si="9"/>
        <v>3.3E-3</v>
      </c>
      <c r="AB27" s="3388">
        <f t="shared" si="9"/>
        <v>9.1999999999999998E-3</v>
      </c>
      <c r="AC27" s="3390"/>
      <c r="AD27" s="3388">
        <f t="shared" si="9"/>
        <v>3.3E-3</v>
      </c>
    </row>
    <row r="28" spans="1:30">
      <c r="A28" s="3342" t="s">
        <v>2788</v>
      </c>
      <c r="B28" s="3401">
        <v>2021</v>
      </c>
      <c r="C28" s="3402">
        <v>3</v>
      </c>
      <c r="D28" s="3402"/>
      <c r="E28" s="3402">
        <v>0.47</v>
      </c>
      <c r="F28" s="3402">
        <v>0.28000000000000003</v>
      </c>
      <c r="G28" s="3402">
        <v>0.91</v>
      </c>
      <c r="H28" s="3408"/>
      <c r="I28" s="3403">
        <f t="shared" si="5"/>
        <v>0.28000000000000003</v>
      </c>
      <c r="J28" s="3363"/>
      <c r="K28" s="3364"/>
      <c r="L28" s="3365">
        <f t="shared" si="6"/>
        <v>4.6999999999999993E-3</v>
      </c>
      <c r="M28" s="3365">
        <f t="shared" si="6"/>
        <v>2.8000000000000004E-3</v>
      </c>
      <c r="N28" s="3365">
        <f t="shared" si="6"/>
        <v>9.1000000000000004E-3</v>
      </c>
      <c r="O28" s="3365"/>
      <c r="P28" s="3365">
        <f t="shared" si="7"/>
        <v>2.8000000000000004E-3</v>
      </c>
      <c r="Q28" s="3363"/>
      <c r="R28" s="3379"/>
      <c r="S28" s="3379">
        <f>ROUND(IF(项目基本情况!$B$8="出让",SUMPRODUCT(PRODUCT(1+L28:L$30)),SUMPRODUCT(PRODUCT(1+L28:L$29))),4)</f>
        <v>1.0102</v>
      </c>
      <c r="T28" s="3379">
        <f>ROUND(IF(项目基本情况!$B$8="出让",SUMPRODUCT(PRODUCT(1+M28:M$30)),SUMPRODUCT(PRODUCT(1+M28:M$29))),4)</f>
        <v>1.0074000000000001</v>
      </c>
      <c r="U28" s="3379">
        <f>ROUND(IF(项目基本情况!$B$8="出让",SUMPRODUCT(PRODUCT(1+N28:N$30)),SUMPRODUCT(PRODUCT(1+N28:N$29))),4)</f>
        <v>1.0202</v>
      </c>
      <c r="V28" s="3379"/>
      <c r="W28" s="3379">
        <f t="shared" si="8"/>
        <v>1.0074000000000001</v>
      </c>
      <c r="X28" s="3363"/>
      <c r="Y28" s="3388"/>
      <c r="Z28" s="3389">
        <f t="shared" si="9"/>
        <v>4.5999999999999999E-3</v>
      </c>
      <c r="AA28" s="3391">
        <f t="shared" si="9"/>
        <v>4.1000000000000003E-3</v>
      </c>
      <c r="AB28" s="3388">
        <f t="shared" si="9"/>
        <v>0.01</v>
      </c>
      <c r="AC28" s="3390"/>
      <c r="AD28" s="3388">
        <f t="shared" si="9"/>
        <v>4.1000000000000003E-3</v>
      </c>
    </row>
    <row r="29" spans="1:30">
      <c r="A29" s="3342" t="s">
        <v>2794</v>
      </c>
      <c r="B29" s="3401">
        <v>2021</v>
      </c>
      <c r="C29" s="3402">
        <v>2</v>
      </c>
      <c r="D29" s="3402"/>
      <c r="E29" s="3402">
        <v>0.55000000000000004</v>
      </c>
      <c r="F29" s="3402">
        <v>0.46</v>
      </c>
      <c r="G29" s="3402">
        <v>1.1000000000000001</v>
      </c>
      <c r="H29" s="3408"/>
      <c r="I29" s="3403">
        <f t="shared" si="5"/>
        <v>0.46</v>
      </c>
      <c r="J29" s="3363"/>
      <c r="K29" s="3364"/>
      <c r="L29" s="3365">
        <f t="shared" si="6"/>
        <v>5.5000000000000005E-3</v>
      </c>
      <c r="M29" s="3365">
        <f t="shared" si="6"/>
        <v>4.5999999999999999E-3</v>
      </c>
      <c r="N29" s="3365">
        <f t="shared" si="6"/>
        <v>1.1000000000000001E-2</v>
      </c>
      <c r="O29" s="3365"/>
      <c r="P29" s="3365">
        <f t="shared" si="7"/>
        <v>4.5999999999999999E-3</v>
      </c>
      <c r="Q29" s="3363"/>
      <c r="R29" s="3379"/>
      <c r="S29" s="3379">
        <f>ROUND(IF(项目基本情况!$B$8="出让",SUMPRODUCT(PRODUCT(1+L29:L$30)),SUMPRODUCT(PRODUCT(1+L29:L$29))),4)</f>
        <v>1.0055000000000001</v>
      </c>
      <c r="T29" s="3379">
        <f>ROUND(IF(项目基本情况!$B$8="出让",SUMPRODUCT(PRODUCT(1+M29:M$30)),SUMPRODUCT(PRODUCT(1+M29:M$29))),4)</f>
        <v>1.0045999999999999</v>
      </c>
      <c r="U29" s="3379">
        <f>ROUND(IF(项目基本情况!$B$8="出让",SUMPRODUCT(PRODUCT(1+N29:N$30)),SUMPRODUCT(PRODUCT(1+N29:N$29))),4)</f>
        <v>1.0109999999999999</v>
      </c>
      <c r="V29" s="3379"/>
      <c r="W29" s="3379">
        <f t="shared" si="8"/>
        <v>1.0045999999999999</v>
      </c>
      <c r="X29" s="3363"/>
      <c r="Y29" s="3388"/>
      <c r="Z29" s="3389">
        <f t="shared" si="9"/>
        <v>4.4999999999999997E-3</v>
      </c>
      <c r="AA29" s="3391">
        <f t="shared" si="9"/>
        <v>4.7000000000000002E-3</v>
      </c>
      <c r="AB29" s="3388">
        <f t="shared" si="9"/>
        <v>1.04E-2</v>
      </c>
      <c r="AC29" s="3390"/>
      <c r="AD29" s="3388">
        <f t="shared" si="9"/>
        <v>4.7000000000000002E-3</v>
      </c>
    </row>
    <row r="30" spans="1:30" ht="14.25" thickBot="1">
      <c r="A30" s="3344" t="s">
        <v>2795</v>
      </c>
      <c r="B30" s="3409">
        <v>2021</v>
      </c>
      <c r="C30" s="3410">
        <v>1</v>
      </c>
      <c r="D30" s="3410"/>
      <c r="E30" s="3410">
        <v>0.35</v>
      </c>
      <c r="F30" s="3410">
        <v>0.48</v>
      </c>
      <c r="G30" s="3410">
        <v>0.98</v>
      </c>
      <c r="H30" s="3411"/>
      <c r="I30" s="3412">
        <f t="shared" si="5"/>
        <v>0.48</v>
      </c>
      <c r="J30" s="3369"/>
      <c r="K30" s="3370"/>
      <c r="L30" s="3371">
        <f t="shared" si="6"/>
        <v>3.4999999999999996E-3</v>
      </c>
      <c r="M30" s="3371">
        <f>F30/100</f>
        <v>4.7999999999999996E-3</v>
      </c>
      <c r="N30" s="3371">
        <f t="shared" si="6"/>
        <v>9.7999999999999997E-3</v>
      </c>
      <c r="O30" s="3371"/>
      <c r="P30" s="3371">
        <f t="shared" si="7"/>
        <v>4.7999999999999996E-3</v>
      </c>
      <c r="Q30" s="3369"/>
      <c r="R30" s="3380"/>
      <c r="S30" s="3380">
        <v>1</v>
      </c>
      <c r="T30" s="3380">
        <v>1</v>
      </c>
      <c r="U30" s="3380">
        <v>1</v>
      </c>
      <c r="V30" s="3380"/>
      <c r="W30" s="3380">
        <f t="shared" si="8"/>
        <v>1</v>
      </c>
      <c r="X30" s="3369"/>
      <c r="Y30" s="3371"/>
      <c r="Z30" s="3395">
        <f t="shared" si="9"/>
        <v>3.5000000000000001E-3</v>
      </c>
      <c r="AA30" s="3396">
        <f t="shared" si="9"/>
        <v>4.7999999999999996E-3</v>
      </c>
      <c r="AB30" s="3371">
        <f t="shared" si="9"/>
        <v>9.7999999999999997E-3</v>
      </c>
      <c r="AC30" s="3397"/>
      <c r="AD30" s="3371">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-2</v>
      </c>
      <c r="G1" s="740">
        <f>MATCH(C1,'数据-取费表'!A6:A16,0)+5</f>
        <v>10</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7" t="s">
        <v>1807</v>
      </c>
      <c r="C8" s="1611">
        <f ca="1">ROUND(F8*F10*F9*(1-F11)/10000,0)</f>
        <v>0</v>
      </c>
      <c r="D8" s="1608" t="s">
        <v>1817</v>
      </c>
      <c r="E8" s="59" t="s">
        <v>585</v>
      </c>
      <c r="F8" s="751">
        <f ca="1">INDIRECT("'数据-取费表'!u"&amp;$G$1)</f>
        <v>0</v>
      </c>
      <c r="G8" s="1404"/>
      <c r="H8" s="2150" t="s">
        <v>1353</v>
      </c>
      <c r="I8" s="3967" t="s">
        <v>1807</v>
      </c>
      <c r="J8" s="749">
        <f ca="1">ROUND(M8*M10*M9*(1-M11)/10000,0)</f>
        <v>0</v>
      </c>
      <c r="K8" s="332" t="s">
        <v>1817</v>
      </c>
      <c r="L8" s="750" t="s">
        <v>1267</v>
      </c>
      <c r="M8" s="751">
        <f ca="1">INDIRECT("'数据-取费表'!z"&amp;$G$1)</f>
        <v>0</v>
      </c>
    </row>
    <row r="9" spans="1:25" ht="18" customHeight="1">
      <c r="A9" s="2146"/>
      <c r="B9" s="3968"/>
      <c r="C9" s="1612"/>
      <c r="D9" s="1609"/>
      <c r="E9" s="59" t="s">
        <v>586</v>
      </c>
      <c r="F9" s="751">
        <f ca="1">IF(INDIRECT("'数据-取费表'!ah"&amp;$G$1)="",INDIRECT("'数据-取费表'!k"&amp;$G$1),INDIRECT("'数据-取费表'!ah"&amp;$G$1))</f>
        <v>0</v>
      </c>
      <c r="G9" s="1404"/>
      <c r="H9" s="2135"/>
      <c r="I9" s="3968"/>
      <c r="J9" s="754"/>
      <c r="K9" s="755"/>
      <c r="L9" s="750" t="s">
        <v>1268</v>
      </c>
      <c r="M9" s="751">
        <f ca="1">F9</f>
        <v>0</v>
      </c>
    </row>
    <row r="10" spans="1:25" ht="18" customHeight="1">
      <c r="A10" s="2139"/>
      <c r="B10" s="3969"/>
      <c r="C10" s="1612"/>
      <c r="D10" s="1609"/>
      <c r="E10" s="59" t="s">
        <v>587</v>
      </c>
      <c r="F10" s="751">
        <f ca="1">INDIRECT("'数据-取费表'!ai"&amp;$G$1)</f>
        <v>0</v>
      </c>
      <c r="G10" s="1404"/>
      <c r="H10" s="2135"/>
      <c r="I10" s="3969"/>
      <c r="J10" s="754"/>
      <c r="K10" s="755"/>
      <c r="L10" s="750" t="s">
        <v>1269</v>
      </c>
      <c r="M10" s="751">
        <f ca="1">INDIRECT("'数据-取费表'!ai"&amp;$G$1)</f>
        <v>0</v>
      </c>
    </row>
    <row r="11" spans="1:25" ht="18" customHeight="1">
      <c r="A11" s="752"/>
      <c r="B11" s="3970"/>
      <c r="C11" s="1612"/>
      <c r="D11" s="1609"/>
      <c r="E11" s="59" t="s">
        <v>588</v>
      </c>
      <c r="F11" s="760">
        <f ca="1">INDIRECT("'数据-取费表'!w"&amp;$G$1)</f>
        <v>0</v>
      </c>
      <c r="G11" s="1404"/>
      <c r="H11" s="2151"/>
      <c r="I11" s="3969"/>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0">
        <f ca="1">ROUND(IF(AND(项目基本情况!B11="自然人",项目基本情况!B10="北京市"),J8*M19/(1+'数据-取费表'!C42),J20+J21+J22),0)</f>
        <v>0</v>
      </c>
      <c r="K19" s="1733" t="s">
        <v>605</v>
      </c>
      <c r="L19" s="1731" t="s">
        <v>606</v>
      </c>
      <c r="M19" s="2759"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3253</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8.0000000000000004E-4</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0">
        <f ca="1">ROUND(IF(AND(项目基本情况!B11="自然人",项目基本情况!B10="北京市"),C8*F33/(1+'数据-取费表'!C42),C34+C35+C36),2)</f>
        <v>0</v>
      </c>
      <c r="D33" s="1733" t="s">
        <v>605</v>
      </c>
      <c r="E33" s="1731" t="s">
        <v>637</v>
      </c>
      <c r="F33" s="2759"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3253</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66"/>
      <c r="J36" s="1802"/>
      <c r="K36" s="1803"/>
      <c r="L36" s="1802"/>
      <c r="M36" s="1802"/>
    </row>
    <row r="37" spans="1:18" ht="18" customHeight="1">
      <c r="A37" s="780"/>
      <c r="B37" s="759"/>
      <c r="C37" s="67"/>
      <c r="D37" s="781"/>
      <c r="E37" s="750" t="s">
        <v>621</v>
      </c>
      <c r="F37" s="751">
        <f ca="1">INDIRECT("'数据-取费表'!r"&amp;$G$1)</f>
        <v>0</v>
      </c>
      <c r="G37" s="1785"/>
      <c r="H37" s="1788"/>
      <c r="I37" s="3966"/>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3"/>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3"/>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3"/>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8" t="s">
        <v>2222</v>
      </c>
      <c r="F43" s="2549">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7">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0"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4" t="e">
        <f ca="1">IF(M48="住宅",0,IF(L49&gt;J52,L61,J61))</f>
        <v>#DIV/0!</v>
      </c>
      <c r="O47" s="2085" t="s">
        <v>1764</v>
      </c>
      <c r="P47" s="1404"/>
      <c r="Q47" s="1412"/>
      <c r="R47" s="1404"/>
    </row>
    <row r="48" spans="1:18" s="1782" customFormat="1" ht="18" customHeight="1" thickBot="1">
      <c r="A48" s="1806"/>
      <c r="C48" s="1809"/>
      <c r="D48" s="1810"/>
      <c r="E48" s="1810"/>
      <c r="F48" s="1811"/>
      <c r="G48" s="1812"/>
      <c r="I48" s="2555" t="s">
        <v>1698</v>
      </c>
      <c r="J48" s="2072"/>
      <c r="K48" s="2561" t="s">
        <v>1703</v>
      </c>
      <c r="L48" s="2565">
        <f ca="1">INDIRECT("'数据-取费表'!d"&amp;$G$1)</f>
        <v>0</v>
      </c>
      <c r="M48" s="2547"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2" t="s">
        <v>1699</v>
      </c>
      <c r="J49" s="2073"/>
      <c r="K49" s="2562"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2" t="s">
        <v>1700</v>
      </c>
      <c r="J50" s="2074"/>
      <c r="K50" s="2563"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2" t="s">
        <v>1701</v>
      </c>
      <c r="J51" s="2559">
        <f>SUMPRODUCT((I64:I66=J48)*(J63:L63=J49)*(J64:L66))</f>
        <v>0</v>
      </c>
      <c r="K51" s="2563" t="s">
        <v>1707</v>
      </c>
      <c r="L51" s="2075"/>
      <c r="O51" s="2092" t="s">
        <v>1737</v>
      </c>
      <c r="P51" s="2090" t="s">
        <v>1761</v>
      </c>
      <c r="Q51" s="2091">
        <f ca="1">C31</f>
        <v>0</v>
      </c>
      <c r="R51" s="2090" t="s">
        <v>1734</v>
      </c>
    </row>
    <row r="52" spans="1:18" s="1782" customFormat="1" ht="18" customHeight="1" thickBot="1">
      <c r="A52" s="1818"/>
      <c r="F52" s="1807"/>
      <c r="I52" s="2556" t="s">
        <v>1702</v>
      </c>
      <c r="J52" s="2560">
        <f>IF(J50="",J51,J50+J51-YEAR('数据-取费表'!B3))</f>
        <v>0</v>
      </c>
      <c r="K52" s="2552" t="s">
        <v>1708</v>
      </c>
      <c r="L52" s="2566">
        <f ca="1">C45</f>
        <v>0</v>
      </c>
      <c r="O52" s="2092" t="s">
        <v>1738</v>
      </c>
      <c r="P52" s="2090" t="s">
        <v>1739</v>
      </c>
      <c r="Q52" s="2093" t="e">
        <f ca="1">J59</f>
        <v>#DIV/0!</v>
      </c>
      <c r="R52" s="2094"/>
    </row>
    <row r="53" spans="1:18" s="1782" customFormat="1" ht="18" customHeight="1" thickBot="1">
      <c r="A53" s="1818"/>
      <c r="F53" s="1807"/>
      <c r="I53" s="2557" t="s">
        <v>1775</v>
      </c>
      <c r="J53" s="2076"/>
      <c r="K53" s="2557" t="s">
        <v>1774</v>
      </c>
      <c r="L53" s="2076"/>
      <c r="O53" s="2092" t="s">
        <v>1740</v>
      </c>
      <c r="P53" s="2090" t="s">
        <v>1741</v>
      </c>
      <c r="Q53" s="2093">
        <f>J53</f>
        <v>0</v>
      </c>
      <c r="R53" s="2094"/>
    </row>
    <row r="54" spans="1:18" s="1782" customFormat="1" ht="29.25" thickBot="1">
      <c r="A54" s="1818"/>
      <c r="I54" s="2558" t="s">
        <v>2236</v>
      </c>
      <c r="J54" s="2609">
        <f ca="1">IF(M48="住宅",MAX(J52,L49-'数据-取费表'!B20),MIN(J52,L49-'数据-取费表'!B20))</f>
        <v>-2</v>
      </c>
      <c r="K54" s="3971"/>
      <c r="L54" s="3972"/>
      <c r="O54" s="2092" t="s">
        <v>1742</v>
      </c>
      <c r="P54" s="2090" t="s">
        <v>1743</v>
      </c>
      <c r="Q54" s="2091">
        <f ca="1">J54</f>
        <v>-2</v>
      </c>
      <c r="R54" s="2090" t="s">
        <v>1744</v>
      </c>
    </row>
    <row r="55" spans="1:18" s="1782" customFormat="1" ht="18" customHeight="1" thickBot="1">
      <c r="A55" s="1818"/>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9" t="s">
        <v>1745</v>
      </c>
      <c r="P55" s="2090" t="s">
        <v>1762</v>
      </c>
      <c r="Q55" s="2091" t="e">
        <f ca="1">Q49+Q50</f>
        <v>#DIV/0!</v>
      </c>
      <c r="R55" s="2094" t="s">
        <v>1746</v>
      </c>
    </row>
    <row r="56" spans="1:18" s="1782" customFormat="1" ht="16.5" thickBot="1">
      <c r="A56" s="1818"/>
      <c r="B56" s="1819"/>
      <c r="C56" s="1819"/>
      <c r="I56" s="2569" t="s">
        <v>1709</v>
      </c>
      <c r="J56" s="2541" t="e">
        <f ca="1">ROUND(IF(J48="钢混",J58/J51,1-(1-2%)*(J51-J58)/J51),3)</f>
        <v>#DIV/0!</v>
      </c>
      <c r="K56" s="2570" t="s">
        <v>1710</v>
      </c>
      <c r="L56" s="2077"/>
      <c r="O56" s="2095" t="s">
        <v>1765</v>
      </c>
      <c r="P56" s="1404"/>
      <c r="Q56" s="1412"/>
      <c r="R56" s="1404"/>
    </row>
    <row r="57" spans="1:18" s="1782" customFormat="1" ht="43.5" thickBot="1">
      <c r="A57" s="1818"/>
      <c r="B57" s="1819"/>
      <c r="C57" s="1819"/>
      <c r="I57" s="2571" t="s">
        <v>1711</v>
      </c>
      <c r="J57" s="2581"/>
      <c r="K57" s="2552" t="s">
        <v>1716</v>
      </c>
      <c r="L57" s="1663">
        <f ca="1">IF(L49&lt;J52,"——",L49-J52)</f>
        <v>0</v>
      </c>
      <c r="O57" s="2086" t="s">
        <v>1729</v>
      </c>
      <c r="P57" s="2087" t="s">
        <v>1730</v>
      </c>
      <c r="Q57" s="2088" t="s">
        <v>1731</v>
      </c>
      <c r="R57" s="2087" t="s">
        <v>1732</v>
      </c>
    </row>
    <row r="58" spans="1:18" s="1782" customFormat="1" ht="29.25" thickBot="1">
      <c r="A58" s="1818"/>
      <c r="B58" s="1819"/>
      <c r="C58" s="1819"/>
      <c r="I58" s="2572" t="s">
        <v>1712</v>
      </c>
      <c r="J58" s="2573">
        <f ca="1">IF(OR(M48="住宅",J52&lt;L49,J57="是"),"——",J52-L49)</f>
        <v>0</v>
      </c>
      <c r="K58" s="2552"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2" t="s">
        <v>1713</v>
      </c>
      <c r="J59" s="2542" t="e">
        <f ca="1">IF(J56&lt;0.4,0.4,J56)</f>
        <v>#DIV/0!</v>
      </c>
      <c r="K59" s="2552"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2" t="s">
        <v>1714</v>
      </c>
      <c r="J60" s="2573" t="e">
        <f ca="1">IF(OR(M48="住宅",J52&lt;L49,J57="是"),"——",ROUND(C30*J59,0))</f>
        <v>#DIV/0!</v>
      </c>
      <c r="K60" s="2552"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4" t="s">
        <v>1715</v>
      </c>
      <c r="J61" s="2575" t="e">
        <f ca="1">IF(OR(M48="住宅",J52&lt;L49,J57="是"),"0",ROUND(J60/(1+J53)^J54,0))</f>
        <v>#DIV/0!</v>
      </c>
      <c r="K61" s="2576" t="s">
        <v>1720</v>
      </c>
      <c r="L61" s="2575"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7" t="s">
        <v>1721</v>
      </c>
      <c r="J63" s="2578" t="s">
        <v>1722</v>
      </c>
      <c r="K63" s="2578" t="s">
        <v>1723</v>
      </c>
      <c r="L63" s="2578" t="s">
        <v>1704</v>
      </c>
      <c r="M63" s="2579" t="s">
        <v>2205</v>
      </c>
      <c r="O63" s="2092" t="s">
        <v>1742</v>
      </c>
      <c r="P63" s="2090" t="s">
        <v>1750</v>
      </c>
      <c r="Q63" s="2091">
        <f ca="1">L60</f>
        <v>0</v>
      </c>
      <c r="R63" s="2094" t="s">
        <v>1751</v>
      </c>
    </row>
    <row r="64" spans="1:18" s="1782" customFormat="1" ht="15.75" thickBot="1">
      <c r="A64" s="1818"/>
      <c r="B64" s="1819"/>
      <c r="C64" s="1819"/>
      <c r="I64" s="2577" t="s">
        <v>1724</v>
      </c>
      <c r="J64" s="2578">
        <v>70</v>
      </c>
      <c r="K64" s="2578">
        <v>50</v>
      </c>
      <c r="L64" s="2578">
        <v>80</v>
      </c>
      <c r="M64" s="2580">
        <v>0.02</v>
      </c>
      <c r="O64" s="2089" t="s">
        <v>1745</v>
      </c>
      <c r="P64" s="2090" t="s">
        <v>1762</v>
      </c>
      <c r="Q64" s="2091" t="e">
        <f ca="1">Q58+Q59</f>
        <v>#DIV/0!</v>
      </c>
      <c r="R64" s="2094" t="s">
        <v>1746</v>
      </c>
    </row>
    <row r="65" spans="1:18" s="1782" customFormat="1" ht="16.5" thickBot="1">
      <c r="A65" s="1818"/>
      <c r="B65" s="1819"/>
      <c r="C65" s="1819"/>
      <c r="I65" s="2577" t="s">
        <v>1725</v>
      </c>
      <c r="J65" s="2578">
        <v>50</v>
      </c>
      <c r="K65" s="2578">
        <v>35</v>
      </c>
      <c r="L65" s="2578">
        <v>60</v>
      </c>
      <c r="M65" s="811">
        <v>0</v>
      </c>
      <c r="O65" s="2095" t="s">
        <v>1769</v>
      </c>
      <c r="P65" s="1404"/>
      <c r="Q65" s="1412"/>
      <c r="R65" s="1404"/>
    </row>
    <row r="66" spans="1:18" s="1782" customFormat="1" ht="15.75" thickBot="1">
      <c r="A66" s="1818"/>
      <c r="B66" s="1819"/>
      <c r="C66" s="1819"/>
      <c r="I66" s="2577" t="s">
        <v>1726</v>
      </c>
      <c r="J66" s="2578">
        <v>40</v>
      </c>
      <c r="K66" s="2578">
        <v>30</v>
      </c>
      <c r="L66" s="2578">
        <v>50</v>
      </c>
      <c r="M66" s="2580">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80" zoomScaleNormal="60" zoomScaleSheetLayoutView="80" workbookViewId="0">
      <selection activeCell="K12" sqref="K12"/>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851</v>
      </c>
      <c r="E1" s="1849"/>
      <c r="F1" s="2286" t="s">
        <v>3430</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443316</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40500</v>
      </c>
      <c r="C3" s="817" t="s">
        <v>669</v>
      </c>
      <c r="D3" s="816">
        <f>SUMIF('数据-汇总表'!$C19:$C33,D1,'数据-汇总表'!$E19:$E33)</f>
        <v>109460.71999999999</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87" t="s">
        <v>471</v>
      </c>
      <c r="D4" s="3888"/>
      <c r="E4" s="3913" t="s">
        <v>472</v>
      </c>
      <c r="F4" s="3914"/>
      <c r="G4" s="3887" t="s">
        <v>473</v>
      </c>
      <c r="H4" s="3888"/>
      <c r="I4" s="3887" t="s">
        <v>474</v>
      </c>
      <c r="J4" s="3888"/>
      <c r="K4" s="818" t="s">
        <v>475</v>
      </c>
      <c r="L4" s="1855"/>
      <c r="M4" s="1856"/>
      <c r="N4" s="1856"/>
      <c r="O4" s="1856"/>
      <c r="P4" s="3889" t="s">
        <v>476</v>
      </c>
      <c r="Q4" s="3890"/>
      <c r="R4" s="3873" t="s">
        <v>472</v>
      </c>
      <c r="S4" s="3874"/>
      <c r="T4" s="3873" t="s">
        <v>473</v>
      </c>
      <c r="U4" s="3874"/>
      <c r="V4" s="3895" t="s">
        <v>474</v>
      </c>
      <c r="W4" s="3895"/>
      <c r="X4" s="1379"/>
      <c r="Y4" s="3873" t="s">
        <v>476</v>
      </c>
      <c r="Z4" s="3874"/>
      <c r="AA4" s="3868" t="s">
        <v>472</v>
      </c>
      <c r="AB4" s="3868" t="s">
        <v>473</v>
      </c>
      <c r="AC4" s="3868" t="s">
        <v>474</v>
      </c>
    </row>
    <row r="5" spans="1:29" ht="15">
      <c r="A5" s="485"/>
      <c r="B5" s="486"/>
      <c r="C5" s="3898" t="s">
        <v>2192</v>
      </c>
      <c r="D5" s="3899"/>
      <c r="E5" s="3973" t="s">
        <v>3361</v>
      </c>
      <c r="F5" s="3916"/>
      <c r="G5" s="3974" t="s">
        <v>3370</v>
      </c>
      <c r="H5" s="3899"/>
      <c r="I5" s="3974" t="s">
        <v>3378</v>
      </c>
      <c r="J5" s="3899"/>
      <c r="K5" s="819"/>
      <c r="L5" s="1855"/>
      <c r="M5" s="1856"/>
      <c r="N5" s="1856"/>
      <c r="O5" s="1856"/>
      <c r="P5" s="3891"/>
      <c r="Q5" s="3892"/>
      <c r="R5" s="3875"/>
      <c r="S5" s="3876"/>
      <c r="T5" s="3875"/>
      <c r="U5" s="3876"/>
      <c r="V5" s="3895"/>
      <c r="W5" s="3895"/>
      <c r="X5" s="1379"/>
      <c r="Y5" s="3875"/>
      <c r="Z5" s="3876"/>
      <c r="AA5" s="3869"/>
      <c r="AB5" s="3869"/>
      <c r="AC5" s="3869"/>
    </row>
    <row r="6" spans="1:29" ht="15.75" thickBot="1">
      <c r="A6" s="487"/>
      <c r="B6" s="488"/>
      <c r="C6" s="3896" t="s">
        <v>2196</v>
      </c>
      <c r="D6" s="3897"/>
      <c r="E6" s="3917" t="s">
        <v>2196</v>
      </c>
      <c r="F6" s="3918"/>
      <c r="G6" s="3896" t="s">
        <v>2196</v>
      </c>
      <c r="H6" s="3897"/>
      <c r="I6" s="3896" t="s">
        <v>2196</v>
      </c>
      <c r="J6" s="3897"/>
      <c r="K6" s="819" t="s">
        <v>477</v>
      </c>
      <c r="L6" s="1855"/>
      <c r="M6" s="1856"/>
      <c r="N6" s="1856"/>
      <c r="O6" s="1856"/>
      <c r="P6" s="3893"/>
      <c r="Q6" s="3894"/>
      <c r="R6" s="3875"/>
      <c r="S6" s="3876"/>
      <c r="T6" s="3877"/>
      <c r="U6" s="3878"/>
      <c r="V6" s="3895"/>
      <c r="W6" s="3895"/>
      <c r="X6" s="1379"/>
      <c r="Y6" s="3877"/>
      <c r="Z6" s="3878"/>
      <c r="AA6" s="3870"/>
      <c r="AB6" s="3870"/>
      <c r="AC6" s="3870"/>
    </row>
    <row r="7" spans="1:29" s="1117" customFormat="1" ht="15.75" thickBot="1">
      <c r="A7" s="2391"/>
      <c r="B7" s="2398" t="s">
        <v>478</v>
      </c>
      <c r="C7" s="489">
        <f>'数据-取费表'!B2</f>
        <v>44929</v>
      </c>
      <c r="D7" s="490">
        <v>100</v>
      </c>
      <c r="E7" s="491">
        <f>C7</f>
        <v>44929</v>
      </c>
      <c r="F7" s="492">
        <f>SUMIF(58:58,YEAR(E7)&amp;"-"&amp;MONTH(E7),59:59)</f>
        <v>100</v>
      </c>
      <c r="G7" s="493">
        <f>C7</f>
        <v>44929</v>
      </c>
      <c r="H7" s="490">
        <f>SUMIF(58:58,YEAR(G7)&amp;"-"&amp;MONTH(G7),59:59)</f>
        <v>100</v>
      </c>
      <c r="I7" s="493">
        <f>C7</f>
        <v>44929</v>
      </c>
      <c r="J7" s="490">
        <f>SUMIF(58:58,YEAR(I7)&amp;"-"&amp;MONTH(I7),59:59)</f>
        <v>100</v>
      </c>
      <c r="K7" s="820"/>
      <c r="L7" s="1857"/>
      <c r="M7" s="1858"/>
      <c r="N7" s="1858"/>
      <c r="O7" s="1858"/>
      <c r="P7" s="3871" t="s">
        <v>479</v>
      </c>
      <c r="Q7" s="3880"/>
      <c r="R7" s="1380" t="s">
        <v>10</v>
      </c>
      <c r="S7" s="1381">
        <f t="shared" ref="S7:S15" si="0">F7</f>
        <v>100</v>
      </c>
      <c r="T7" s="1380" t="s">
        <v>10</v>
      </c>
      <c r="U7" s="1381">
        <f t="shared" ref="U7:U15" si="1">H7</f>
        <v>100</v>
      </c>
      <c r="V7" s="1380" t="s">
        <v>10</v>
      </c>
      <c r="W7" s="1381">
        <f t="shared" ref="W7:W15" si="2">J7</f>
        <v>100</v>
      </c>
      <c r="X7" s="1382"/>
      <c r="Y7" s="3871" t="s">
        <v>479</v>
      </c>
      <c r="Z7" s="3872"/>
      <c r="AA7" s="1383">
        <f>D7/F7</f>
        <v>1</v>
      </c>
      <c r="AB7" s="1383">
        <f>D7/H7</f>
        <v>1</v>
      </c>
      <c r="AC7" s="1383">
        <f>D7/J7</f>
        <v>1</v>
      </c>
    </row>
    <row r="8" spans="1:29" s="1117" customFormat="1" ht="15.75" thickBot="1">
      <c r="A8" s="2392"/>
      <c r="B8" s="2399" t="s">
        <v>480</v>
      </c>
      <c r="C8" s="495" t="s">
        <v>524</v>
      </c>
      <c r="D8" s="490">
        <v>100</v>
      </c>
      <c r="E8" s="821" t="s">
        <v>3393</v>
      </c>
      <c r="F8" s="492">
        <f>SUMIF(61:61,E8,62:62)-SUMIF(61:61,C8,62:62)+100</f>
        <v>100</v>
      </c>
      <c r="G8" s="821" t="s">
        <v>3393</v>
      </c>
      <c r="H8" s="490">
        <f>SUMIF(61:61,G8,62:62)-SUMIF(61:61,C8,62:62)+100</f>
        <v>100</v>
      </c>
      <c r="I8" s="821" t="s">
        <v>3393</v>
      </c>
      <c r="J8" s="490">
        <f>SUMIF(61:61,I8,62:62)-SUMIF(61:61,C8,62:62)+100</f>
        <v>100</v>
      </c>
      <c r="K8" s="820"/>
      <c r="L8" s="1857"/>
      <c r="M8" s="1858"/>
      <c r="N8" s="1858"/>
      <c r="O8" s="1858"/>
      <c r="P8" s="3871" t="s">
        <v>482</v>
      </c>
      <c r="Q8" s="3872"/>
      <c r="R8" s="1380" t="s">
        <v>10</v>
      </c>
      <c r="S8" s="1381">
        <f t="shared" si="0"/>
        <v>100</v>
      </c>
      <c r="T8" s="1380" t="s">
        <v>10</v>
      </c>
      <c r="U8" s="1381">
        <f t="shared" si="1"/>
        <v>100</v>
      </c>
      <c r="V8" s="1380" t="s">
        <v>10</v>
      </c>
      <c r="W8" s="1381">
        <f t="shared" si="2"/>
        <v>100</v>
      </c>
      <c r="X8" s="1382"/>
      <c r="Y8" s="3871" t="s">
        <v>482</v>
      </c>
      <c r="Z8" s="3872"/>
      <c r="AA8" s="1383">
        <f t="shared" ref="AA8:AA46" si="3">D8/F8</f>
        <v>1</v>
      </c>
      <c r="AB8" s="1383">
        <f t="shared" ref="AB8:AB46" si="4">D8/H8</f>
        <v>1</v>
      </c>
      <c r="AC8" s="1383">
        <f t="shared" ref="AC8:AC46" si="5">D8/J8</f>
        <v>1</v>
      </c>
    </row>
    <row r="9" spans="1:29" s="1117" customFormat="1" ht="15">
      <c r="A9" s="2393"/>
      <c r="B9" s="2400" t="s">
        <v>2038</v>
      </c>
      <c r="C9" s="3687" t="s">
        <v>3420</v>
      </c>
      <c r="D9" s="245">
        <v>100</v>
      </c>
      <c r="E9" s="823" t="s">
        <v>851</v>
      </c>
      <c r="F9" s="824">
        <f>SUMIF(63:63,E9,64:64)-SUMIF(63:63,C9,64:64)+100</f>
        <v>100</v>
      </c>
      <c r="G9" s="823" t="s">
        <v>851</v>
      </c>
      <c r="H9" s="245">
        <f>SUMIF(63:63,G9,64:64)-SUMIF(63:63,C9,64:64)+100</f>
        <v>100</v>
      </c>
      <c r="I9" s="823" t="s">
        <v>851</v>
      </c>
      <c r="J9" s="245">
        <f>SUMIF(63:63,I9,64:64)-SUMIF(63:63,C9,64:64)+100</f>
        <v>100</v>
      </c>
      <c r="K9" s="820"/>
      <c r="L9" s="1857"/>
      <c r="M9" s="1858"/>
      <c r="N9" s="1858"/>
      <c r="O9" s="1859"/>
      <c r="P9" s="3879" t="s">
        <v>484</v>
      </c>
      <c r="Q9" s="1049" t="str">
        <f t="shared" ref="Q9:Q15" si="6">B9</f>
        <v>用途</v>
      </c>
      <c r="R9" s="1380" t="s">
        <v>5</v>
      </c>
      <c r="S9" s="1381">
        <f t="shared" si="0"/>
        <v>100</v>
      </c>
      <c r="T9" s="1380" t="s">
        <v>5</v>
      </c>
      <c r="U9" s="1381">
        <f t="shared" si="1"/>
        <v>100</v>
      </c>
      <c r="V9" s="1380" t="s">
        <v>5</v>
      </c>
      <c r="W9" s="1381">
        <f t="shared" si="2"/>
        <v>100</v>
      </c>
      <c r="X9" s="1382"/>
      <c r="Y9" s="3831"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5"/>
      <c r="B11" s="2399" t="s">
        <v>2040</v>
      </c>
      <c r="C11" s="503">
        <v>1.6</v>
      </c>
      <c r="D11" s="246">
        <v>100</v>
      </c>
      <c r="E11" s="504">
        <v>2</v>
      </c>
      <c r="F11" s="826">
        <f>LOOKUP(E11,68:68,69:69)-LOOKUP(C11,68:68,69:69)+100</f>
        <v>98</v>
      </c>
      <c r="G11" s="503">
        <v>1.6</v>
      </c>
      <c r="H11" s="246">
        <f>LOOKUP(G11,68:68,69:69)-LOOKUP(C11,68:68,69:69)+100</f>
        <v>100</v>
      </c>
      <c r="I11" s="503">
        <v>1.6</v>
      </c>
      <c r="J11" s="246">
        <f>LOOKUP(I11,68:68,69:69)-LOOKUP(C11,68:68,69:69)+100</f>
        <v>100</v>
      </c>
      <c r="K11" s="827">
        <v>2</v>
      </c>
      <c r="L11" s="1862"/>
      <c r="M11" s="1856"/>
      <c r="N11" s="1856"/>
      <c r="O11" s="1863"/>
      <c r="P11" s="3879"/>
      <c r="Q11" s="1049" t="str">
        <f t="shared" si="6"/>
        <v>容积率</v>
      </c>
      <c r="R11" s="1380" t="s">
        <v>8</v>
      </c>
      <c r="S11" s="1381">
        <f t="shared" si="0"/>
        <v>98</v>
      </c>
      <c r="T11" s="1380" t="s">
        <v>8</v>
      </c>
      <c r="U11" s="1381">
        <f t="shared" si="1"/>
        <v>100</v>
      </c>
      <c r="V11" s="1380" t="s">
        <v>8</v>
      </c>
      <c r="W11" s="1381">
        <f t="shared" si="2"/>
        <v>100</v>
      </c>
      <c r="X11" s="1382"/>
      <c r="Y11" s="3831"/>
      <c r="Z11" s="1048" t="str">
        <f t="shared" si="7"/>
        <v>容积率</v>
      </c>
      <c r="AA11" s="1383">
        <f t="shared" si="3"/>
        <v>1.0204081632653061</v>
      </c>
      <c r="AB11" s="1383">
        <f t="shared" si="4"/>
        <v>1</v>
      </c>
      <c r="AC11" s="1383">
        <f t="shared" si="5"/>
        <v>1</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79"/>
      <c r="Q12" s="1049">
        <f t="shared" si="6"/>
        <v>111</v>
      </c>
      <c r="R12" s="1380" t="s">
        <v>8</v>
      </c>
      <c r="S12" s="1381">
        <f t="shared" si="0"/>
        <v>100</v>
      </c>
      <c r="T12" s="1380" t="s">
        <v>8</v>
      </c>
      <c r="U12" s="1381">
        <f t="shared" si="1"/>
        <v>100</v>
      </c>
      <c r="V12" s="1380" t="s">
        <v>8</v>
      </c>
      <c r="W12" s="1381">
        <f t="shared" si="2"/>
        <v>100</v>
      </c>
      <c r="X12" s="1382"/>
      <c r="Y12" s="3831"/>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79"/>
      <c r="Q13" s="1049">
        <f t="shared" si="6"/>
        <v>111</v>
      </c>
      <c r="R13" s="1380" t="s">
        <v>8</v>
      </c>
      <c r="S13" s="1381">
        <f t="shared" si="0"/>
        <v>100</v>
      </c>
      <c r="T13" s="1380" t="s">
        <v>8</v>
      </c>
      <c r="U13" s="1381">
        <f t="shared" si="1"/>
        <v>100</v>
      </c>
      <c r="V13" s="1380" t="s">
        <v>8</v>
      </c>
      <c r="W13" s="1381">
        <f t="shared" si="2"/>
        <v>100</v>
      </c>
      <c r="X13" s="1382"/>
      <c r="Y13" s="3831"/>
      <c r="Z13" s="1048">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79"/>
      <c r="Q14" s="1049">
        <f t="shared" si="6"/>
        <v>111</v>
      </c>
      <c r="R14" s="1380" t="s">
        <v>8</v>
      </c>
      <c r="S14" s="1381">
        <f t="shared" si="0"/>
        <v>100</v>
      </c>
      <c r="T14" s="1380" t="s">
        <v>8</v>
      </c>
      <c r="U14" s="1381">
        <f t="shared" si="1"/>
        <v>100</v>
      </c>
      <c r="V14" s="1380" t="s">
        <v>8</v>
      </c>
      <c r="W14" s="1381">
        <f t="shared" si="2"/>
        <v>100</v>
      </c>
      <c r="X14" s="1382"/>
      <c r="Y14" s="3831"/>
      <c r="Z14" s="1048">
        <f t="shared" si="7"/>
        <v>111</v>
      </c>
      <c r="AA14" s="1383">
        <f t="shared" si="3"/>
        <v>1</v>
      </c>
      <c r="AB14" s="1383">
        <f t="shared" si="4"/>
        <v>1</v>
      </c>
      <c r="AC14" s="1383">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97</v>
      </c>
      <c r="K15" s="831">
        <v>3</v>
      </c>
      <c r="L15" s="1864"/>
      <c r="M15" s="1856"/>
      <c r="N15" s="1856"/>
      <c r="O15" s="1863"/>
      <c r="P15" s="3881" t="s">
        <v>489</v>
      </c>
      <c r="Q15" s="1384" t="str">
        <f t="shared" si="6"/>
        <v>居住社区成熟度</v>
      </c>
      <c r="R15" s="1385" t="s">
        <v>8</v>
      </c>
      <c r="S15" s="1386">
        <f t="shared" si="0"/>
        <v>100</v>
      </c>
      <c r="T15" s="1385" t="s">
        <v>8</v>
      </c>
      <c r="U15" s="1386">
        <f t="shared" si="1"/>
        <v>100</v>
      </c>
      <c r="V15" s="1385" t="s">
        <v>8</v>
      </c>
      <c r="W15" s="1386">
        <f t="shared" si="2"/>
        <v>97</v>
      </c>
      <c r="X15" s="1379"/>
      <c r="Y15" s="3881" t="s">
        <v>489</v>
      </c>
      <c r="Z15" s="1387" t="str">
        <f t="shared" si="7"/>
        <v>居住社区成熟度</v>
      </c>
      <c r="AA15" s="1388">
        <f t="shared" si="3"/>
        <v>1</v>
      </c>
      <c r="AB15" s="1388">
        <f t="shared" si="4"/>
        <v>1</v>
      </c>
      <c r="AC15" s="1388">
        <f t="shared" si="5"/>
        <v>1.0309278350515463</v>
      </c>
    </row>
    <row r="16" spans="1:29" ht="15">
      <c r="A16" s="502"/>
      <c r="B16" s="832"/>
      <c r="C16" s="546" t="s">
        <v>3404</v>
      </c>
      <c r="D16" s="525"/>
      <c r="E16" s="546" t="s">
        <v>3404</v>
      </c>
      <c r="F16" s="527"/>
      <c r="G16" s="546" t="s">
        <v>3404</v>
      </c>
      <c r="H16" s="529"/>
      <c r="I16" s="526" t="s">
        <v>3407</v>
      </c>
      <c r="J16" s="525"/>
      <c r="K16" s="833"/>
      <c r="L16" s="1864"/>
      <c r="M16" s="1856"/>
      <c r="N16" s="1856"/>
      <c r="O16" s="1863"/>
      <c r="P16" s="3882"/>
      <c r="Q16" s="1384"/>
      <c r="R16" s="1385"/>
      <c r="S16" s="1386"/>
      <c r="T16" s="1385"/>
      <c r="U16" s="1386"/>
      <c r="V16" s="1385"/>
      <c r="W16" s="1386"/>
      <c r="X16" s="1379"/>
      <c r="Y16" s="3882"/>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v>3</v>
      </c>
      <c r="L17" s="1864"/>
      <c r="M17" s="1856"/>
      <c r="N17" s="1856"/>
      <c r="O17" s="1863"/>
      <c r="P17" s="3882"/>
      <c r="Q17" s="1384" t="str">
        <f>B17</f>
        <v>交通便捷度</v>
      </c>
      <c r="R17" s="1385" t="s">
        <v>8</v>
      </c>
      <c r="S17" s="1386">
        <f>F17</f>
        <v>100</v>
      </c>
      <c r="T17" s="1385" t="s">
        <v>8</v>
      </c>
      <c r="U17" s="1386">
        <f>H17</f>
        <v>100</v>
      </c>
      <c r="V17" s="1385" t="s">
        <v>8</v>
      </c>
      <c r="W17" s="1386">
        <f>J17</f>
        <v>100</v>
      </c>
      <c r="X17" s="1379"/>
      <c r="Y17" s="3882"/>
      <c r="Z17" s="1387" t="str">
        <f>Q17</f>
        <v>交通便捷度</v>
      </c>
      <c r="AA17" s="1388">
        <f t="shared" si="3"/>
        <v>1</v>
      </c>
      <c r="AB17" s="1388">
        <f t="shared" si="4"/>
        <v>1</v>
      </c>
      <c r="AC17" s="1388">
        <f t="shared" si="5"/>
        <v>1</v>
      </c>
    </row>
    <row r="18" spans="1:29" ht="15">
      <c r="A18" s="502"/>
      <c r="B18" s="565"/>
      <c r="C18" s="836" t="s">
        <v>3404</v>
      </c>
      <c r="D18" s="529"/>
      <c r="E18" s="836" t="s">
        <v>3404</v>
      </c>
      <c r="F18" s="533"/>
      <c r="G18" s="836" t="s">
        <v>3404</v>
      </c>
      <c r="H18" s="525"/>
      <c r="I18" s="836" t="s">
        <v>3404</v>
      </c>
      <c r="J18" s="525"/>
      <c r="K18" s="833"/>
      <c r="L18" s="1864"/>
      <c r="M18" s="1856"/>
      <c r="N18" s="1856"/>
      <c r="O18" s="1863"/>
      <c r="P18" s="3882"/>
      <c r="Q18" s="1384"/>
      <c r="R18" s="1385"/>
      <c r="S18" s="1386"/>
      <c r="T18" s="1385"/>
      <c r="U18" s="1386"/>
      <c r="V18" s="1385"/>
      <c r="W18" s="1386"/>
      <c r="X18" s="1379"/>
      <c r="Y18" s="3882"/>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98</v>
      </c>
      <c r="G19" s="542"/>
      <c r="H19" s="529">
        <f>SUMIF(80:80,G20,81:81)-SUMIF(80:80,C20,81:81)+100</f>
        <v>100</v>
      </c>
      <c r="I19" s="540"/>
      <c r="J19" s="529">
        <f>SUMIF(80:80,I20,81:81)-SUMIF(80:80,C20,81:81)+100</f>
        <v>98</v>
      </c>
      <c r="K19" s="831">
        <v>2</v>
      </c>
      <c r="L19" s="1864"/>
      <c r="M19" s="1856"/>
      <c r="N19" s="1856"/>
      <c r="O19" s="1863"/>
      <c r="P19" s="3882"/>
      <c r="Q19" s="1384" t="str">
        <f>B19</f>
        <v>公共配套设施</v>
      </c>
      <c r="R19" s="1385" t="s">
        <v>8</v>
      </c>
      <c r="S19" s="1386">
        <f>F19</f>
        <v>98</v>
      </c>
      <c r="T19" s="1385" t="s">
        <v>8</v>
      </c>
      <c r="U19" s="1386">
        <f>H19</f>
        <v>100</v>
      </c>
      <c r="V19" s="1385" t="s">
        <v>8</v>
      </c>
      <c r="W19" s="1386">
        <f>J19</f>
        <v>98</v>
      </c>
      <c r="X19" s="1379"/>
      <c r="Y19" s="3882"/>
      <c r="Z19" s="1387" t="str">
        <f>Q19</f>
        <v>公共配套设施</v>
      </c>
      <c r="AA19" s="1388">
        <f t="shared" si="3"/>
        <v>1.0204081632653061</v>
      </c>
      <c r="AB19" s="1388">
        <f t="shared" si="4"/>
        <v>1</v>
      </c>
      <c r="AC19" s="1388">
        <f t="shared" si="5"/>
        <v>1.0204081632653061</v>
      </c>
    </row>
    <row r="20" spans="1:29" ht="15">
      <c r="A20" s="502"/>
      <c r="B20" s="565"/>
      <c r="C20" s="546" t="s">
        <v>3404</v>
      </c>
      <c r="D20" s="525"/>
      <c r="E20" s="526" t="s">
        <v>3407</v>
      </c>
      <c r="F20" s="527"/>
      <c r="G20" s="528" t="s">
        <v>3404</v>
      </c>
      <c r="H20" s="525"/>
      <c r="I20" s="526" t="s">
        <v>3407</v>
      </c>
      <c r="J20" s="525"/>
      <c r="K20" s="833"/>
      <c r="L20" s="1864"/>
      <c r="M20" s="1856"/>
      <c r="N20" s="1856"/>
      <c r="O20" s="1863"/>
      <c r="P20" s="3882"/>
      <c r="Q20" s="1384"/>
      <c r="R20" s="1385"/>
      <c r="S20" s="1386"/>
      <c r="T20" s="1385"/>
      <c r="U20" s="1386"/>
      <c r="V20" s="1385"/>
      <c r="W20" s="1386"/>
      <c r="X20" s="1379"/>
      <c r="Y20" s="3882"/>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4"/>
      <c r="M21" s="1856"/>
      <c r="N21" s="1856"/>
      <c r="O21" s="1863"/>
      <c r="P21" s="3882"/>
      <c r="Q21" s="2192" t="str">
        <f>B21</f>
        <v>基础设施水平</v>
      </c>
      <c r="R21" s="1385" t="s">
        <v>8</v>
      </c>
      <c r="S21" s="1386">
        <f>F21</f>
        <v>100</v>
      </c>
      <c r="T21" s="1385" t="s">
        <v>8</v>
      </c>
      <c r="U21" s="1386">
        <f>H21</f>
        <v>100</v>
      </c>
      <c r="V21" s="1385" t="s">
        <v>8</v>
      </c>
      <c r="W21" s="1386">
        <f>J21</f>
        <v>100</v>
      </c>
      <c r="X21" s="2194"/>
      <c r="Y21" s="3882"/>
      <c r="Z21" s="2193" t="str">
        <f>Q21</f>
        <v>基础设施水平</v>
      </c>
      <c r="AA21" s="1388">
        <f>D21/F21</f>
        <v>1</v>
      </c>
      <c r="AB21" s="1388">
        <f>D21/H21</f>
        <v>1</v>
      </c>
      <c r="AC21" s="1388">
        <f>D21/J21</f>
        <v>1</v>
      </c>
    </row>
    <row r="22" spans="1:29" ht="15">
      <c r="A22" s="502"/>
      <c r="B22" s="884"/>
      <c r="C22" s="836" t="s">
        <v>3399</v>
      </c>
      <c r="D22" s="525"/>
      <c r="E22" s="836" t="s">
        <v>3399</v>
      </c>
      <c r="F22" s="527"/>
      <c r="G22" s="836" t="s">
        <v>3399</v>
      </c>
      <c r="H22" s="525"/>
      <c r="I22" s="836" t="s">
        <v>3399</v>
      </c>
      <c r="J22" s="525"/>
      <c r="K22" s="2206"/>
      <c r="L22" s="1864"/>
      <c r="M22" s="1856"/>
      <c r="N22" s="1856"/>
      <c r="O22" s="1863"/>
      <c r="P22" s="3882"/>
      <c r="Q22" s="2192"/>
      <c r="R22" s="1385"/>
      <c r="S22" s="1386"/>
      <c r="T22" s="1385"/>
      <c r="U22" s="1386"/>
      <c r="V22" s="1385"/>
      <c r="W22" s="1386"/>
      <c r="X22" s="2194"/>
      <c r="Y22" s="3882"/>
      <c r="Z22" s="2193"/>
      <c r="AA22" s="1388">
        <v>1</v>
      </c>
      <c r="AB22" s="1388">
        <v>1</v>
      </c>
      <c r="AC22" s="1388">
        <v>1</v>
      </c>
    </row>
    <row r="23" spans="1:29" ht="57">
      <c r="A23" s="502"/>
      <c r="B23" s="834" t="s">
        <v>263</v>
      </c>
      <c r="C23" s="835" t="str">
        <f>估价对象房地状况!C9</f>
        <v>区域自然环境：；人文环境；综合评价环境状况一般</v>
      </c>
      <c r="D23" s="529">
        <v>100</v>
      </c>
      <c r="E23" s="532"/>
      <c r="F23" s="533">
        <f>SUMIF(84:84,E24,85:85)-SUMIF(84:84,C24,85:85)+100</f>
        <v>98</v>
      </c>
      <c r="G23" s="534"/>
      <c r="H23" s="529">
        <f>SUMIF(84:84,G24,85:85)-SUMIF(84:84,C24,85:85)+100</f>
        <v>98</v>
      </c>
      <c r="I23" s="532"/>
      <c r="J23" s="529">
        <f>SUMIF(84:84,I24,85:85)-SUMIF(84:84,C24,85:85)+100</f>
        <v>98</v>
      </c>
      <c r="K23" s="831">
        <v>2</v>
      </c>
      <c r="L23" s="1864"/>
      <c r="M23" s="1856"/>
      <c r="N23" s="1856"/>
      <c r="O23" s="1863"/>
      <c r="P23" s="3882"/>
      <c r="Q23" s="1384" t="str">
        <f>B23</f>
        <v>自然及人文环境</v>
      </c>
      <c r="R23" s="1385" t="s">
        <v>8</v>
      </c>
      <c r="S23" s="1386">
        <f>F23</f>
        <v>98</v>
      </c>
      <c r="T23" s="1385" t="s">
        <v>8</v>
      </c>
      <c r="U23" s="1386">
        <f>H23</f>
        <v>98</v>
      </c>
      <c r="V23" s="1385" t="s">
        <v>8</v>
      </c>
      <c r="W23" s="1386">
        <f>J23</f>
        <v>98</v>
      </c>
      <c r="X23" s="1379"/>
      <c r="Y23" s="3882"/>
      <c r="Z23" s="1387" t="str">
        <f>Q23</f>
        <v>自然及人文环境</v>
      </c>
      <c r="AA23" s="1388">
        <f t="shared" si="3"/>
        <v>1.0204081632653061</v>
      </c>
      <c r="AB23" s="1388">
        <f t="shared" si="4"/>
        <v>1.0204081632653061</v>
      </c>
      <c r="AC23" s="1388">
        <f t="shared" si="5"/>
        <v>1.0204081632653061</v>
      </c>
    </row>
    <row r="24" spans="1:29" ht="15">
      <c r="A24" s="502"/>
      <c r="B24" s="565"/>
      <c r="C24" s="546" t="s">
        <v>3404</v>
      </c>
      <c r="D24" s="525"/>
      <c r="E24" s="526" t="s">
        <v>3407</v>
      </c>
      <c r="F24" s="527"/>
      <c r="G24" s="526" t="s">
        <v>3407</v>
      </c>
      <c r="H24" s="525"/>
      <c r="I24" s="526" t="s">
        <v>3407</v>
      </c>
      <c r="J24" s="525"/>
      <c r="K24" s="833"/>
      <c r="L24" s="1864"/>
      <c r="M24" s="1856"/>
      <c r="N24" s="1856"/>
      <c r="O24" s="1863"/>
      <c r="P24" s="3882"/>
      <c r="Q24" s="1384"/>
      <c r="R24" s="1385"/>
      <c r="S24" s="1386"/>
      <c r="T24" s="1385"/>
      <c r="U24" s="1386"/>
      <c r="V24" s="1385"/>
      <c r="W24" s="1386"/>
      <c r="X24" s="1379"/>
      <c r="Y24" s="3882"/>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82"/>
      <c r="Q25" s="1384" t="str">
        <f t="shared" ref="Q25:Q46" si="8">B25</f>
        <v>楼层-1</v>
      </c>
      <c r="R25" s="1385" t="s">
        <v>8</v>
      </c>
      <c r="S25" s="1386">
        <f>F25</f>
        <v>100</v>
      </c>
      <c r="T25" s="1385" t="s">
        <v>8</v>
      </c>
      <c r="U25" s="1386">
        <f>H25</f>
        <v>100</v>
      </c>
      <c r="V25" s="1385" t="s">
        <v>8</v>
      </c>
      <c r="W25" s="1386">
        <f>J25</f>
        <v>100</v>
      </c>
      <c r="X25" s="1379"/>
      <c r="Y25" s="3882"/>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82"/>
      <c r="Q26" s="1384" t="str">
        <f t="shared" si="8"/>
        <v>朝向</v>
      </c>
      <c r="R26" s="1385" t="s">
        <v>8</v>
      </c>
      <c r="S26" s="1386">
        <f>F26</f>
        <v>100</v>
      </c>
      <c r="T26" s="1385" t="s">
        <v>8</v>
      </c>
      <c r="U26" s="1386">
        <f>H26</f>
        <v>100</v>
      </c>
      <c r="V26" s="1385" t="s">
        <v>8</v>
      </c>
      <c r="W26" s="1386">
        <f>J26</f>
        <v>100</v>
      </c>
      <c r="X26" s="1379"/>
      <c r="Y26" s="3882"/>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82"/>
      <c r="Q27" s="1049" t="str">
        <f t="shared" si="8"/>
        <v>道路级别</v>
      </c>
      <c r="R27" s="1380" t="s">
        <v>8</v>
      </c>
      <c r="S27" s="1381">
        <f>F27</f>
        <v>100</v>
      </c>
      <c r="T27" s="1380" t="s">
        <v>8</v>
      </c>
      <c r="U27" s="1381">
        <f>H27</f>
        <v>100</v>
      </c>
      <c r="V27" s="1380" t="s">
        <v>8</v>
      </c>
      <c r="W27" s="1381">
        <f>J27</f>
        <v>100</v>
      </c>
      <c r="X27" s="1382"/>
      <c r="Y27" s="3882"/>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82"/>
      <c r="Q28" s="1384">
        <f t="shared" si="8"/>
        <v>111</v>
      </c>
      <c r="R28" s="1385" t="s">
        <v>8</v>
      </c>
      <c r="S28" s="1386">
        <f t="shared" ref="S28:S46" si="9">F28</f>
        <v>100</v>
      </c>
      <c r="T28" s="1385" t="s">
        <v>8</v>
      </c>
      <c r="U28" s="1386">
        <f t="shared" ref="U28:U46" si="10">H28</f>
        <v>100</v>
      </c>
      <c r="V28" s="1385" t="s">
        <v>8</v>
      </c>
      <c r="W28" s="1386">
        <f t="shared" ref="W28:W46" si="11">J28</f>
        <v>100</v>
      </c>
      <c r="X28" s="1379"/>
      <c r="Y28" s="3882"/>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82"/>
      <c r="Q29" s="1384">
        <f t="shared" si="8"/>
        <v>111</v>
      </c>
      <c r="R29" s="1385" t="s">
        <v>8</v>
      </c>
      <c r="S29" s="1386">
        <f t="shared" si="9"/>
        <v>100</v>
      </c>
      <c r="T29" s="1385" t="s">
        <v>8</v>
      </c>
      <c r="U29" s="1386">
        <f t="shared" si="10"/>
        <v>100</v>
      </c>
      <c r="V29" s="1385" t="s">
        <v>8</v>
      </c>
      <c r="W29" s="1386">
        <f t="shared" si="11"/>
        <v>100</v>
      </c>
      <c r="X29" s="1379"/>
      <c r="Y29" s="3882"/>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82"/>
      <c r="Q30" s="1384">
        <f t="shared" si="8"/>
        <v>111</v>
      </c>
      <c r="R30" s="1385" t="s">
        <v>8</v>
      </c>
      <c r="S30" s="1386">
        <f t="shared" si="9"/>
        <v>100</v>
      </c>
      <c r="T30" s="1385" t="s">
        <v>8</v>
      </c>
      <c r="U30" s="1386">
        <f t="shared" si="10"/>
        <v>100</v>
      </c>
      <c r="V30" s="1385" t="s">
        <v>8</v>
      </c>
      <c r="W30" s="1386">
        <f t="shared" si="11"/>
        <v>100</v>
      </c>
      <c r="X30" s="1379"/>
      <c r="Y30" s="3882"/>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82"/>
      <c r="Q31" s="1384">
        <f t="shared" si="8"/>
        <v>111</v>
      </c>
      <c r="R31" s="1385" t="s">
        <v>8</v>
      </c>
      <c r="S31" s="1386">
        <f t="shared" si="9"/>
        <v>100</v>
      </c>
      <c r="T31" s="1385" t="s">
        <v>8</v>
      </c>
      <c r="U31" s="1386">
        <f t="shared" si="10"/>
        <v>100</v>
      </c>
      <c r="V31" s="1385" t="s">
        <v>8</v>
      </c>
      <c r="W31" s="1386">
        <f t="shared" si="11"/>
        <v>100</v>
      </c>
      <c r="X31" s="1379"/>
      <c r="Y31" s="3882"/>
      <c r="Z31" s="1387">
        <f t="shared" si="12"/>
        <v>111</v>
      </c>
      <c r="AA31" s="1388">
        <f t="shared" si="3"/>
        <v>1</v>
      </c>
      <c r="AB31" s="1388">
        <f t="shared" si="4"/>
        <v>1</v>
      </c>
      <c r="AC31" s="1388">
        <f t="shared" si="5"/>
        <v>1</v>
      </c>
    </row>
    <row r="32" spans="1:29" ht="15">
      <c r="A32" s="2386" t="s">
        <v>2037</v>
      </c>
      <c r="B32" s="165" t="s">
        <v>672</v>
      </c>
      <c r="C32" s="841" t="s">
        <v>3421</v>
      </c>
      <c r="D32" s="567">
        <v>100</v>
      </c>
      <c r="E32" s="841" t="s">
        <v>3421</v>
      </c>
      <c r="F32" s="545">
        <f>SUMIF(100:100,E32,101:101)-SUMIF(100:100,C32,101:101)+100</f>
        <v>100</v>
      </c>
      <c r="G32" s="841" t="s">
        <v>3421</v>
      </c>
      <c r="H32" s="567">
        <f>SUMIF(100:100,G32,101:101)-SUMIF(100:100,C32,101:101)+100</f>
        <v>100</v>
      </c>
      <c r="I32" s="841" t="s">
        <v>3421</v>
      </c>
      <c r="J32" s="510">
        <f>SUMIF(100:100,I32,101:101)-SUMIF(100:100,C32,101:101)+100</f>
        <v>100</v>
      </c>
      <c r="K32" s="827">
        <v>2</v>
      </c>
      <c r="L32" s="1864"/>
      <c r="M32" s="1856"/>
      <c r="N32" s="1856"/>
      <c r="O32" s="1863"/>
      <c r="P32" s="3883" t="s">
        <v>499</v>
      </c>
      <c r="Q32" s="1384" t="str">
        <f t="shared" si="8"/>
        <v>建筑类型</v>
      </c>
      <c r="R32" s="1385" t="s">
        <v>8</v>
      </c>
      <c r="S32" s="1386">
        <f t="shared" si="9"/>
        <v>100</v>
      </c>
      <c r="T32" s="1385" t="s">
        <v>8</v>
      </c>
      <c r="U32" s="1386">
        <f t="shared" si="10"/>
        <v>100</v>
      </c>
      <c r="V32" s="1385" t="s">
        <v>8</v>
      </c>
      <c r="W32" s="1386">
        <f t="shared" si="11"/>
        <v>100</v>
      </c>
      <c r="X32" s="1379"/>
      <c r="Y32" s="3884"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884"/>
      <c r="Q33" s="1413" t="str">
        <f t="shared" si="8"/>
        <v>项目建筑规模</v>
      </c>
      <c r="R33" s="1389" t="s">
        <v>8</v>
      </c>
      <c r="S33" s="1390">
        <f t="shared" si="9"/>
        <v>100</v>
      </c>
      <c r="T33" s="1389" t="s">
        <v>8</v>
      </c>
      <c r="U33" s="1390">
        <f t="shared" si="10"/>
        <v>100</v>
      </c>
      <c r="V33" s="1389" t="s">
        <v>8</v>
      </c>
      <c r="W33" s="1390">
        <f t="shared" si="11"/>
        <v>100</v>
      </c>
      <c r="X33" s="1391"/>
      <c r="Y33" s="3884"/>
      <c r="Z33" s="1392" t="str">
        <f t="shared" si="12"/>
        <v>项目建筑规模</v>
      </c>
      <c r="AA33" s="1388">
        <f t="shared" si="3"/>
        <v>1</v>
      </c>
      <c r="AB33" s="1388">
        <f t="shared" si="4"/>
        <v>1</v>
      </c>
      <c r="AC33" s="1388">
        <f t="shared" si="5"/>
        <v>1</v>
      </c>
    </row>
    <row r="34" spans="1:29" ht="15">
      <c r="A34" s="564"/>
      <c r="B34" s="497" t="s">
        <v>674</v>
      </c>
      <c r="C34" s="843" t="s">
        <v>3418</v>
      </c>
      <c r="D34" s="510">
        <v>100</v>
      </c>
      <c r="E34" s="843" t="s">
        <v>3418</v>
      </c>
      <c r="F34" s="545">
        <f>SUMIF(105:105,E34,106:106)-SUMIF(105:105,C34,106:106)+100</f>
        <v>100</v>
      </c>
      <c r="G34" s="843" t="s">
        <v>3418</v>
      </c>
      <c r="H34" s="510">
        <f>SUMIF(105:105,G34,106:106)-SUMIF(105:105,C34,106:106)+100</f>
        <v>100</v>
      </c>
      <c r="I34" s="843" t="s">
        <v>3418</v>
      </c>
      <c r="J34" s="510">
        <f>SUMIF(105:105,I34,106:106)-SUMIF(105:105,C34,106:106)+100</f>
        <v>100</v>
      </c>
      <c r="K34" s="827">
        <v>2</v>
      </c>
      <c r="L34" s="1864"/>
      <c r="M34" s="1856"/>
      <c r="N34" s="1856"/>
      <c r="O34" s="1863"/>
      <c r="P34" s="3884"/>
      <c r="Q34" s="1384" t="str">
        <f t="shared" si="8"/>
        <v>建筑结构</v>
      </c>
      <c r="R34" s="1385" t="s">
        <v>8</v>
      </c>
      <c r="S34" s="1386">
        <f t="shared" si="9"/>
        <v>100</v>
      </c>
      <c r="T34" s="1385" t="s">
        <v>8</v>
      </c>
      <c r="U34" s="1386">
        <f t="shared" si="10"/>
        <v>100</v>
      </c>
      <c r="V34" s="1385" t="s">
        <v>8</v>
      </c>
      <c r="W34" s="1386">
        <f t="shared" si="11"/>
        <v>100</v>
      </c>
      <c r="X34" s="1379"/>
      <c r="Y34" s="3884"/>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84"/>
      <c r="Q35" s="1384" t="str">
        <f t="shared" si="8"/>
        <v>建筑品质</v>
      </c>
      <c r="R35" s="1385" t="s">
        <v>8</v>
      </c>
      <c r="S35" s="1386">
        <f t="shared" si="9"/>
        <v>100</v>
      </c>
      <c r="T35" s="1385" t="s">
        <v>8</v>
      </c>
      <c r="U35" s="1386">
        <f t="shared" si="10"/>
        <v>100</v>
      </c>
      <c r="V35" s="1385" t="s">
        <v>8</v>
      </c>
      <c r="W35" s="1386">
        <f t="shared" si="11"/>
        <v>100</v>
      </c>
      <c r="X35" s="1379"/>
      <c r="Y35" s="3884"/>
      <c r="Z35" s="1387" t="str">
        <f t="shared" si="12"/>
        <v>建筑品质</v>
      </c>
      <c r="AA35" s="1388">
        <f t="shared" si="3"/>
        <v>1</v>
      </c>
      <c r="AB35" s="1388">
        <f t="shared" si="4"/>
        <v>1</v>
      </c>
      <c r="AC35" s="1388">
        <f t="shared" si="5"/>
        <v>1</v>
      </c>
    </row>
    <row r="36" spans="1:29" ht="15">
      <c r="A36" s="564"/>
      <c r="B36" s="497" t="s">
        <v>676</v>
      </c>
      <c r="C36" s="569" t="s">
        <v>3424</v>
      </c>
      <c r="D36" s="510">
        <v>100</v>
      </c>
      <c r="E36" s="569" t="s">
        <v>3424</v>
      </c>
      <c r="F36" s="545">
        <f>SUMIF(109:109,E36,110:110)-SUMIF(109:109,C36,110:110)+100</f>
        <v>100</v>
      </c>
      <c r="G36" s="569" t="s">
        <v>3424</v>
      </c>
      <c r="H36" s="510">
        <f>SUMIF(109:109,G36,110:110)-SUMIF(109:109,C36,110:110)+100</f>
        <v>100</v>
      </c>
      <c r="I36" s="569" t="s">
        <v>3424</v>
      </c>
      <c r="J36" s="510">
        <f>SUMIF(109:109,I36,110:110)-SUMIF(109:109,C36,110:110)+100</f>
        <v>100</v>
      </c>
      <c r="K36" s="827">
        <v>2</v>
      </c>
      <c r="L36" s="1864"/>
      <c r="M36" s="1856"/>
      <c r="N36" s="1856"/>
      <c r="O36" s="1863"/>
      <c r="P36" s="3884"/>
      <c r="Q36" s="1384" t="str">
        <f t="shared" si="8"/>
        <v>公共部分装修</v>
      </c>
      <c r="R36" s="1385" t="s">
        <v>8</v>
      </c>
      <c r="S36" s="1386">
        <f t="shared" si="9"/>
        <v>100</v>
      </c>
      <c r="T36" s="1385" t="s">
        <v>8</v>
      </c>
      <c r="U36" s="1386">
        <f t="shared" si="10"/>
        <v>100</v>
      </c>
      <c r="V36" s="1385" t="s">
        <v>8</v>
      </c>
      <c r="W36" s="1386">
        <f t="shared" si="11"/>
        <v>100</v>
      </c>
      <c r="X36" s="1379"/>
      <c r="Y36" s="3884"/>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6">
        <v>1</v>
      </c>
      <c r="F37" s="826">
        <f>LOOKUP(E37,112:112,113:113)-LOOKUP(C37,112:112,113:113)+100</f>
        <v>100</v>
      </c>
      <c r="G37" s="847">
        <v>1</v>
      </c>
      <c r="H37" s="246">
        <f>LOOKUP(G37,112:112,113:113)-LOOKUP(C37,112:112,113:113)+100</f>
        <v>100</v>
      </c>
      <c r="I37" s="846">
        <v>1</v>
      </c>
      <c r="J37" s="246">
        <f>LOOKUP(I37,112:112,113:113)-LOOKUP(C37,112:112,113:113)+100</f>
        <v>100</v>
      </c>
      <c r="K37" s="827">
        <v>2</v>
      </c>
      <c r="L37" s="1857"/>
      <c r="M37" s="1858"/>
      <c r="N37" s="1858"/>
      <c r="O37" s="1859"/>
      <c r="P37" s="3884"/>
      <c r="Q37" s="1049" t="str">
        <f t="shared" si="8"/>
        <v>成新度</v>
      </c>
      <c r="R37" s="1380" t="s">
        <v>8</v>
      </c>
      <c r="S37" s="1381">
        <f t="shared" si="9"/>
        <v>100</v>
      </c>
      <c r="T37" s="1380" t="s">
        <v>8</v>
      </c>
      <c r="U37" s="1381">
        <f t="shared" si="10"/>
        <v>100</v>
      </c>
      <c r="V37" s="1380" t="s">
        <v>8</v>
      </c>
      <c r="W37" s="1381">
        <f t="shared" si="11"/>
        <v>100</v>
      </c>
      <c r="X37" s="1382"/>
      <c r="Y37" s="3884"/>
      <c r="Z37" s="1048" t="str">
        <f t="shared" si="12"/>
        <v>成新度</v>
      </c>
      <c r="AA37" s="1383">
        <f t="shared" si="3"/>
        <v>1</v>
      </c>
      <c r="AB37" s="1383">
        <f t="shared" si="4"/>
        <v>1</v>
      </c>
      <c r="AC37" s="1383">
        <f t="shared" si="5"/>
        <v>1</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84" t="s">
        <v>499</v>
      </c>
      <c r="Q38" s="1384" t="str">
        <f t="shared" si="8"/>
        <v>物业管理</v>
      </c>
      <c r="R38" s="1385" t="s">
        <v>8</v>
      </c>
      <c r="S38" s="1386">
        <f t="shared" si="9"/>
        <v>100</v>
      </c>
      <c r="T38" s="1385" t="s">
        <v>8</v>
      </c>
      <c r="U38" s="1386">
        <f t="shared" si="10"/>
        <v>100</v>
      </c>
      <c r="V38" s="1385" t="s">
        <v>8</v>
      </c>
      <c r="W38" s="1386">
        <f t="shared" si="11"/>
        <v>100</v>
      </c>
      <c r="X38" s="1379"/>
      <c r="Y38" s="3884" t="s">
        <v>499</v>
      </c>
      <c r="Z38" s="1387" t="str">
        <f t="shared" si="12"/>
        <v>物业管理</v>
      </c>
      <c r="AA38" s="1388">
        <f t="shared" si="3"/>
        <v>1</v>
      </c>
      <c r="AB38" s="1388">
        <f t="shared" si="4"/>
        <v>1</v>
      </c>
      <c r="AC38" s="1388">
        <f t="shared" si="5"/>
        <v>1</v>
      </c>
    </row>
    <row r="39" spans="1:29" ht="15">
      <c r="A39" s="564"/>
      <c r="B39" s="1650" t="s">
        <v>1847</v>
      </c>
      <c r="C39" s="569" t="s">
        <v>3399</v>
      </c>
      <c r="D39" s="510">
        <v>100</v>
      </c>
      <c r="E39" s="569" t="s">
        <v>3399</v>
      </c>
      <c r="F39" s="545">
        <f>SUMIF(116:116,E39,117:117)-SUMIF(116:116,C39,117:117)+100</f>
        <v>100</v>
      </c>
      <c r="G39" s="569" t="s">
        <v>3399</v>
      </c>
      <c r="H39" s="510">
        <f>SUMIF(116:116,G39,117:117)-SUMIF(116:116,C39,117:117)+100</f>
        <v>100</v>
      </c>
      <c r="I39" s="569" t="s">
        <v>3399</v>
      </c>
      <c r="J39" s="510">
        <f>SUMIF(116:116,I39,117:117)-SUMIF(116:116,C39,117:117)+100</f>
        <v>100</v>
      </c>
      <c r="K39" s="827">
        <v>1</v>
      </c>
      <c r="L39" s="1864"/>
      <c r="M39" s="1856"/>
      <c r="N39" s="1856"/>
      <c r="O39" s="1863"/>
      <c r="P39" s="3884"/>
      <c r="Q39" s="1384" t="str">
        <f t="shared" si="8"/>
        <v>市政基础设施</v>
      </c>
      <c r="R39" s="1385" t="s">
        <v>8</v>
      </c>
      <c r="S39" s="1386">
        <f t="shared" si="9"/>
        <v>100</v>
      </c>
      <c r="T39" s="1385" t="s">
        <v>8</v>
      </c>
      <c r="U39" s="1386">
        <f t="shared" si="10"/>
        <v>100</v>
      </c>
      <c r="V39" s="1385" t="s">
        <v>8</v>
      </c>
      <c r="W39" s="1386">
        <f t="shared" si="11"/>
        <v>100</v>
      </c>
      <c r="X39" s="1379"/>
      <c r="Y39" s="3884"/>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84"/>
      <c r="Q40" s="1384" t="str">
        <f t="shared" si="8"/>
        <v>房型</v>
      </c>
      <c r="R40" s="1385" t="s">
        <v>8</v>
      </c>
      <c r="S40" s="1386">
        <f t="shared" si="9"/>
        <v>100</v>
      </c>
      <c r="T40" s="1385" t="s">
        <v>8</v>
      </c>
      <c r="U40" s="1386">
        <f t="shared" si="10"/>
        <v>100</v>
      </c>
      <c r="V40" s="1385" t="s">
        <v>8</v>
      </c>
      <c r="W40" s="1386">
        <f t="shared" si="11"/>
        <v>100</v>
      </c>
      <c r="X40" s="1379"/>
      <c r="Y40" s="3884"/>
      <c r="Z40" s="1387" t="str">
        <f t="shared" si="12"/>
        <v>房型</v>
      </c>
      <c r="AA40" s="1388">
        <f t="shared" si="3"/>
        <v>1</v>
      </c>
      <c r="AB40" s="1388">
        <f t="shared" si="4"/>
        <v>1</v>
      </c>
      <c r="AC40" s="1388">
        <f t="shared" si="5"/>
        <v>1</v>
      </c>
    </row>
    <row r="41" spans="1:29" s="1199" customFormat="1" ht="28.5">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84"/>
      <c r="Q41" s="1413" t="str">
        <f t="shared" si="8"/>
        <v>单套/主力户型建筑面积</v>
      </c>
      <c r="R41" s="1389" t="s">
        <v>8</v>
      </c>
      <c r="S41" s="1390">
        <f t="shared" si="9"/>
        <v>100</v>
      </c>
      <c r="T41" s="1389" t="s">
        <v>8</v>
      </c>
      <c r="U41" s="1390">
        <f t="shared" si="10"/>
        <v>100</v>
      </c>
      <c r="V41" s="1389" t="s">
        <v>8</v>
      </c>
      <c r="W41" s="1390">
        <f t="shared" si="11"/>
        <v>100</v>
      </c>
      <c r="X41" s="1391"/>
      <c r="Y41" s="3884"/>
      <c r="Z41" s="1392" t="str">
        <f t="shared" si="12"/>
        <v>单套/主力户型建筑面积</v>
      </c>
      <c r="AA41" s="1388">
        <f t="shared" si="3"/>
        <v>1</v>
      </c>
      <c r="AB41" s="1388">
        <f t="shared" si="4"/>
        <v>1</v>
      </c>
      <c r="AC41" s="1388">
        <f t="shared" si="5"/>
        <v>1</v>
      </c>
    </row>
    <row r="42" spans="1:29" ht="15">
      <c r="A42" s="564"/>
      <c r="B42" s="497" t="s">
        <v>681</v>
      </c>
      <c r="C42" s="569" t="s">
        <v>3424</v>
      </c>
      <c r="D42" s="510">
        <v>100</v>
      </c>
      <c r="E42" s="569" t="s">
        <v>3424</v>
      </c>
      <c r="F42" s="545">
        <f>SUMIF(122:122,E42,123:123)-SUMIF(122:122,C42,123:123)+100</f>
        <v>100</v>
      </c>
      <c r="G42" s="569" t="s">
        <v>3424</v>
      </c>
      <c r="H42" s="510">
        <f>SUMIF(122:122,G42,123:123)-SUMIF(122:122,C42,123:123)+100</f>
        <v>100</v>
      </c>
      <c r="I42" s="569" t="s">
        <v>3424</v>
      </c>
      <c r="J42" s="510">
        <f>SUMIF(122:122,I42,123:123)-SUMIF(122:122,C42,123:123)+100</f>
        <v>100</v>
      </c>
      <c r="K42" s="827"/>
      <c r="L42" s="1864"/>
      <c r="M42" s="1856"/>
      <c r="N42" s="1856"/>
      <c r="O42" s="1863"/>
      <c r="P42" s="3884"/>
      <c r="Q42" s="1384" t="str">
        <f t="shared" si="8"/>
        <v>内部装修</v>
      </c>
      <c r="R42" s="1385" t="s">
        <v>8</v>
      </c>
      <c r="S42" s="1386">
        <f t="shared" si="9"/>
        <v>100</v>
      </c>
      <c r="T42" s="1385" t="s">
        <v>8</v>
      </c>
      <c r="U42" s="1386">
        <f t="shared" si="10"/>
        <v>100</v>
      </c>
      <c r="V42" s="1385" t="s">
        <v>8</v>
      </c>
      <c r="W42" s="1386">
        <f t="shared" si="11"/>
        <v>100</v>
      </c>
      <c r="X42" s="1379"/>
      <c r="Y42" s="3884"/>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84"/>
      <c r="Q43" s="1384" t="str">
        <f t="shared" si="8"/>
        <v>内部装修维护情况</v>
      </c>
      <c r="R43" s="1385" t="s">
        <v>8</v>
      </c>
      <c r="S43" s="1386">
        <f t="shared" si="9"/>
        <v>100</v>
      </c>
      <c r="T43" s="1385" t="s">
        <v>8</v>
      </c>
      <c r="U43" s="1386">
        <f t="shared" si="10"/>
        <v>100</v>
      </c>
      <c r="V43" s="1385" t="s">
        <v>8</v>
      </c>
      <c r="W43" s="1386">
        <f t="shared" si="11"/>
        <v>100</v>
      </c>
      <c r="X43" s="1379"/>
      <c r="Y43" s="3884"/>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884"/>
      <c r="Q44" s="1049">
        <f t="shared" si="8"/>
        <v>111</v>
      </c>
      <c r="R44" s="1380" t="s">
        <v>8</v>
      </c>
      <c r="S44" s="1381">
        <f t="shared" si="9"/>
        <v>100</v>
      </c>
      <c r="T44" s="1380" t="s">
        <v>8</v>
      </c>
      <c r="U44" s="1381">
        <f t="shared" si="10"/>
        <v>100</v>
      </c>
      <c r="V44" s="1380" t="s">
        <v>8</v>
      </c>
      <c r="W44" s="1381">
        <f t="shared" si="11"/>
        <v>100</v>
      </c>
      <c r="X44" s="1382"/>
      <c r="Y44" s="3884"/>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84"/>
      <c r="Q45" s="1384">
        <f t="shared" si="8"/>
        <v>111</v>
      </c>
      <c r="R45" s="1385" t="s">
        <v>8</v>
      </c>
      <c r="S45" s="1386">
        <f t="shared" si="9"/>
        <v>100</v>
      </c>
      <c r="T45" s="1385" t="s">
        <v>8</v>
      </c>
      <c r="U45" s="1386">
        <f t="shared" si="10"/>
        <v>100</v>
      </c>
      <c r="V45" s="1385" t="s">
        <v>8</v>
      </c>
      <c r="W45" s="1386">
        <f t="shared" si="11"/>
        <v>100</v>
      </c>
      <c r="X45" s="1379"/>
      <c r="Y45" s="3884"/>
      <c r="Z45" s="1387">
        <f t="shared" si="12"/>
        <v>111</v>
      </c>
      <c r="AA45" s="1388">
        <f t="shared" si="3"/>
        <v>1</v>
      </c>
      <c r="AB45" s="1388">
        <f t="shared" si="4"/>
        <v>1</v>
      </c>
      <c r="AC45" s="1388">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77"/>
      <c r="Q46" s="1384">
        <f t="shared" si="8"/>
        <v>111</v>
      </c>
      <c r="R46" s="1385" t="s">
        <v>7</v>
      </c>
      <c r="S46" s="1386">
        <f t="shared" si="9"/>
        <v>100</v>
      </c>
      <c r="T46" s="1385" t="s">
        <v>7</v>
      </c>
      <c r="U46" s="1386">
        <f t="shared" si="10"/>
        <v>100</v>
      </c>
      <c r="V46" s="1385" t="s">
        <v>7</v>
      </c>
      <c r="W46" s="1386">
        <f t="shared" si="11"/>
        <v>100</v>
      </c>
      <c r="X46" s="1379"/>
      <c r="Y46" s="3977"/>
      <c r="Z46" s="1387">
        <f t="shared" si="12"/>
        <v>111</v>
      </c>
      <c r="AA46" s="1388">
        <f t="shared" si="3"/>
        <v>1</v>
      </c>
      <c r="AB46" s="1388">
        <f t="shared" si="4"/>
        <v>1</v>
      </c>
      <c r="AC46" s="1388">
        <f t="shared" si="5"/>
        <v>1</v>
      </c>
    </row>
    <row r="47" spans="1:29" ht="15">
      <c r="A47" s="577" t="s">
        <v>683</v>
      </c>
      <c r="B47" s="849"/>
      <c r="C47" s="2233" t="s">
        <v>6</v>
      </c>
      <c r="D47" s="2234"/>
      <c r="E47" s="2235">
        <v>38951</v>
      </c>
      <c r="F47" s="2236"/>
      <c r="G47" s="2237">
        <v>38344</v>
      </c>
      <c r="H47" s="2238"/>
      <c r="I47" s="2235">
        <v>38184</v>
      </c>
      <c r="J47" s="2238"/>
      <c r="K47" s="1414"/>
      <c r="L47" s="1866"/>
      <c r="M47" s="1867"/>
      <c r="N47" s="1856"/>
      <c r="O47" s="1867"/>
      <c r="P47" s="3879" t="str">
        <f>A47</f>
        <v>成交单价（元/平方米）</v>
      </c>
      <c r="Q47" s="3879"/>
      <c r="R47" s="3976">
        <f>E47</f>
        <v>38951</v>
      </c>
      <c r="S47" s="3976"/>
      <c r="T47" s="3976">
        <f>G47</f>
        <v>38344</v>
      </c>
      <c r="U47" s="3976"/>
      <c r="V47" s="3976">
        <f>I47</f>
        <v>38184</v>
      </c>
      <c r="W47" s="3976"/>
      <c r="X47" s="1374"/>
      <c r="Y47" s="1393"/>
      <c r="Z47" s="1374"/>
      <c r="AA47" s="1374"/>
      <c r="AB47" s="1374"/>
      <c r="AC47" s="1374"/>
    </row>
    <row r="48" spans="1:29" ht="15.75" thickBot="1">
      <c r="A48" s="585" t="s">
        <v>2042</v>
      </c>
      <c r="B48" s="850"/>
      <c r="C48" s="2239">
        <f>R49</f>
        <v>40500</v>
      </c>
      <c r="D48" s="2755" t="s">
        <v>2261</v>
      </c>
      <c r="E48" s="2240">
        <f>R48</f>
        <v>41385</v>
      </c>
      <c r="F48" s="2756"/>
      <c r="G48" s="2239">
        <f>T48</f>
        <v>39127</v>
      </c>
      <c r="H48" s="2756"/>
      <c r="I48" s="2240">
        <f>V48</f>
        <v>40988</v>
      </c>
      <c r="J48" s="2756"/>
      <c r="K48" s="2764">
        <f>F48+H48+J48</f>
        <v>0</v>
      </c>
      <c r="L48" s="1866"/>
      <c r="M48" s="1867"/>
      <c r="N48" s="1867"/>
      <c r="O48" s="1867"/>
      <c r="P48" s="3879" t="str">
        <f>A48</f>
        <v>比较价格（元/平方米）</v>
      </c>
      <c r="Q48" s="3879"/>
      <c r="R48" s="3976">
        <f>IF(F1="售价",ROUND(PRODUCT(R47,AA7:AA46),0),ROUND(PRODUCT(R47,AA7:AA46),1))</f>
        <v>41385</v>
      </c>
      <c r="S48" s="3976"/>
      <c r="T48" s="3976">
        <f>IF(F1="售价",ROUND(PRODUCT(T47,AB7:AB46),0),ROUND(PRODUCT(T47,AB7:AB46),1))</f>
        <v>39127</v>
      </c>
      <c r="U48" s="3976"/>
      <c r="V48" s="3976">
        <f>IF(F1="售价",ROUND(PRODUCT(V47,AC7:AC46),0),ROUND(PRODUCT(V47,AC7:AC46),1))</f>
        <v>40988</v>
      </c>
      <c r="W48" s="3976"/>
      <c r="X48" s="1374"/>
      <c r="Y48" s="1374"/>
      <c r="Z48" s="1374"/>
      <c r="AA48" s="1374"/>
      <c r="AB48" s="1374"/>
      <c r="AC48" s="1374"/>
    </row>
    <row r="49" spans="1:29" ht="15.75" thickBot="1">
      <c r="A49" s="589" t="s">
        <v>2198</v>
      </c>
      <c r="B49" s="590"/>
      <c r="C49" s="2241">
        <f>R49</f>
        <v>40500</v>
      </c>
      <c r="D49" s="2241"/>
      <c r="E49" s="2241"/>
      <c r="F49" s="2241"/>
      <c r="G49" s="2241"/>
      <c r="H49" s="2241"/>
      <c r="I49" s="2241"/>
      <c r="J49" s="2241"/>
      <c r="K49" s="1415"/>
      <c r="L49" s="1866"/>
      <c r="M49" s="1867"/>
      <c r="N49" s="1867"/>
      <c r="O49" s="1867"/>
      <c r="P49" s="3885" t="str">
        <f>A49</f>
        <v>估价对象XX用房的比较价格（楼面单价，元/平方米）</v>
      </c>
      <c r="Q49" s="3886"/>
      <c r="R49" s="3975">
        <f>IF(F1="售价",ROUND(IF(D48="简单平均",AVERAGE(R48:V48),R48*F48+T48*H48+V48*J48),0),ROUND(IF(D48="简单平均",AVERAGE(R48:V48),R48*F48+T48*H48+V48*J48),1))</f>
        <v>40500</v>
      </c>
      <c r="S49" s="3975"/>
      <c r="T49" s="3975"/>
      <c r="U49" s="3975"/>
      <c r="V49" s="3975"/>
      <c r="W49" s="3975"/>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6.2488767939205658E-2</v>
      </c>
      <c r="F52" s="595" t="str">
        <f>IF(OR(E52&gt;=0.3,E52&lt;=-0.3),"超过30%","")</f>
        <v/>
      </c>
      <c r="G52" s="594">
        <f>IF(G47&lt;G48,G48/G47-1,G47/G48-1)</f>
        <v>2.0420404756937183E-2</v>
      </c>
      <c r="H52" s="595" t="str">
        <f>IF(OR(G52&gt;=0.3,G52&lt;=-0.3),"超过30%","")</f>
        <v/>
      </c>
      <c r="I52" s="594">
        <f>IF(I47&lt;I48,I48/I47-1,I47/I48-1)</f>
        <v>7.3433899015294291E-2</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5.7709510056993985E-2</v>
      </c>
      <c r="F53" s="595" t="str">
        <f>IF(OR(E53&gt;=0.2,E53&lt;=-0.2),"超过20%","")</f>
        <v/>
      </c>
      <c r="G53" s="594">
        <f>IF(G48&lt;I48,I48/G48-1,G48/I48-1)</f>
        <v>4.7563063868939714E-2</v>
      </c>
      <c r="H53" s="595" t="str">
        <f>IF(OR(G53&gt;=0.2,G53&lt;=-0.2),"超过20%","")</f>
        <v/>
      </c>
      <c r="I53" s="594">
        <f>IF(I48&lt;E48,E48/I48-1,I48/E48-1)</f>
        <v>9.6857616863472717E-3</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1.5830377634049597E-2</v>
      </c>
      <c r="F54" s="595" t="str">
        <f>IF(OR(E54&gt;=0.3,E54&lt;=-0.3),"超过30%","")</f>
        <v/>
      </c>
      <c r="G54" s="594">
        <f>IF(G47&lt;I47,I47/G47-1,G47/I47-1)</f>
        <v>4.1902367483763747E-3</v>
      </c>
      <c r="H54" s="595" t="str">
        <f>IF(OR(G54&gt;=0.3,G54&lt;=-0.3),"超过30%","")</f>
        <v/>
      </c>
      <c r="I54" s="594">
        <f>IF(I47&lt;E47,E47/I47-1,I47/E47-1)</f>
        <v>2.00869474125287E-2</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住宅</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0（含）-0.5</v>
      </c>
      <c r="D67" s="650" t="str">
        <f t="shared" ref="D67:L67" si="14">D68&amp;"（含）"&amp;"-"&amp;E68</f>
        <v>0.5（含）-1</v>
      </c>
      <c r="E67" s="650" t="str">
        <f t="shared" si="14"/>
        <v>1（含）-1.5</v>
      </c>
      <c r="F67" s="650" t="str">
        <f t="shared" si="14"/>
        <v>1.5（含）-2</v>
      </c>
      <c r="G67" s="650" t="str">
        <f t="shared" si="14"/>
        <v>2（含）-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0.5</v>
      </c>
      <c r="E68" s="511">
        <v>1</v>
      </c>
      <c r="F68" s="511">
        <v>1.5</v>
      </c>
      <c r="G68" s="511">
        <v>2</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97</v>
      </c>
      <c r="E77" s="647">
        <f>D77-$K15</f>
        <v>94</v>
      </c>
      <c r="F77" s="647">
        <f>E77-$K15</f>
        <v>91</v>
      </c>
      <c r="G77" s="647">
        <f>F77-$K15</f>
        <v>88</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97</v>
      </c>
      <c r="E79" s="647">
        <f>D79-$K17</f>
        <v>94</v>
      </c>
      <c r="F79" s="647">
        <f>E79-$K17</f>
        <v>91</v>
      </c>
      <c r="G79" s="647">
        <f>F79-$K17</f>
        <v>88</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98</v>
      </c>
      <c r="E81" s="647">
        <f>D81-$K19</f>
        <v>96</v>
      </c>
      <c r="F81" s="647">
        <f>E81-$K19</f>
        <v>94</v>
      </c>
      <c r="G81" s="647">
        <f>F81-$K19</f>
        <v>92</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1616</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8" t="s">
        <v>3421</v>
      </c>
      <c r="D100" s="3678" t="s">
        <v>3422</v>
      </c>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0(含)-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1" t="s">
        <v>3423</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1" t="s">
        <v>3425</v>
      </c>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102</v>
      </c>
      <c r="E113" s="647">
        <f>D113+$K37</f>
        <v>104</v>
      </c>
      <c r="F113" s="647">
        <f>E113+$K37</f>
        <v>106</v>
      </c>
      <c r="G113" s="647">
        <f>F113+$K37</f>
        <v>108</v>
      </c>
      <c r="H113" s="647">
        <f>G113+$K37</f>
        <v>110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3681" t="s">
        <v>3426</v>
      </c>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3681" t="s">
        <v>3425</v>
      </c>
      <c r="D122" s="3681" t="s">
        <v>3427</v>
      </c>
      <c r="E122" s="3681" t="s">
        <v>3428</v>
      </c>
      <c r="F122" s="3680" t="s">
        <v>3429</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C88" sqref="C88"/>
    </sheetView>
  </sheetViews>
  <sheetFormatPr defaultColWidth="8.875" defaultRowHeight="13.5"/>
  <cols>
    <col min="1" max="16384" width="8.875" style="3686"/>
  </cols>
  <sheetData/>
  <phoneticPr fontId="224"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70" zoomScaleNormal="60" zoomScaleSheetLayoutView="70" workbookViewId="0">
      <selection activeCell="H31" sqref="H3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3259</v>
      </c>
      <c r="D1" s="2551" t="s">
        <v>3416</v>
      </c>
      <c r="E1" s="2078" t="s">
        <v>1728</v>
      </c>
      <c r="F1" s="2079">
        <f ca="1">J53</f>
        <v>37.85</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2032</v>
      </c>
      <c r="C2" s="3004"/>
      <c r="D2" s="3005"/>
      <c r="E2" s="3006"/>
      <c r="F2" s="3006"/>
      <c r="G2" s="3000"/>
      <c r="H2" s="1780"/>
      <c r="I2" s="1780"/>
      <c r="J2" s="1780"/>
      <c r="K2" s="1781"/>
      <c r="L2" s="1780"/>
      <c r="M2" s="1780"/>
    </row>
    <row r="3" spans="1:33" ht="18" customHeight="1" thickBot="1">
      <c r="A3" s="798" t="s">
        <v>1256</v>
      </c>
      <c r="B3" s="799">
        <f ca="1">IF(ISERROR(B2*10000/F43),0,ROUND(B2*10000/F43,0))</f>
        <v>10925</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183</v>
      </c>
      <c r="D5" s="2142" t="s">
        <v>1805</v>
      </c>
      <c r="E5" s="2136"/>
      <c r="F5" s="2137"/>
      <c r="G5" s="1785"/>
      <c r="H5" s="747">
        <v>1</v>
      </c>
      <c r="I5" s="748" t="s">
        <v>1802</v>
      </c>
      <c r="J5" s="53">
        <f ca="1">J6+J10+J12</f>
        <v>0</v>
      </c>
      <c r="K5" s="2142" t="s">
        <v>1805</v>
      </c>
      <c r="L5" s="2136"/>
      <c r="M5" s="2137"/>
    </row>
    <row r="6" spans="1:33" ht="18" customHeight="1">
      <c r="A6" s="1616" t="s">
        <v>1353</v>
      </c>
      <c r="B6" s="3967" t="s">
        <v>1807</v>
      </c>
      <c r="C6" s="749">
        <f ca="1">ROUND(F6*F8*F7*(1-F9)/10000,0)</f>
        <v>183</v>
      </c>
      <c r="D6" s="2143" t="s">
        <v>1806</v>
      </c>
      <c r="E6" s="750" t="s">
        <v>1267</v>
      </c>
      <c r="F6" s="751">
        <f ca="1">INDIRECT("'数据-取费表'!u"&amp;$G$1)</f>
        <v>3</v>
      </c>
      <c r="G6" s="1785"/>
      <c r="H6" s="2150" t="s">
        <v>1812</v>
      </c>
      <c r="I6" s="3967" t="s">
        <v>1807</v>
      </c>
      <c r="J6" s="749">
        <f ca="1">ROUND(M6*M8*M7*(1-M9)/10000,0)</f>
        <v>0</v>
      </c>
      <c r="K6" s="332" t="s">
        <v>1266</v>
      </c>
      <c r="L6" s="750" t="s">
        <v>1267</v>
      </c>
      <c r="M6" s="751">
        <f ca="1">INDIRECT("'数据-取费表'!z"&amp;$G$1)</f>
        <v>0</v>
      </c>
    </row>
    <row r="7" spans="1:33" ht="18" customHeight="1">
      <c r="A7" s="2146"/>
      <c r="B7" s="3968"/>
      <c r="C7" s="754"/>
      <c r="D7" s="755"/>
      <c r="E7" s="750" t="s">
        <v>1268</v>
      </c>
      <c r="F7" s="751">
        <f ca="1">IF(INDIRECT("'数据-取费表'!ah"&amp;$G$1)="",INDIRECT("'数据-取费表'!k"&amp;$G$1),INDIRECT("'数据-取费表'!ah"&amp;$G$1))</f>
        <v>1860</v>
      </c>
      <c r="G7" s="1785"/>
      <c r="H7" s="2135"/>
      <c r="I7" s="3968"/>
      <c r="J7" s="754"/>
      <c r="K7" s="755"/>
      <c r="L7" s="750" t="s">
        <v>1268</v>
      </c>
      <c r="M7" s="751">
        <f ca="1">F7</f>
        <v>1860</v>
      </c>
    </row>
    <row r="8" spans="1:33" ht="18" customHeight="1">
      <c r="A8" s="2139"/>
      <c r="B8" s="3969"/>
      <c r="C8" s="754"/>
      <c r="D8" s="755"/>
      <c r="E8" s="750" t="s">
        <v>1269</v>
      </c>
      <c r="F8" s="751">
        <f ca="1">INDIRECT("'数据-取费表'!ai"&amp;$G$1)</f>
        <v>365</v>
      </c>
      <c r="G8" s="1785"/>
      <c r="H8" s="2135"/>
      <c r="I8" s="3969"/>
      <c r="J8" s="754"/>
      <c r="K8" s="755"/>
      <c r="L8" s="750" t="s">
        <v>1269</v>
      </c>
      <c r="M8" s="751">
        <f ca="1">INDIRECT("'数据-取费表'!ai"&amp;$G$1)</f>
        <v>365</v>
      </c>
    </row>
    <row r="9" spans="1:33" ht="18" customHeight="1">
      <c r="A9" s="752"/>
      <c r="B9" s="3970"/>
      <c r="C9" s="754"/>
      <c r="D9" s="755"/>
      <c r="E9" s="750" t="s">
        <v>1270</v>
      </c>
      <c r="F9" s="760">
        <f ca="1">INDIRECT("'数据-取费表'!w"&amp;$G$1)</f>
        <v>0.1</v>
      </c>
      <c r="G9" s="1785"/>
      <c r="H9" s="2151"/>
      <c r="I9" s="3969"/>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3417</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1125</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781</v>
      </c>
      <c r="D14" s="1733" t="s">
        <v>1274</v>
      </c>
      <c r="E14" s="1734"/>
      <c r="F14" s="771"/>
      <c r="G14" s="1785"/>
      <c r="H14" s="1453" t="s">
        <v>1359</v>
      </c>
      <c r="I14" s="1949" t="s">
        <v>2103</v>
      </c>
      <c r="J14" s="51">
        <f ca="1">C29</f>
        <v>1125</v>
      </c>
      <c r="K14" s="24"/>
      <c r="L14" s="767"/>
      <c r="M14" s="768"/>
    </row>
    <row r="15" spans="1:33" s="1787" customFormat="1" ht="18" customHeight="1" thickBot="1">
      <c r="A15" s="1452" t="s">
        <v>1410</v>
      </c>
      <c r="B15" s="750" t="s">
        <v>595</v>
      </c>
      <c r="C15" s="51">
        <f ca="1">ROUND(C14*F15,0)</f>
        <v>23</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11</v>
      </c>
      <c r="K16" s="1607" t="s">
        <v>1279</v>
      </c>
      <c r="L16" s="2132"/>
      <c r="M16" s="2137"/>
    </row>
    <row r="17" spans="1:33" s="1787" customFormat="1" ht="18" customHeight="1">
      <c r="A17" s="1452" t="s">
        <v>1412</v>
      </c>
      <c r="B17" s="750" t="s">
        <v>601</v>
      </c>
      <c r="C17" s="51">
        <f ca="1">ROUND(F17*(F43+INDIRECT("'数据-取费表'!S"&amp;$G$1))/10000,0)</f>
        <v>39</v>
      </c>
      <c r="D17" s="750" t="s">
        <v>1280</v>
      </c>
      <c r="E17" s="750" t="s">
        <v>1281</v>
      </c>
      <c r="F17" s="54">
        <f>'数据-取费表'!B35</f>
        <v>200</v>
      </c>
      <c r="G17" s="3001"/>
      <c r="H17" s="1453" t="s">
        <v>1359</v>
      </c>
      <c r="I17" s="750" t="s">
        <v>604</v>
      </c>
      <c r="J17" s="2760">
        <f ca="1">ROUND(IF(AND(项目基本情况!B11="自然人",项目基本情况!B10="北京市"),J6*M17/(1+'数据-取费表'!C42),J18+J19+J20),2)</f>
        <v>0.14000000000000001</v>
      </c>
      <c r="K17" s="2131" t="s">
        <v>1282</v>
      </c>
      <c r="L17" s="213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12</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855</v>
      </c>
      <c r="D19" s="252" t="s">
        <v>1286</v>
      </c>
      <c r="E19" s="173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17</v>
      </c>
      <c r="D20" s="777" t="s">
        <v>1288</v>
      </c>
      <c r="E20" s="750" t="s">
        <v>1276</v>
      </c>
      <c r="F20" s="775">
        <f>'数据-取费表'!B37</f>
        <v>0.02</v>
      </c>
      <c r="G20" s="3001"/>
      <c r="H20" s="1455" t="s">
        <v>1405</v>
      </c>
      <c r="I20" s="332" t="s">
        <v>1289</v>
      </c>
      <c r="J20" s="52">
        <f ca="1">ROUND(M20*M21/10000,2)</f>
        <v>0.14000000000000001</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921.55</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11.25</v>
      </c>
      <c r="K22" s="2130" t="s">
        <v>1298</v>
      </c>
      <c r="L22" s="750" t="s">
        <v>1276</v>
      </c>
      <c r="M22" s="782">
        <f ca="1">INDIRECT("'数据-取费表'!Ak"&amp;$G$1)</f>
        <v>0.01</v>
      </c>
    </row>
    <row r="23" spans="1:33" s="1787" customFormat="1" ht="18" customHeight="1">
      <c r="A23" s="1452" t="s">
        <v>1360</v>
      </c>
      <c r="B23" s="750" t="s">
        <v>1818</v>
      </c>
      <c r="C23" s="51">
        <f ca="1">ROUND(IF('数据-取费表'!B22&lt;=1,(C19+C20)*F24*F23/2,(C19+C20)*(POWER((1+F24),F23/2)-1)),0)</f>
        <v>36</v>
      </c>
      <c r="D23" s="2186" t="str">
        <f>IF(F23&lt;=1,"(建造成本+管理费用)×利率×(建设周期÷2)","(建造成本+管理费用)×((1+利率)^(建设周期÷2)-1)")</f>
        <v>(建造成本+管理费用)×((1+利率)^(建设周期÷2)-1)</v>
      </c>
      <c r="E23" s="750" t="s">
        <v>1299</v>
      </c>
      <c r="F23" s="608">
        <f>'数据-取费表'!B20</f>
        <v>2</v>
      </c>
      <c r="G23" s="3001"/>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1.4999999999999999E-2</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-11</v>
      </c>
      <c r="K25" s="2165" t="s">
        <v>1306</v>
      </c>
      <c r="L25" s="2166"/>
      <c r="M25" s="2167"/>
    </row>
    <row r="26" spans="1:33" ht="18" customHeight="1">
      <c r="A26" s="1452" t="s">
        <v>1360</v>
      </c>
      <c r="B26" s="750" t="s">
        <v>1785</v>
      </c>
      <c r="C26" s="51">
        <f ca="1">ROUND((C19+C20)*F26,0)</f>
        <v>131</v>
      </c>
      <c r="D26" s="777" t="s">
        <v>1307</v>
      </c>
      <c r="E26" s="761" t="s">
        <v>1308</v>
      </c>
      <c r="F26" s="760">
        <f ca="1">INDIRECT("'数据-取费表'!q"&amp;$G$1)</f>
        <v>0.15</v>
      </c>
      <c r="G26" s="1785"/>
      <c r="H26" s="2148" t="s">
        <v>1309</v>
      </c>
      <c r="I26" s="1950" t="s">
        <v>2104</v>
      </c>
      <c r="J26" s="749">
        <f ca="1">IF(J5&lt;&gt;0,ROUND(J25*(1-((1+M28)/(1+M26))^M27)/(M26-M28),0),0)</f>
        <v>0</v>
      </c>
      <c r="K26" s="779" t="s">
        <v>1310</v>
      </c>
      <c r="L26" s="750" t="s">
        <v>1773</v>
      </c>
      <c r="M26" s="760">
        <f ca="1">INDIRECT("'数据-取费表'!I"&amp;$G$1)</f>
        <v>0.06</v>
      </c>
    </row>
    <row r="27" spans="1:33" ht="18" customHeight="1">
      <c r="A27" s="1452" t="s">
        <v>1361</v>
      </c>
      <c r="B27" s="750" t="s">
        <v>633</v>
      </c>
      <c r="C27" s="51">
        <f ca="1">ROUND(F21*F26,4)</f>
        <v>3.0000000000000001E-3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1125</v>
      </c>
      <c r="D29" s="2162"/>
      <c r="E29" s="2163"/>
      <c r="F29" s="2164"/>
      <c r="G29" s="3001"/>
      <c r="H29" s="788" t="s">
        <v>1316</v>
      </c>
      <c r="I29" s="789" t="s">
        <v>1317</v>
      </c>
      <c r="J29" s="790">
        <f ca="1">ROUND(J26/(1+F40)^F41,0)</f>
        <v>0</v>
      </c>
      <c r="K29" s="791" t="s">
        <v>1318</v>
      </c>
      <c r="L29" s="792"/>
      <c r="M29" s="793">
        <f ca="1">INDIRECT("'数据-取费表'!k"&amp;$G$1)</f>
        <v>1860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46</v>
      </c>
      <c r="D30" s="1607" t="s">
        <v>1320</v>
      </c>
      <c r="E30" s="2132"/>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30.64</v>
      </c>
      <c r="D31" s="1733" t="s">
        <v>1321</v>
      </c>
      <c r="E31" s="1731"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9.59</v>
      </c>
      <c r="D32" s="1731"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20.91</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0.14000000000000001</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921.55</v>
      </c>
      <c r="G35" s="1785"/>
      <c r="H35" s="1788"/>
      <c r="I35" s="802" t="s">
        <v>1343</v>
      </c>
      <c r="J35" s="803">
        <f ca="1">ROUND(C13*J36,0)</f>
        <v>84</v>
      </c>
      <c r="K35" s="1801"/>
      <c r="L35" s="1800"/>
      <c r="M35" s="1800"/>
    </row>
    <row r="36" spans="1:18" ht="18" customHeight="1">
      <c r="A36" s="1453" t="s">
        <v>1414</v>
      </c>
      <c r="B36" s="750" t="s">
        <v>1331</v>
      </c>
      <c r="C36" s="51">
        <f ca="1">ROUND(C29*F36,2)</f>
        <v>11.25</v>
      </c>
      <c r="D36" s="1731" t="s">
        <v>1332</v>
      </c>
      <c r="E36" s="750" t="s">
        <v>1325</v>
      </c>
      <c r="F36" s="782">
        <f ca="1">INDIRECT("'数据-取费表'!Ak"&amp;$G$1)</f>
        <v>0.01</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1.69</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2.75</v>
      </c>
      <c r="D38" s="2162" t="s">
        <v>1334</v>
      </c>
      <c r="E38" s="2163" t="s">
        <v>1325</v>
      </c>
      <c r="F38" s="2159">
        <f ca="1">INDIRECT("'数据-取费表'!Am"&amp;$G$1)</f>
        <v>1.4999999999999999E-2</v>
      </c>
      <c r="G38" s="1785"/>
      <c r="H38" s="1800"/>
      <c r="I38" s="808" t="s">
        <v>1346</v>
      </c>
      <c r="J38" s="809"/>
      <c r="K38" s="1805"/>
      <c r="L38" s="1800"/>
      <c r="M38" s="1800"/>
    </row>
    <row r="39" spans="1:18" ht="24.6" customHeight="1" thickTop="1">
      <c r="A39" s="1615" t="s">
        <v>1419</v>
      </c>
      <c r="B39" s="2483" t="s">
        <v>2099</v>
      </c>
      <c r="C39" s="758">
        <f ca="1">C5-C30</f>
        <v>137</v>
      </c>
      <c r="D39" s="2165" t="s">
        <v>1335</v>
      </c>
      <c r="E39" s="2166"/>
      <c r="F39" s="2167"/>
      <c r="G39" s="1785"/>
      <c r="H39" s="1800"/>
      <c r="I39" s="802" t="s">
        <v>1347</v>
      </c>
      <c r="J39" s="810">
        <f ca="1">ROUND(J35/C39,3)</f>
        <v>0.61299999999999999</v>
      </c>
      <c r="K39" s="1805"/>
      <c r="L39" s="1800"/>
      <c r="M39" s="1800"/>
    </row>
    <row r="40" spans="1:18" ht="18" customHeight="1">
      <c r="A40" s="747" t="s">
        <v>1420</v>
      </c>
      <c r="B40" s="1950" t="s">
        <v>1658</v>
      </c>
      <c r="C40" s="749">
        <f ca="1">ROUND(C39*(1-((1+F42)/(1+F40))^F41)/(F40-F42),0)</f>
        <v>2032</v>
      </c>
      <c r="D40" s="779" t="s">
        <v>1336</v>
      </c>
      <c r="E40" s="750" t="s">
        <v>1773</v>
      </c>
      <c r="F40" s="760">
        <f ca="1">INDIRECT("'数据-取费表'!I"&amp;$G$1)</f>
        <v>0.06</v>
      </c>
      <c r="G40" s="1785"/>
      <c r="H40" s="1785"/>
      <c r="I40" s="802" t="s">
        <v>1348</v>
      </c>
      <c r="J40" s="810">
        <f ca="1">1-J39</f>
        <v>0.38700000000000001</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37.85</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0.55400000000000005</v>
      </c>
      <c r="K42" s="1804"/>
      <c r="L42" s="1740"/>
      <c r="M42" s="1740"/>
    </row>
    <row r="43" spans="1:18" ht="18" customHeight="1" thickBot="1">
      <c r="A43" s="788" t="s">
        <v>1316</v>
      </c>
      <c r="B43" s="789" t="s">
        <v>1339</v>
      </c>
      <c r="C43" s="790">
        <f ca="1">ROUND(C40*10000/F43,0)</f>
        <v>10925</v>
      </c>
      <c r="D43" s="791" t="s">
        <v>1340</v>
      </c>
      <c r="E43" s="792" t="s">
        <v>1341</v>
      </c>
      <c r="F43" s="793">
        <f ca="1">INDIRECT("'数据-取费表'!k"&amp;$G$1)</f>
        <v>1860</v>
      </c>
      <c r="G43" s="1785"/>
      <c r="H43" s="1740"/>
      <c r="I43" s="812" t="s">
        <v>1351</v>
      </c>
      <c r="J43" s="813">
        <f ca="1">1-J42</f>
        <v>0.44599999999999995</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-2225</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3418</v>
      </c>
      <c r="K47" s="2561" t="s">
        <v>1703</v>
      </c>
      <c r="L47" s="2565">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39.85</v>
      </c>
      <c r="M48" s="3003"/>
      <c r="O48" s="2089" t="s">
        <v>1733</v>
      </c>
      <c r="P48" s="2090" t="s">
        <v>1759</v>
      </c>
      <c r="Q48" s="2091">
        <f ca="1">C40+J29</f>
        <v>2032</v>
      </c>
      <c r="R48" s="2090" t="s">
        <v>1734</v>
      </c>
    </row>
    <row r="49" spans="1:18" s="1782" customFormat="1" ht="18" customHeight="1" thickBot="1">
      <c r="A49" s="752"/>
      <c r="B49" s="753"/>
      <c r="C49" s="754"/>
      <c r="D49" s="755"/>
      <c r="E49" s="750" t="s">
        <v>1268</v>
      </c>
      <c r="F49" s="751">
        <f ca="1">F7</f>
        <v>1860</v>
      </c>
      <c r="G49" s="1812"/>
      <c r="H49" s="1815"/>
      <c r="I49" s="2552" t="s">
        <v>1700</v>
      </c>
      <c r="J49" s="2074"/>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1125</v>
      </c>
      <c r="R50" s="2090" t="s">
        <v>1734</v>
      </c>
    </row>
    <row r="51" spans="1:18" s="1782" customFormat="1" ht="18" customHeight="1" thickBot="1">
      <c r="A51" s="752"/>
      <c r="B51" s="753"/>
      <c r="C51" s="754"/>
      <c r="D51" s="755"/>
      <c r="E51" s="750" t="s">
        <v>588</v>
      </c>
      <c r="F51" s="2064"/>
      <c r="H51" s="1815"/>
      <c r="I51" s="2556" t="s">
        <v>1702</v>
      </c>
      <c r="J51" s="2560">
        <f>IF(J49="",J50,J49+J50-YEAR('数据-取费表'!B2))</f>
        <v>60</v>
      </c>
      <c r="K51" s="2552" t="s">
        <v>1708</v>
      </c>
      <c r="L51" s="2566">
        <f ca="1">ROUND(-PV(INDIRECT("'数据-取费表'!h"&amp;$G$1),J51,(C39-C13*J36),0),0)</f>
        <v>918</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7" t="s">
        <v>1775</v>
      </c>
      <c r="J52" s="2076"/>
      <c r="K52" s="2557"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37.85</v>
      </c>
      <c r="K53" s="3978" t="s">
        <v>2226</v>
      </c>
      <c r="L53" s="3979"/>
      <c r="M53" s="3003"/>
      <c r="O53" s="2092" t="s">
        <v>1742</v>
      </c>
      <c r="P53" s="2090" t="s">
        <v>1743</v>
      </c>
      <c r="Q53" s="2091">
        <f ca="1">J53</f>
        <v>37.85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2032</v>
      </c>
      <c r="R54" s="2094" t="s">
        <v>1746</v>
      </c>
    </row>
    <row r="55" spans="1:18" s="1782" customFormat="1" ht="18" customHeight="1" thickTop="1" thickBot="1">
      <c r="A55" s="763">
        <v>2</v>
      </c>
      <c r="B55" s="764" t="s">
        <v>592</v>
      </c>
      <c r="C55" s="765">
        <f ca="1">C13</f>
        <v>1125</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1659</v>
      </c>
      <c r="C56" s="51">
        <f ca="1">C29</f>
        <v>1125</v>
      </c>
      <c r="D56" s="2244"/>
      <c r="E56" s="750"/>
      <c r="F56" s="775"/>
      <c r="I56" s="2571" t="s">
        <v>1711</v>
      </c>
      <c r="J56" s="2581" t="s">
        <v>3315</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13</v>
      </c>
      <c r="D57" s="24" t="s">
        <v>1279</v>
      </c>
      <c r="E57" s="224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2032</v>
      </c>
      <c r="R57" s="2090" t="s">
        <v>1734</v>
      </c>
    </row>
    <row r="58" spans="1:18" s="1782" customFormat="1" ht="28.5" customHeight="1" thickBot="1">
      <c r="A58" s="1453" t="s">
        <v>1353</v>
      </c>
      <c r="B58" s="750" t="s">
        <v>604</v>
      </c>
      <c r="C58" s="2760">
        <f ca="1">ROUND(IF(AND(项目基本情况!B11="自然人",项目基本情况!B10="北京市"),C48*F58/(1+'数据-取费表'!C42),C59+C60+C61),2)</f>
        <v>0.14000000000000001</v>
      </c>
      <c r="D58" s="2243" t="s">
        <v>605</v>
      </c>
      <c r="E58" s="2244"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0.14000000000000001</v>
      </c>
      <c r="D61" s="779" t="s">
        <v>616</v>
      </c>
      <c r="E61" s="750" t="s">
        <v>617</v>
      </c>
      <c r="F61" s="608">
        <f t="shared" si="0"/>
        <v>1.5</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921.55</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11.25</v>
      </c>
      <c r="D63" s="2244" t="s">
        <v>1332</v>
      </c>
      <c r="E63" s="750" t="s">
        <v>1276</v>
      </c>
      <c r="F63" s="782">
        <f t="shared" ca="1" si="0"/>
        <v>0.01</v>
      </c>
      <c r="I63" s="2577" t="s">
        <v>1724</v>
      </c>
      <c r="J63" s="2578">
        <v>70</v>
      </c>
      <c r="K63" s="2578">
        <v>50</v>
      </c>
      <c r="L63" s="2578">
        <v>80</v>
      </c>
      <c r="M63" s="2580">
        <v>0.02</v>
      </c>
      <c r="O63" s="2089" t="s">
        <v>1745</v>
      </c>
      <c r="P63" s="2090" t="s">
        <v>1762</v>
      </c>
      <c r="Q63" s="2091">
        <f ca="1">Q57+Q58</f>
        <v>2032</v>
      </c>
      <c r="R63" s="2094" t="s">
        <v>1746</v>
      </c>
    </row>
    <row r="64" spans="1:18" s="1782" customFormat="1" ht="16.5" thickBot="1">
      <c r="A64" s="1453" t="s">
        <v>1415</v>
      </c>
      <c r="B64" s="750" t="s">
        <v>626</v>
      </c>
      <c r="C64" s="51">
        <f ca="1">ROUND(C55*F64,2)</f>
        <v>1.69</v>
      </c>
      <c r="D64" s="2244" t="s">
        <v>627</v>
      </c>
      <c r="E64" s="750" t="s">
        <v>1276</v>
      </c>
      <c r="F64" s="783">
        <f t="shared" ca="1" si="0"/>
        <v>1.5E-3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1.4999999999999999E-2</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-13</v>
      </c>
      <c r="D66" s="2243" t="s">
        <v>647</v>
      </c>
      <c r="E66" s="2242"/>
      <c r="F66" s="785"/>
      <c r="K66" s="1808"/>
      <c r="O66" s="2089" t="s">
        <v>1733</v>
      </c>
      <c r="P66" s="2090" t="s">
        <v>1763</v>
      </c>
      <c r="Q66" s="2091">
        <f ca="1">C40+J29</f>
        <v>2032</v>
      </c>
      <c r="R66" s="2090" t="s">
        <v>1734</v>
      </c>
    </row>
    <row r="67" spans="1:18" s="1782" customFormat="1" ht="20.25" thickBot="1">
      <c r="A67" s="747" t="s">
        <v>1309</v>
      </c>
      <c r="B67" s="1950" t="s">
        <v>1658</v>
      </c>
      <c r="C67" s="749">
        <f ca="1">ROUND(C66*(1-((1+F69)/(1+F67))^F68)/(F67-F69),0)</f>
        <v>-193</v>
      </c>
      <c r="D67" s="779" t="s">
        <v>651</v>
      </c>
      <c r="E67" s="750" t="s">
        <v>652</v>
      </c>
      <c r="F67" s="760">
        <f ca="1">F40</f>
        <v>0.06</v>
      </c>
      <c r="K67" s="1808"/>
      <c r="O67" s="2089" t="s">
        <v>1735</v>
      </c>
      <c r="P67" s="2090" t="s">
        <v>1766</v>
      </c>
      <c r="Q67" s="2091">
        <f ca="1">L60</f>
        <v>0</v>
      </c>
      <c r="R67" s="2094" t="s">
        <v>1768</v>
      </c>
    </row>
    <row r="68" spans="1:18" ht="21.75" thickBot="1">
      <c r="A68" s="752"/>
      <c r="B68" s="753"/>
      <c r="C68" s="754"/>
      <c r="D68" s="786" t="s">
        <v>1337</v>
      </c>
      <c r="E68" s="750" t="s">
        <v>1313</v>
      </c>
      <c r="F68" s="787">
        <f ca="1">F41</f>
        <v>37.85</v>
      </c>
      <c r="O68" s="2092" t="s">
        <v>1737</v>
      </c>
      <c r="P68" s="2090" t="s">
        <v>1767</v>
      </c>
      <c r="Q68" s="2096">
        <f ca="1">L51</f>
        <v>918</v>
      </c>
      <c r="R68" s="2097" t="s">
        <v>1770</v>
      </c>
    </row>
    <row r="69" spans="1:18" ht="20.25" thickBot="1">
      <c r="A69" s="756"/>
      <c r="B69" s="757"/>
      <c r="C69" s="758"/>
      <c r="D69" s="781"/>
      <c r="E69" s="750" t="s">
        <v>657</v>
      </c>
      <c r="F69" s="2064"/>
      <c r="O69" s="2092" t="s">
        <v>1738</v>
      </c>
      <c r="P69" s="2098" t="s">
        <v>1752</v>
      </c>
      <c r="Q69" s="2091">
        <f ca="1">ROUND(Q70-Q71*Q72,0)</f>
        <v>53</v>
      </c>
      <c r="R69" s="2094"/>
    </row>
    <row r="70" spans="1:18" ht="15.75" thickBot="1">
      <c r="A70" s="788" t="s">
        <v>1316</v>
      </c>
      <c r="B70" s="789" t="s">
        <v>1339</v>
      </c>
      <c r="C70" s="790">
        <f ca="1">ROUND(C67*10000/F70,0)</f>
        <v>-1038</v>
      </c>
      <c r="D70" s="791" t="s">
        <v>1340</v>
      </c>
      <c r="E70" s="792" t="s">
        <v>1341</v>
      </c>
      <c r="F70" s="793">
        <f ca="1">F43</f>
        <v>1860</v>
      </c>
      <c r="O70" s="2092" t="s">
        <v>1753</v>
      </c>
      <c r="P70" s="2098" t="s">
        <v>1754</v>
      </c>
      <c r="Q70" s="2091">
        <f ca="1">C39</f>
        <v>137</v>
      </c>
      <c r="R70" s="2090" t="s">
        <v>1734</v>
      </c>
    </row>
    <row r="71" spans="1:18" ht="15.75" thickBot="1">
      <c r="O71" s="2092" t="s">
        <v>1755</v>
      </c>
      <c r="P71" s="2098" t="s">
        <v>1756</v>
      </c>
      <c r="Q71" s="2091">
        <f ca="1">C13</f>
        <v>1125</v>
      </c>
      <c r="R71" s="2090" t="s">
        <v>1734</v>
      </c>
    </row>
    <row r="72" spans="1:18" ht="15.75" thickBot="1">
      <c r="O72" s="2092" t="s">
        <v>1757</v>
      </c>
      <c r="P72" s="2098" t="s">
        <v>1758</v>
      </c>
      <c r="Q72" s="2093">
        <f ca="1">J36</f>
        <v>7.4999999999999997E-2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2032</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2443</v>
      </c>
      <c r="B1" s="3057"/>
      <c r="C1" s="3070"/>
      <c r="D1" s="3070"/>
      <c r="E1" s="3058"/>
      <c r="F1" s="3059"/>
      <c r="G1" s="3060"/>
      <c r="J1" s="3063" t="s">
        <v>2300</v>
      </c>
      <c r="K1" s="3064"/>
      <c r="L1" s="3064"/>
      <c r="M1" s="3064"/>
      <c r="N1" s="3064"/>
      <c r="O1" s="3064"/>
      <c r="P1" s="3064"/>
      <c r="Q1" s="3064"/>
      <c r="R1" s="3065"/>
      <c r="S1" s="3066"/>
      <c r="T1" s="3066"/>
      <c r="U1" s="3066"/>
    </row>
    <row r="2" spans="1:22" s="3079" customFormat="1" ht="13.15" customHeight="1">
      <c r="A2" s="3068" t="s">
        <v>2301</v>
      </c>
      <c r="B2" s="3069" t="e">
        <f>C40</f>
        <v>#DIV/0!</v>
      </c>
      <c r="C2" s="3070" t="s">
        <v>2302</v>
      </c>
      <c r="D2" s="3070"/>
      <c r="E2" s="3071"/>
      <c r="F2" s="3072"/>
      <c r="G2" s="3073"/>
      <c r="H2" s="3074"/>
      <c r="I2" s="3075"/>
      <c r="J2" s="3986" t="s">
        <v>2303</v>
      </c>
      <c r="K2" s="3987"/>
      <c r="L2" s="3076" t="s">
        <v>2304</v>
      </c>
      <c r="M2" s="3076" t="s">
        <v>2305</v>
      </c>
      <c r="N2" s="3076" t="s">
        <v>2306</v>
      </c>
      <c r="O2" s="3076" t="s">
        <v>2307</v>
      </c>
      <c r="P2" s="3076" t="s">
        <v>2308</v>
      </c>
      <c r="Q2" s="3077" t="s">
        <v>2309</v>
      </c>
      <c r="R2" s="3078" t="s">
        <v>2310</v>
      </c>
      <c r="S2" s="3066"/>
      <c r="T2" s="3066"/>
      <c r="U2" s="3066"/>
      <c r="V2" s="3075"/>
    </row>
    <row r="3" spans="1:22" s="3079" customFormat="1" ht="13.15" customHeight="1">
      <c r="A3" s="3080" t="s">
        <v>2311</v>
      </c>
      <c r="B3" s="3081" t="e">
        <f>ROUND(B2*10000/B4,0)</f>
        <v>#DIV/0!</v>
      </c>
      <c r="C3" s="3070" t="s">
        <v>2312</v>
      </c>
      <c r="D3" s="3070"/>
      <c r="E3" s="3071"/>
      <c r="F3" s="3072"/>
      <c r="G3" s="3073"/>
      <c r="H3" s="3074"/>
      <c r="I3" s="3075"/>
      <c r="J3" s="3988" t="s">
        <v>2313</v>
      </c>
      <c r="K3" s="3989"/>
      <c r="L3" s="3082"/>
      <c r="M3" s="3082"/>
      <c r="N3" s="3082"/>
      <c r="O3" s="3082"/>
      <c r="P3" s="3082"/>
      <c r="Q3" s="3083"/>
      <c r="R3" s="3084">
        <f>SUM(L3:Q3)</f>
        <v>0</v>
      </c>
      <c r="S3" s="3066"/>
      <c r="T3" s="3066"/>
      <c r="U3" s="3066"/>
      <c r="V3" s="3075"/>
    </row>
    <row r="4" spans="1:22" s="3079" customFormat="1" ht="13.15" customHeight="1">
      <c r="A4" s="3085" t="s">
        <v>2314</v>
      </c>
      <c r="B4" s="3086"/>
      <c r="C4" s="3070"/>
      <c r="D4" s="3070"/>
      <c r="E4" s="3071"/>
      <c r="F4" s="3072"/>
      <c r="G4" s="3073"/>
      <c r="H4" s="3074"/>
      <c r="I4" s="3075"/>
      <c r="J4" s="3988" t="s">
        <v>2315</v>
      </c>
      <c r="K4" s="3989"/>
      <c r="L4" s="3087"/>
      <c r="M4" s="3087"/>
      <c r="N4" s="3087"/>
      <c r="O4" s="3087"/>
      <c r="P4" s="3087"/>
      <c r="Q4" s="3088"/>
      <c r="R4" s="3089">
        <f>SUM(L4:Q4)</f>
        <v>0</v>
      </c>
      <c r="S4" s="3066"/>
      <c r="T4" s="3066"/>
      <c r="U4" s="3066"/>
      <c r="V4" s="3075"/>
    </row>
    <row r="5" spans="1:22" s="3079" customFormat="1" ht="13.15" customHeight="1" thickBot="1">
      <c r="A5" s="3090" t="s">
        <v>2316</v>
      </c>
      <c r="B5" s="3091"/>
      <c r="C5" s="3070"/>
      <c r="D5" s="3092"/>
      <c r="E5" s="3072"/>
      <c r="F5" s="3072"/>
      <c r="G5" s="3073"/>
      <c r="H5" s="3074"/>
      <c r="I5" s="3075"/>
      <c r="J5" s="3093" t="s">
        <v>2317</v>
      </c>
      <c r="K5" s="3094"/>
      <c r="L5" s="3094"/>
      <c r="M5" s="3095"/>
      <c r="N5" s="3095"/>
      <c r="O5" s="3095"/>
      <c r="P5" s="3095"/>
      <c r="Q5" s="3095"/>
      <c r="R5" s="3078">
        <f>SUM(R14,R19,R24,R25,R27,R28)</f>
        <v>0</v>
      </c>
      <c r="S5" s="3066"/>
      <c r="T5" s="3066" t="s">
        <v>2318</v>
      </c>
      <c r="U5" s="3066" t="e">
        <f>ROUND(R5*10000/365/R3,1)</f>
        <v>#DIV/0!</v>
      </c>
      <c r="V5" s="3075"/>
    </row>
    <row r="6" spans="1:22" s="3079" customFormat="1" ht="13.15" customHeight="1" thickBot="1">
      <c r="A6" s="3994" t="s">
        <v>2319</v>
      </c>
      <c r="B6" s="3995"/>
      <c r="C6" s="3996"/>
      <c r="D6" s="3096"/>
      <c r="E6" s="3097"/>
      <c r="F6" s="3098"/>
      <c r="G6" s="3099"/>
      <c r="H6" s="3074"/>
      <c r="I6" s="3075"/>
      <c r="J6" s="3980">
        <v>1</v>
      </c>
      <c r="K6" s="3981" t="s">
        <v>2320</v>
      </c>
      <c r="L6" s="3100" t="s">
        <v>2321</v>
      </c>
      <c r="M6" s="3101" t="s">
        <v>2322</v>
      </c>
      <c r="N6" s="3101" t="s">
        <v>2323</v>
      </c>
      <c r="O6" s="3101" t="s">
        <v>2324</v>
      </c>
      <c r="P6" s="3101" t="s">
        <v>2325</v>
      </c>
      <c r="Q6" s="3101" t="s">
        <v>2326</v>
      </c>
      <c r="R6" s="3084" t="s">
        <v>2327</v>
      </c>
      <c r="S6" s="3066"/>
      <c r="T6" s="3066" t="s">
        <v>2328</v>
      </c>
      <c r="U6" s="3066"/>
      <c r="V6" s="3075"/>
    </row>
    <row r="7" spans="1:22" s="3079" customFormat="1" ht="13.15" customHeight="1">
      <c r="A7" s="3102" t="s">
        <v>2329</v>
      </c>
      <c r="B7" s="3103"/>
      <c r="C7" s="3104"/>
      <c r="D7" s="3105">
        <f>SUM(D9,D10,D11,D17,0)</f>
        <v>0</v>
      </c>
      <c r="E7" s="3106" t="e">
        <f>E9+E10+E11+E17</f>
        <v>#DIV/0!</v>
      </c>
      <c r="F7" s="3107"/>
      <c r="G7" s="3108"/>
      <c r="H7" s="3074"/>
      <c r="I7" s="3075"/>
      <c r="J7" s="3980"/>
      <c r="K7" s="3982"/>
      <c r="L7" s="3109" t="s">
        <v>2330</v>
      </c>
      <c r="M7" s="3110"/>
      <c r="N7" s="3086"/>
      <c r="O7" s="3111"/>
      <c r="P7" s="3111"/>
      <c r="Q7" s="3112">
        <v>365</v>
      </c>
      <c r="R7" s="3113">
        <f>ROUND(M7*N7*O7*P7*Q7/10000,0)</f>
        <v>0</v>
      </c>
      <c r="S7" s="3066"/>
      <c r="T7" s="3066" t="s">
        <v>2331</v>
      </c>
      <c r="U7" s="3066"/>
      <c r="V7" s="3075"/>
    </row>
    <row r="8" spans="1:22" s="3079" customFormat="1" ht="13.15" customHeight="1">
      <c r="A8" s="3114" t="s">
        <v>2332</v>
      </c>
      <c r="B8" s="3997" t="s">
        <v>2333</v>
      </c>
      <c r="C8" s="3998"/>
      <c r="D8" s="3115" t="s">
        <v>2334</v>
      </c>
      <c r="E8" s="3116" t="s">
        <v>2335</v>
      </c>
      <c r="F8" s="3117" t="s">
        <v>2336</v>
      </c>
      <c r="G8" s="3118"/>
      <c r="H8" s="3074"/>
      <c r="I8" s="3075"/>
      <c r="J8" s="3980"/>
      <c r="K8" s="3982"/>
      <c r="L8" s="3109" t="s">
        <v>2337</v>
      </c>
      <c r="M8" s="3110"/>
      <c r="N8" s="3086"/>
      <c r="O8" s="3111"/>
      <c r="P8" s="3111"/>
      <c r="Q8" s="3112">
        <v>365</v>
      </c>
      <c r="R8" s="3113">
        <f t="shared" ref="R8:R13" si="0">ROUND(M8*N8*O8*P8*Q8/10000,0)</f>
        <v>0</v>
      </c>
      <c r="S8" s="3066"/>
      <c r="T8" s="3066" t="s">
        <v>2338</v>
      </c>
      <c r="U8" s="3066"/>
      <c r="V8" s="3075"/>
    </row>
    <row r="9" spans="1:22" s="3079" customFormat="1" ht="13.15" customHeight="1">
      <c r="A9" s="3114">
        <v>1</v>
      </c>
      <c r="B9" s="3997" t="s">
        <v>2339</v>
      </c>
      <c r="C9" s="3998"/>
      <c r="D9" s="3115">
        <f>ROUND(D6*E9,0)</f>
        <v>0</v>
      </c>
      <c r="E9" s="3119"/>
      <c r="F9" s="3120" t="s">
        <v>2340</v>
      </c>
      <c r="G9" s="3099"/>
      <c r="H9" s="3074"/>
      <c r="I9" s="3075"/>
      <c r="J9" s="3980"/>
      <c r="K9" s="3982"/>
      <c r="L9" s="3109" t="s">
        <v>2341</v>
      </c>
      <c r="M9" s="3110"/>
      <c r="N9" s="3086"/>
      <c r="O9" s="3111"/>
      <c r="P9" s="3111"/>
      <c r="Q9" s="3112">
        <v>365</v>
      </c>
      <c r="R9" s="3113">
        <f t="shared" si="0"/>
        <v>0</v>
      </c>
      <c r="S9" s="3066"/>
      <c r="T9" s="3066"/>
      <c r="U9" s="3066"/>
      <c r="V9" s="3075"/>
    </row>
    <row r="10" spans="1:22" s="3079" customFormat="1" ht="13.15" customHeight="1">
      <c r="A10" s="3114">
        <v>2</v>
      </c>
      <c r="B10" s="3997" t="s">
        <v>2342</v>
      </c>
      <c r="C10" s="3998"/>
      <c r="D10" s="3115">
        <f>ROUND(D6*E10,0)</f>
        <v>0</v>
      </c>
      <c r="E10" s="3119"/>
      <c r="F10" s="3120" t="s">
        <v>2343</v>
      </c>
      <c r="G10" s="3099"/>
      <c r="H10" s="3074"/>
      <c r="I10" s="3075"/>
      <c r="J10" s="3980"/>
      <c r="K10" s="3982"/>
      <c r="L10" s="3109" t="s">
        <v>2344</v>
      </c>
      <c r="M10" s="3110"/>
      <c r="N10" s="3086"/>
      <c r="O10" s="3111"/>
      <c r="P10" s="3111"/>
      <c r="Q10" s="3112">
        <v>365</v>
      </c>
      <c r="R10" s="3113">
        <f t="shared" si="0"/>
        <v>0</v>
      </c>
      <c r="S10" s="3066"/>
      <c r="T10" s="3066"/>
      <c r="U10" s="3066"/>
      <c r="V10" s="3075"/>
    </row>
    <row r="11" spans="1:22" s="3079" customFormat="1" ht="13.15" customHeight="1">
      <c r="A11" s="3114">
        <v>3</v>
      </c>
      <c r="B11" s="3997" t="s">
        <v>2345</v>
      </c>
      <c r="C11" s="3998"/>
      <c r="D11" s="3115">
        <f>D12+D14+D15+D16</f>
        <v>0</v>
      </c>
      <c r="E11" s="3121" t="e">
        <f>D11/D6</f>
        <v>#DIV/0!</v>
      </c>
      <c r="F11" s="3117"/>
      <c r="G11" s="3118"/>
      <c r="H11" s="3074"/>
      <c r="I11" s="3075"/>
      <c r="J11" s="3980"/>
      <c r="K11" s="3982"/>
      <c r="L11" s="3109" t="s">
        <v>2346</v>
      </c>
      <c r="M11" s="3110"/>
      <c r="N11" s="3086"/>
      <c r="O11" s="3111"/>
      <c r="P11" s="3111"/>
      <c r="Q11" s="3112">
        <v>365</v>
      </c>
      <c r="R11" s="3113">
        <f t="shared" si="0"/>
        <v>0</v>
      </c>
      <c r="S11" s="3066"/>
      <c r="T11" s="3066"/>
      <c r="U11" s="3066"/>
      <c r="V11" s="3075"/>
    </row>
    <row r="12" spans="1:22" s="3079" customFormat="1" ht="13.15" customHeight="1">
      <c r="A12" s="3122" t="s">
        <v>2347</v>
      </c>
      <c r="B12" s="3990" t="s">
        <v>2348</v>
      </c>
      <c r="C12" s="3991"/>
      <c r="D12" s="3123">
        <f>ROUND(D13*1.2%*(1-30%),0)</f>
        <v>0</v>
      </c>
      <c r="E12" s="3124">
        <v>1.2E-2</v>
      </c>
      <c r="F12" s="3117" t="s">
        <v>2349</v>
      </c>
      <c r="G12" s="3118"/>
      <c r="H12" s="3074"/>
      <c r="I12" s="3075"/>
      <c r="J12" s="3980"/>
      <c r="K12" s="3982"/>
      <c r="L12" s="3109" t="s">
        <v>2350</v>
      </c>
      <c r="M12" s="3110"/>
      <c r="N12" s="3086"/>
      <c r="O12" s="3111"/>
      <c r="P12" s="3111"/>
      <c r="Q12" s="3112">
        <v>365</v>
      </c>
      <c r="R12" s="3113">
        <f t="shared" si="0"/>
        <v>0</v>
      </c>
      <c r="S12" s="3066"/>
      <c r="T12" s="3066"/>
      <c r="U12" s="3066"/>
      <c r="V12" s="3075"/>
    </row>
    <row r="13" spans="1:22" s="3079" customFormat="1" ht="13.15" customHeight="1">
      <c r="A13" s="3122"/>
      <c r="B13" s="3125"/>
      <c r="C13" s="3126" t="s">
        <v>2351</v>
      </c>
      <c r="D13" s="3127"/>
      <c r="E13" s="3128"/>
      <c r="F13" s="3117"/>
      <c r="G13" s="3118"/>
      <c r="H13" s="3074"/>
      <c r="I13" s="3075"/>
      <c r="J13" s="3980"/>
      <c r="K13" s="3982"/>
      <c r="L13" s="3109" t="s">
        <v>2352</v>
      </c>
      <c r="M13" s="3110"/>
      <c r="N13" s="3086"/>
      <c r="O13" s="3111"/>
      <c r="P13" s="3111"/>
      <c r="Q13" s="3112">
        <v>365</v>
      </c>
      <c r="R13" s="3113">
        <f t="shared" si="0"/>
        <v>0</v>
      </c>
      <c r="S13" s="3066"/>
      <c r="T13" s="3066"/>
      <c r="U13" s="3066"/>
      <c r="V13" s="3075"/>
    </row>
    <row r="14" spans="1:22" s="3079" customFormat="1" ht="13.15" customHeight="1">
      <c r="A14" s="3122" t="s">
        <v>2353</v>
      </c>
      <c r="B14" s="3990" t="s">
        <v>2354</v>
      </c>
      <c r="C14" s="3991"/>
      <c r="D14" s="3123">
        <f>ROUND(E14*B5/10000,0)</f>
        <v>0</v>
      </c>
      <c r="E14" s="3112"/>
      <c r="F14" s="3117" t="s">
        <v>2355</v>
      </c>
      <c r="G14" s="3118"/>
      <c r="H14" s="3074"/>
      <c r="I14" s="3075"/>
      <c r="J14" s="3980"/>
      <c r="K14" s="3983"/>
      <c r="L14" s="3129" t="s">
        <v>2356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2357</v>
      </c>
      <c r="B15" s="3990" t="s">
        <v>2358</v>
      </c>
      <c r="C15" s="3991"/>
      <c r="D15" s="3123">
        <f>ROUND(D6*E15,0)</f>
        <v>0</v>
      </c>
      <c r="E15" s="3124">
        <v>5.5E-2</v>
      </c>
      <c r="F15" s="3117" t="s">
        <v>2359</v>
      </c>
      <c r="G15" s="3099"/>
      <c r="H15" s="3074"/>
      <c r="I15" s="3075"/>
      <c r="J15" s="3980">
        <v>2</v>
      </c>
      <c r="K15" s="3981" t="s">
        <v>2360</v>
      </c>
      <c r="L15" s="3109" t="s">
        <v>2361</v>
      </c>
      <c r="M15" s="3110" t="s">
        <v>2362</v>
      </c>
      <c r="N15" s="3110" t="s">
        <v>2363</v>
      </c>
      <c r="O15" s="3111" t="s">
        <v>2364</v>
      </c>
      <c r="P15" s="3111" t="s">
        <v>2365</v>
      </c>
      <c r="Q15" s="3086" t="s">
        <v>2366</v>
      </c>
      <c r="R15" s="3133" t="s">
        <v>2367</v>
      </c>
      <c r="S15" s="3066"/>
      <c r="T15" s="3066"/>
      <c r="U15" s="3066"/>
      <c r="V15" s="3075"/>
    </row>
    <row r="16" spans="1:22" s="3079" customFormat="1" ht="13.15" customHeight="1">
      <c r="A16" s="3122" t="s">
        <v>2368</v>
      </c>
      <c r="B16" s="3990" t="s">
        <v>2369</v>
      </c>
      <c r="C16" s="3991"/>
      <c r="D16" s="3134">
        <f>D6*E16</f>
        <v>0</v>
      </c>
      <c r="E16" s="3135"/>
      <c r="F16" s="3120" t="s">
        <v>2370</v>
      </c>
      <c r="G16" s="3099"/>
      <c r="H16" s="3074"/>
      <c r="I16" s="3075"/>
      <c r="J16" s="3980"/>
      <c r="K16" s="3982"/>
      <c r="L16" s="3109" t="s">
        <v>2371</v>
      </c>
      <c r="M16" s="3110"/>
      <c r="N16" s="3110"/>
      <c r="O16" s="3111"/>
      <c r="P16" s="3112">
        <v>365</v>
      </c>
      <c r="Q16" s="3086"/>
      <c r="R16" s="3133">
        <f>ROUND(M16*N16*O16*P16/10000,0)</f>
        <v>0</v>
      </c>
      <c r="S16" s="3066"/>
      <c r="T16" s="3066"/>
      <c r="U16" s="3066"/>
      <c r="V16" s="3075"/>
    </row>
    <row r="17" spans="1:22" s="3079" customFormat="1" ht="13.15" customHeight="1" thickBot="1">
      <c r="A17" s="3136">
        <v>4</v>
      </c>
      <c r="B17" s="3992" t="s">
        <v>2372</v>
      </c>
      <c r="C17" s="3993"/>
      <c r="D17" s="3137">
        <f>ROUND(D6*E17,0)</f>
        <v>0</v>
      </c>
      <c r="E17" s="3138"/>
      <c r="F17" s="3139" t="s">
        <v>2373</v>
      </c>
      <c r="G17" s="3099"/>
      <c r="H17" s="3074"/>
      <c r="I17" s="3075"/>
      <c r="J17" s="3980"/>
      <c r="K17" s="3982"/>
      <c r="L17" s="3109" t="s">
        <v>2374</v>
      </c>
      <c r="M17" s="3110"/>
      <c r="N17" s="3110"/>
      <c r="O17" s="3111"/>
      <c r="P17" s="3112">
        <v>365</v>
      </c>
      <c r="Q17" s="3086"/>
      <c r="R17" s="3133">
        <f>ROUND(M17*N17*O17*P17/10000,0)</f>
        <v>0</v>
      </c>
      <c r="S17" s="3066"/>
      <c r="T17" s="3066"/>
      <c r="U17" s="3066"/>
      <c r="V17" s="3075"/>
    </row>
    <row r="18" spans="1:22" s="3079" customFormat="1" ht="13.15" customHeight="1" thickBot="1">
      <c r="A18" s="3102" t="s">
        <v>2375</v>
      </c>
      <c r="B18" s="3103"/>
      <c r="C18" s="3103"/>
      <c r="D18" s="3140">
        <f>ROUND(D6*E18,0)</f>
        <v>0</v>
      </c>
      <c r="E18" s="3141"/>
      <c r="F18" s="3142" t="s">
        <v>2376</v>
      </c>
      <c r="G18" s="3099"/>
      <c r="H18" s="3074"/>
      <c r="I18" s="3075"/>
      <c r="J18" s="3980"/>
      <c r="K18" s="3982"/>
      <c r="L18" s="3109" t="s">
        <v>2377</v>
      </c>
      <c r="M18" s="3110"/>
      <c r="N18" s="3110"/>
      <c r="O18" s="3111"/>
      <c r="P18" s="3112">
        <v>365</v>
      </c>
      <c r="Q18" s="3086"/>
      <c r="R18" s="3133">
        <f>ROUND(M18*N18*O18*P18/10000,0)</f>
        <v>0</v>
      </c>
      <c r="S18" s="3066"/>
      <c r="T18" s="3066"/>
      <c r="U18" s="3066"/>
      <c r="V18" s="3075"/>
    </row>
    <row r="19" spans="1:22" s="3079" customFormat="1" ht="13.15" customHeight="1" thickBot="1">
      <c r="A19" s="3143" t="s">
        <v>2378</v>
      </c>
      <c r="B19" s="3097"/>
      <c r="C19" s="3097"/>
      <c r="D19" s="3097"/>
      <c r="E19" s="3097"/>
      <c r="F19" s="3098"/>
      <c r="G19" s="3118"/>
      <c r="H19" s="3074"/>
      <c r="I19" s="3075"/>
      <c r="J19" s="3980"/>
      <c r="K19" s="3983"/>
      <c r="L19" s="3129" t="s">
        <v>2356</v>
      </c>
      <c r="M19" s="3130"/>
      <c r="N19" s="3130">
        <f>SUM(N16:N18)</f>
        <v>0</v>
      </c>
      <c r="O19" s="3131"/>
      <c r="P19" s="3144" t="s">
        <v>2444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80">
        <v>3</v>
      </c>
      <c r="K20" s="3981" t="s">
        <v>2379</v>
      </c>
      <c r="L20" s="3109" t="s">
        <v>2380</v>
      </c>
      <c r="M20" s="3110" t="s">
        <v>2381</v>
      </c>
      <c r="N20" s="3147" t="s">
        <v>2382</v>
      </c>
      <c r="O20" s="3111" t="s">
        <v>2383</v>
      </c>
      <c r="P20" s="3112" t="s">
        <v>2384</v>
      </c>
      <c r="Q20" s="3086" t="s">
        <v>2385</v>
      </c>
      <c r="R20" s="3133" t="s">
        <v>2327</v>
      </c>
      <c r="S20" s="3148"/>
      <c r="T20" s="3148"/>
      <c r="U20" s="3148"/>
      <c r="V20" s="3075"/>
    </row>
    <row r="21" spans="1:22" s="3079" customFormat="1" ht="13.15" customHeight="1">
      <c r="A21" s="3102"/>
      <c r="B21" s="3103"/>
      <c r="C21" s="3149" t="s">
        <v>2386</v>
      </c>
      <c r="D21" s="3150" t="s">
        <v>2387</v>
      </c>
      <c r="E21" s="3151" t="s">
        <v>2388</v>
      </c>
      <c r="F21" s="3146"/>
      <c r="G21" s="3118"/>
      <c r="H21" s="3074"/>
      <c r="I21" s="3075"/>
      <c r="J21" s="3980"/>
      <c r="K21" s="3982"/>
      <c r="L21" s="3109" t="s">
        <v>2389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2390</v>
      </c>
      <c r="D22" s="3154" t="s">
        <v>2391</v>
      </c>
      <c r="E22" s="3155" t="s">
        <v>2392</v>
      </c>
      <c r="F22" s="3146"/>
      <c r="G22" s="3156"/>
      <c r="H22" s="3074"/>
      <c r="I22" s="3075"/>
      <c r="J22" s="3980"/>
      <c r="K22" s="3982"/>
      <c r="L22" s="3109" t="s">
        <v>2393</v>
      </c>
      <c r="M22" s="3110"/>
      <c r="N22" s="3110"/>
      <c r="O22" s="3111"/>
      <c r="P22" s="3112">
        <v>365</v>
      </c>
      <c r="Q22" s="3086"/>
      <c r="R22" s="3152">
        <f>ROUND(M22*N22*O22*P22/10000,0)</f>
        <v>0</v>
      </c>
      <c r="S22" s="3148"/>
      <c r="T22" s="3148"/>
      <c r="U22" s="3148"/>
      <c r="V22" s="3075"/>
    </row>
    <row r="23" spans="1:22" s="3079" customFormat="1" ht="13.15" customHeight="1">
      <c r="A23" s="3157">
        <v>1</v>
      </c>
      <c r="B23" s="3158" t="s">
        <v>2394</v>
      </c>
      <c r="C23" s="3159">
        <f>D6</f>
        <v>0</v>
      </c>
      <c r="D23" s="3160">
        <f>C23*(1+D24)</f>
        <v>0</v>
      </c>
      <c r="E23" s="3161">
        <f>D23*(1+E24)</f>
        <v>0</v>
      </c>
      <c r="F23" s="3162"/>
      <c r="G23" s="3163"/>
      <c r="H23" s="3074"/>
      <c r="I23" s="3075"/>
      <c r="J23" s="3980"/>
      <c r="K23" s="3982"/>
      <c r="L23" s="3109" t="s">
        <v>2395</v>
      </c>
      <c r="M23" s="3110"/>
      <c r="N23" s="3110"/>
      <c r="O23" s="3111"/>
      <c r="P23" s="3112">
        <v>365</v>
      </c>
      <c r="Q23" s="3086"/>
      <c r="R23" s="3152">
        <f>ROUND(M23*N23*O23*P23/10000,0)</f>
        <v>0</v>
      </c>
      <c r="S23" s="3066"/>
      <c r="T23" s="3066"/>
      <c r="U23" s="3066"/>
      <c r="V23" s="3075"/>
    </row>
    <row r="24" spans="1:22" s="3079" customFormat="1" ht="13.15" customHeight="1">
      <c r="A24" s="3164"/>
      <c r="B24" s="3165" t="s">
        <v>2396</v>
      </c>
      <c r="C24" s="3166"/>
      <c r="D24" s="3167"/>
      <c r="E24" s="3168"/>
      <c r="F24" s="3169"/>
      <c r="G24" s="3163"/>
      <c r="H24" s="3074"/>
      <c r="I24" s="3075"/>
      <c r="J24" s="3980"/>
      <c r="K24" s="3983"/>
      <c r="L24" s="3129" t="s">
        <v>2356</v>
      </c>
      <c r="M24" s="3130">
        <f>SUM(M21:M23)</f>
        <v>0</v>
      </c>
      <c r="N24" s="3130"/>
      <c r="O24" s="3131"/>
      <c r="P24" s="3144" t="s">
        <v>2444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2397</v>
      </c>
      <c r="L25" s="3172"/>
      <c r="M25" s="3172"/>
      <c r="N25" s="3172"/>
      <c r="O25" s="3172"/>
      <c r="P25" s="3173"/>
      <c r="Q25" s="3174"/>
      <c r="R25" s="3145">
        <f>ROUND(R14*Q25,0)</f>
        <v>0</v>
      </c>
      <c r="S25" s="3066"/>
      <c r="T25" s="3066"/>
      <c r="U25" s="3066"/>
      <c r="V25" s="3175"/>
    </row>
    <row r="26" spans="1:22" s="3176" customFormat="1" ht="13.15" customHeight="1">
      <c r="A26" s="3157">
        <v>2</v>
      </c>
      <c r="B26" s="3158" t="s">
        <v>2398</v>
      </c>
      <c r="C26" s="3159">
        <f>D7</f>
        <v>0</v>
      </c>
      <c r="D26" s="3160">
        <f>D23*D27</f>
        <v>0</v>
      </c>
      <c r="E26" s="3161">
        <f>E23*E27</f>
        <v>0</v>
      </c>
      <c r="F26" s="3162"/>
      <c r="G26" s="3163"/>
      <c r="H26" s="3074"/>
      <c r="I26" s="3075"/>
      <c r="J26" s="3984">
        <v>5</v>
      </c>
      <c r="K26" s="3177" t="s">
        <v>2399</v>
      </c>
      <c r="L26" s="3178"/>
      <c r="M26" s="3179"/>
      <c r="N26" s="3180" t="s">
        <v>2400</v>
      </c>
      <c r="O26" s="3180" t="s">
        <v>2401</v>
      </c>
      <c r="P26" s="3181" t="s">
        <v>2402</v>
      </c>
      <c r="Q26" s="3181" t="s">
        <v>2403</v>
      </c>
      <c r="R26" s="3084" t="s">
        <v>2404</v>
      </c>
      <c r="S26" s="3182"/>
      <c r="T26" s="3182"/>
      <c r="U26" s="3182"/>
      <c r="V26" s="3175"/>
    </row>
    <row r="27" spans="1:22" s="3079" customFormat="1" ht="13.15" customHeight="1">
      <c r="A27" s="3164"/>
      <c r="B27" s="3165" t="s">
        <v>2405</v>
      </c>
      <c r="C27" s="3183" t="e">
        <f>E7</f>
        <v>#DIV/0!</v>
      </c>
      <c r="D27" s="3167"/>
      <c r="E27" s="3168"/>
      <c r="F27" s="3169"/>
      <c r="G27" s="3163"/>
      <c r="H27" s="3184"/>
      <c r="I27" s="3175"/>
      <c r="J27" s="3985"/>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2406</v>
      </c>
      <c r="F28" s="3169"/>
      <c r="G28" s="3156"/>
      <c r="H28" s="3184"/>
      <c r="I28" s="3175"/>
      <c r="J28" s="3190">
        <v>6</v>
      </c>
      <c r="K28" s="3191" t="s">
        <v>2407</v>
      </c>
      <c r="L28" s="3192" t="s">
        <v>2408</v>
      </c>
      <c r="M28" s="3193"/>
      <c r="N28" s="3192" t="s">
        <v>2409</v>
      </c>
      <c r="O28" s="3194"/>
      <c r="P28" s="3192" t="s">
        <v>2410</v>
      </c>
      <c r="Q28" s="3195">
        <v>1.4999999999999999E-2</v>
      </c>
      <c r="R28" s="3196"/>
      <c r="S28" s="3148"/>
      <c r="T28" s="3148"/>
      <c r="U28" s="3148"/>
      <c r="V28" s="3175"/>
    </row>
    <row r="29" spans="1:22" s="3176" customFormat="1" ht="13.15" customHeight="1">
      <c r="A29" s="3157">
        <v>3</v>
      </c>
      <c r="B29" s="3158" t="s">
        <v>2411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2412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2413</v>
      </c>
      <c r="K31" s="3064"/>
      <c r="L31" s="3064"/>
      <c r="M31" s="3064"/>
      <c r="N31" s="3064"/>
      <c r="O31" s="3064"/>
      <c r="P31" s="3064"/>
      <c r="Q31" s="3064"/>
      <c r="R31" s="3065"/>
      <c r="S31" s="3148"/>
      <c r="T31" s="3066"/>
      <c r="U31" s="3066"/>
      <c r="V31" s="3175"/>
    </row>
    <row r="32" spans="1:22" s="3176" customFormat="1" ht="13.15" customHeight="1">
      <c r="A32" s="3157">
        <v>4</v>
      </c>
      <c r="B32" s="3158" t="s">
        <v>2414</v>
      </c>
      <c r="C32" s="3159">
        <f>C23-C26-C29</f>
        <v>0</v>
      </c>
      <c r="D32" s="3160">
        <f>D23-D26-D29</f>
        <v>0</v>
      </c>
      <c r="E32" s="3161">
        <f>E23-E26-E29</f>
        <v>0</v>
      </c>
      <c r="F32" s="3162"/>
      <c r="G32" s="3156"/>
      <c r="H32" s="3074"/>
      <c r="I32" s="3075"/>
      <c r="J32" s="3986" t="s">
        <v>2415</v>
      </c>
      <c r="K32" s="3987"/>
      <c r="L32" s="3076" t="s">
        <v>2416</v>
      </c>
      <c r="M32" s="3076" t="s">
        <v>2305</v>
      </c>
      <c r="N32" s="3076" t="s">
        <v>2306</v>
      </c>
      <c r="O32" s="3076" t="s">
        <v>2307</v>
      </c>
      <c r="P32" s="3076" t="s">
        <v>2308</v>
      </c>
      <c r="Q32" s="3077" t="s">
        <v>2417</v>
      </c>
      <c r="R32" s="3199" t="s">
        <v>2418</v>
      </c>
      <c r="S32" s="3148"/>
      <c r="T32" s="3066"/>
      <c r="U32" s="3066"/>
      <c r="V32" s="3175"/>
    </row>
    <row r="33" spans="1:23" s="3079" customFormat="1" ht="13.15" customHeight="1">
      <c r="A33" s="3157"/>
      <c r="B33" s="3158"/>
      <c r="C33" s="3159"/>
      <c r="D33" s="3200"/>
      <c r="E33" s="3201"/>
      <c r="F33" s="3162"/>
      <c r="G33" s="3156"/>
      <c r="H33" s="3184"/>
      <c r="I33" s="3175"/>
      <c r="J33" s="3988" t="s">
        <v>2419</v>
      </c>
      <c r="K33" s="3989"/>
      <c r="L33" s="3082"/>
      <c r="M33" s="3082"/>
      <c r="N33" s="3082"/>
      <c r="O33" s="3082"/>
      <c r="P33" s="3082"/>
      <c r="Q33" s="3083"/>
      <c r="R33" s="3202">
        <f>SUM(L33:Q33)</f>
        <v>0</v>
      </c>
      <c r="S33" s="3148"/>
      <c r="T33" s="3066"/>
      <c r="U33" s="3066"/>
      <c r="V33" s="3075"/>
    </row>
    <row r="34" spans="1:23" s="3079" customFormat="1" ht="13.15" customHeight="1">
      <c r="A34" s="3157">
        <v>5</v>
      </c>
      <c r="B34" s="3158" t="s">
        <v>2420</v>
      </c>
      <c r="C34" s="3203"/>
      <c r="D34" s="3204"/>
      <c r="E34" s="3205"/>
      <c r="F34" s="3162"/>
      <c r="G34" s="3156"/>
      <c r="H34" s="3184"/>
      <c r="I34" s="3175"/>
      <c r="J34" s="3988" t="s">
        <v>2421</v>
      </c>
      <c r="K34" s="3989"/>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2422</v>
      </c>
      <c r="C35" s="3207"/>
      <c r="D35" s="3208"/>
      <c r="E35" s="3209"/>
      <c r="F35" s="3162"/>
      <c r="G35" s="3210"/>
      <c r="H35" s="3074"/>
      <c r="I35" s="3175"/>
      <c r="J35" s="3093" t="s">
        <v>2423</v>
      </c>
      <c r="K35" s="3094"/>
      <c r="L35" s="3094"/>
      <c r="M35" s="3095"/>
      <c r="N35" s="3095"/>
      <c r="O35" s="3095"/>
      <c r="P35" s="3095"/>
      <c r="Q35" s="3095"/>
      <c r="R35" s="3211">
        <f>R40+R41+R43</f>
        <v>0</v>
      </c>
      <c r="S35" s="3148"/>
      <c r="T35" s="3066" t="s">
        <v>2424</v>
      </c>
      <c r="U35" s="3066"/>
      <c r="V35" s="3075"/>
    </row>
    <row r="36" spans="1:23" s="3079" customFormat="1" ht="13.15" customHeight="1" thickBot="1">
      <c r="A36" s="3157">
        <v>7</v>
      </c>
      <c r="B36" s="3212" t="s">
        <v>2425</v>
      </c>
      <c r="C36" s="3213"/>
      <c r="D36" s="3214"/>
      <c r="E36" s="3215"/>
      <c r="F36" s="3216">
        <f>C36+D36+E36</f>
        <v>0</v>
      </c>
      <c r="G36" s="3156"/>
      <c r="H36" s="3074"/>
      <c r="I36" s="3075"/>
      <c r="J36" s="3980">
        <v>1</v>
      </c>
      <c r="K36" s="3981" t="s">
        <v>2426</v>
      </c>
      <c r="L36" s="3100"/>
      <c r="M36" s="3101"/>
      <c r="N36" s="3101"/>
      <c r="O36" s="3101"/>
      <c r="P36" s="3101"/>
      <c r="Q36" s="3101"/>
      <c r="R36" s="3084" t="s">
        <v>2327</v>
      </c>
      <c r="S36" s="3148"/>
      <c r="T36" s="3066" t="s">
        <v>2328</v>
      </c>
      <c r="U36" s="3066"/>
      <c r="V36" s="3075"/>
    </row>
    <row r="37" spans="1:23" s="3079" customFormat="1" ht="13.15" customHeight="1">
      <c r="A37" s="3157"/>
      <c r="B37" s="3158"/>
      <c r="C37" s="3158"/>
      <c r="D37" s="3158"/>
      <c r="E37" s="3158"/>
      <c r="F37" s="3162"/>
      <c r="G37" s="3156"/>
      <c r="H37" s="3074"/>
      <c r="I37" s="3075"/>
      <c r="J37" s="3980"/>
      <c r="K37" s="3982"/>
      <c r="L37" s="3109"/>
      <c r="M37" s="3110"/>
      <c r="N37" s="3086"/>
      <c r="O37" s="3111"/>
      <c r="P37" s="3111"/>
      <c r="Q37" s="3112"/>
      <c r="R37" s="3113"/>
      <c r="S37" s="3148"/>
      <c r="T37" s="3066" t="s">
        <v>2331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80"/>
      <c r="K38" s="3982"/>
      <c r="L38" s="3109"/>
      <c r="M38" s="3110"/>
      <c r="N38" s="3086"/>
      <c r="O38" s="3111"/>
      <c r="P38" s="3111"/>
      <c r="Q38" s="3112"/>
      <c r="R38" s="3113"/>
      <c r="S38" s="3148"/>
      <c r="T38" s="3066" t="s">
        <v>2338</v>
      </c>
      <c r="U38" s="3066"/>
      <c r="V38" s="3075"/>
    </row>
    <row r="39" spans="1:23" s="3079" customFormat="1" ht="13.15" customHeight="1">
      <c r="A39" s="3157">
        <v>9</v>
      </c>
      <c r="B39" s="3158" t="s">
        <v>2427</v>
      </c>
      <c r="C39" s="3123" t="e">
        <f>C38</f>
        <v>#DIV/0!</v>
      </c>
      <c r="D39" s="3158">
        <f>D38/(1+D34)^C36</f>
        <v>0</v>
      </c>
      <c r="E39" s="3158">
        <f>E38/(1+E34)^(C36+D36)</f>
        <v>0</v>
      </c>
      <c r="F39" s="3162"/>
      <c r="G39" s="3217"/>
      <c r="H39" s="3074"/>
      <c r="I39" s="3075"/>
      <c r="J39" s="3980"/>
      <c r="K39" s="3982"/>
      <c r="L39" s="3109"/>
      <c r="M39" s="3110"/>
      <c r="N39" s="3086"/>
      <c r="O39" s="3111"/>
      <c r="P39" s="3111"/>
      <c r="Q39" s="3112"/>
      <c r="R39" s="3113"/>
      <c r="S39" s="3148"/>
      <c r="T39" s="3066"/>
      <c r="U39" s="3066"/>
      <c r="V39" s="3075"/>
    </row>
    <row r="40" spans="1:23" s="3079" customFormat="1" ht="13.15" customHeight="1">
      <c r="A40" s="3218">
        <v>10</v>
      </c>
      <c r="B40" s="3158" t="s">
        <v>2428</v>
      </c>
      <c r="C40" s="3219" t="e">
        <f>C39+D39+E39</f>
        <v>#DIV/0!</v>
      </c>
      <c r="D40" s="3220"/>
      <c r="E40" s="3220"/>
      <c r="F40" s="3221"/>
      <c r="G40" s="3156"/>
      <c r="H40" s="3074"/>
      <c r="I40" s="3075"/>
      <c r="J40" s="3980"/>
      <c r="K40" s="3983"/>
      <c r="L40" s="3129" t="s">
        <v>2429</v>
      </c>
      <c r="M40" s="3130"/>
      <c r="N40" s="3130"/>
      <c r="O40" s="3131"/>
      <c r="P40" s="3131"/>
      <c r="Q40" s="3132"/>
      <c r="R40" s="3078">
        <f>SUM(R37:R39)</f>
        <v>0</v>
      </c>
      <c r="S40" s="3148"/>
      <c r="T40" s="3066"/>
      <c r="U40" s="3066"/>
      <c r="V40" s="3075"/>
    </row>
    <row r="41" spans="1:23" s="3079" customFormat="1" ht="13.15" customHeight="1" thickBot="1">
      <c r="A41" s="3222">
        <v>11</v>
      </c>
      <c r="B41" s="3223" t="s">
        <v>2430</v>
      </c>
      <c r="C41" s="3223" t="e">
        <f>ROUND(C40*10000/B4,0)</f>
        <v>#DIV/0!</v>
      </c>
      <c r="D41" s="3224"/>
      <c r="E41" s="3224"/>
      <c r="F41" s="3225"/>
      <c r="G41" s="3226"/>
      <c r="H41" s="3074"/>
      <c r="I41" s="3075"/>
      <c r="J41" s="3170">
        <v>2</v>
      </c>
      <c r="K41" s="3171" t="s">
        <v>2431</v>
      </c>
      <c r="L41" s="3172"/>
      <c r="M41" s="3172"/>
      <c r="N41" s="3172"/>
      <c r="O41" s="3172"/>
      <c r="P41" s="3173"/>
      <c r="Q41" s="3174"/>
      <c r="R41" s="3145">
        <f>ROUND(R40*Q41,0)</f>
        <v>0</v>
      </c>
      <c r="S41" s="3148"/>
      <c r="T41" s="3066"/>
      <c r="U41" s="3182"/>
      <c r="V41" s="3075"/>
    </row>
    <row r="42" spans="1:23" s="3079" customFormat="1" ht="13.15" customHeight="1">
      <c r="G42" s="3226"/>
      <c r="H42" s="3074"/>
      <c r="I42" s="3075"/>
      <c r="J42" s="3984">
        <v>3</v>
      </c>
      <c r="K42" s="3177" t="s">
        <v>2432</v>
      </c>
      <c r="L42" s="3178"/>
      <c r="M42" s="3179"/>
      <c r="N42" s="3180" t="s">
        <v>2433</v>
      </c>
      <c r="O42" s="3180" t="s">
        <v>2434</v>
      </c>
      <c r="P42" s="3181" t="s">
        <v>2435</v>
      </c>
      <c r="Q42" s="3181" t="s">
        <v>2436</v>
      </c>
      <c r="R42" s="3084" t="s">
        <v>2437</v>
      </c>
      <c r="S42" s="3182"/>
      <c r="T42" s="3182"/>
      <c r="U42" s="3066"/>
      <c r="V42" s="3075"/>
    </row>
    <row r="43" spans="1:23" ht="13.15" customHeight="1">
      <c r="A43" s="3079"/>
      <c r="B43" s="3079"/>
      <c r="C43" s="3079"/>
      <c r="D43" s="3079"/>
      <c r="E43" s="3079"/>
      <c r="F43" s="3079"/>
      <c r="I43" s="3061"/>
      <c r="J43" s="3985"/>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2438</v>
      </c>
      <c r="L44" s="3230" t="s">
        <v>2439</v>
      </c>
      <c r="M44" s="3193"/>
      <c r="N44" s="3230" t="s">
        <v>2440</v>
      </c>
      <c r="O44" s="3193"/>
      <c r="P44" s="3230" t="s">
        <v>2441</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6"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1">
        <f>ROUND(D8*E8/10000,0)</f>
        <v>0</v>
      </c>
      <c r="D8" s="3011">
        <v>0</v>
      </c>
      <c r="E8" s="3012">
        <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0</v>
      </c>
      <c r="D12" s="3011">
        <f>'数据-汇总表'!E5</f>
        <v>109460.71999999999</v>
      </c>
      <c r="E12" s="3011">
        <f>'数据-取费表'!B27</f>
        <v>0</v>
      </c>
      <c r="F12" s="722"/>
      <c r="G12" s="725"/>
    </row>
    <row r="13" spans="1:25" s="1904" customFormat="1" ht="13.5" customHeight="1">
      <c r="A13" s="2124" t="s">
        <v>1793</v>
      </c>
      <c r="B13" s="723" t="s">
        <v>560</v>
      </c>
      <c r="C13" s="724">
        <f>ROUND(D13*E13/10000,0)</f>
        <v>0</v>
      </c>
      <c r="D13" s="3011">
        <f>'数据-汇总表'!E6</f>
        <v>37116.83</v>
      </c>
      <c r="E13" s="3011">
        <f>'数据-取费表'!B28</f>
        <v>0</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0.92500000000000004</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87" t="s">
        <v>471</v>
      </c>
      <c r="D4" s="3888"/>
      <c r="E4" s="3913" t="s">
        <v>472</v>
      </c>
      <c r="F4" s="3914"/>
      <c r="G4" s="3887" t="s">
        <v>473</v>
      </c>
      <c r="H4" s="3888"/>
      <c r="I4" s="3887" t="s">
        <v>474</v>
      </c>
      <c r="J4" s="3888"/>
      <c r="K4" s="484" t="s">
        <v>475</v>
      </c>
      <c r="L4" s="1855"/>
      <c r="M4" s="1856"/>
      <c r="N4" s="1856"/>
      <c r="O4" s="1856"/>
      <c r="P4" s="3889" t="s">
        <v>476</v>
      </c>
      <c r="Q4" s="3890"/>
      <c r="R4" s="3873" t="s">
        <v>472</v>
      </c>
      <c r="S4" s="3874"/>
      <c r="T4" s="3873" t="s">
        <v>473</v>
      </c>
      <c r="U4" s="3874"/>
      <c r="V4" s="3895" t="s">
        <v>474</v>
      </c>
      <c r="W4" s="3895"/>
      <c r="X4" s="1379"/>
      <c r="Y4" s="3873" t="s">
        <v>476</v>
      </c>
      <c r="Z4" s="3874"/>
      <c r="AA4" s="3868" t="s">
        <v>472</v>
      </c>
      <c r="AB4" s="3895" t="s">
        <v>473</v>
      </c>
      <c r="AC4" s="3868" t="s">
        <v>474</v>
      </c>
    </row>
    <row r="5" spans="1:29" ht="15">
      <c r="A5" s="485"/>
      <c r="B5" s="486"/>
      <c r="C5" s="3898" t="s">
        <v>2192</v>
      </c>
      <c r="D5" s="3899"/>
      <c r="E5" s="3915" t="s">
        <v>2193</v>
      </c>
      <c r="F5" s="3916"/>
      <c r="G5" s="3898" t="s">
        <v>2194</v>
      </c>
      <c r="H5" s="3899"/>
      <c r="I5" s="3898" t="s">
        <v>2195</v>
      </c>
      <c r="J5" s="3899"/>
      <c r="K5" s="484"/>
      <c r="L5" s="1855"/>
      <c r="M5" s="1856"/>
      <c r="N5" s="1856"/>
      <c r="O5" s="1856"/>
      <c r="P5" s="3891"/>
      <c r="Q5" s="3892"/>
      <c r="R5" s="3875"/>
      <c r="S5" s="3876"/>
      <c r="T5" s="3875"/>
      <c r="U5" s="3876"/>
      <c r="V5" s="3895"/>
      <c r="W5" s="3895"/>
      <c r="X5" s="1379"/>
      <c r="Y5" s="3875"/>
      <c r="Z5" s="3876"/>
      <c r="AA5" s="3869"/>
      <c r="AB5" s="3895"/>
      <c r="AC5" s="3869"/>
    </row>
    <row r="6" spans="1:29" ht="15.75" thickBot="1">
      <c r="A6" s="487"/>
      <c r="B6" s="488"/>
      <c r="C6" s="3896" t="s">
        <v>2196</v>
      </c>
      <c r="D6" s="3897"/>
      <c r="E6" s="3917" t="s">
        <v>2196</v>
      </c>
      <c r="F6" s="3918"/>
      <c r="G6" s="3896" t="s">
        <v>2196</v>
      </c>
      <c r="H6" s="3897"/>
      <c r="I6" s="3896" t="s">
        <v>2196</v>
      </c>
      <c r="J6" s="3897"/>
      <c r="K6" s="484" t="s">
        <v>477</v>
      </c>
      <c r="L6" s="1855"/>
      <c r="M6" s="1856"/>
      <c r="N6" s="1856"/>
      <c r="O6" s="1856"/>
      <c r="P6" s="3893"/>
      <c r="Q6" s="3894"/>
      <c r="R6" s="3875"/>
      <c r="S6" s="3876"/>
      <c r="T6" s="3877"/>
      <c r="U6" s="3878"/>
      <c r="V6" s="3895"/>
      <c r="W6" s="3895"/>
      <c r="X6" s="1379"/>
      <c r="Y6" s="3877"/>
      <c r="Z6" s="3878"/>
      <c r="AA6" s="3870"/>
      <c r="AB6" s="3895"/>
      <c r="AC6" s="3870"/>
    </row>
    <row r="7" spans="1:29" s="1117" customFormat="1" ht="15.75" thickBot="1">
      <c r="A7" s="2391"/>
      <c r="B7" s="2398" t="s">
        <v>478</v>
      </c>
      <c r="C7" s="489">
        <f>'数据-取费表'!B2</f>
        <v>44929</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71" t="s">
        <v>479</v>
      </c>
      <c r="Q7" s="3880"/>
      <c r="R7" s="1380" t="s">
        <v>5</v>
      </c>
      <c r="S7" s="1381">
        <f t="shared" ref="S7:S15" si="0">F7</f>
        <v>0</v>
      </c>
      <c r="T7" s="1380" t="s">
        <v>5</v>
      </c>
      <c r="U7" s="1381">
        <f t="shared" ref="U7:U15" si="1">H7</f>
        <v>0</v>
      </c>
      <c r="V7" s="1380" t="s">
        <v>5</v>
      </c>
      <c r="W7" s="1381">
        <f t="shared" ref="W7:W15" si="2">J7</f>
        <v>0</v>
      </c>
      <c r="X7" s="1382"/>
      <c r="Y7" s="3871" t="s">
        <v>479</v>
      </c>
      <c r="Z7" s="3872"/>
      <c r="AA7" s="1383" t="e">
        <f>D7/F7</f>
        <v>#DIV/0!</v>
      </c>
      <c r="AB7" s="1383" t="e">
        <f>D7/H7</f>
        <v>#DIV/0!</v>
      </c>
      <c r="AC7" s="1383" t="e">
        <f>D7/J7</f>
        <v>#DIV/0!</v>
      </c>
    </row>
    <row r="8" spans="1:29" s="1117"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71" t="s">
        <v>482</v>
      </c>
      <c r="Q8" s="3872"/>
      <c r="R8" s="1380" t="s">
        <v>5</v>
      </c>
      <c r="S8" s="1381">
        <f t="shared" si="0"/>
        <v>0</v>
      </c>
      <c r="T8" s="1380" t="s">
        <v>5</v>
      </c>
      <c r="U8" s="1381">
        <f t="shared" si="1"/>
        <v>0</v>
      </c>
      <c r="V8" s="1380" t="s">
        <v>5</v>
      </c>
      <c r="W8" s="1381">
        <f t="shared" si="2"/>
        <v>0</v>
      </c>
      <c r="X8" s="1382"/>
      <c r="Y8" s="3871" t="s">
        <v>482</v>
      </c>
      <c r="Z8" s="3872"/>
      <c r="AA8" s="1383" t="e">
        <f t="shared" ref="AA8:AA46" si="3">D8/F8</f>
        <v>#DIV/0!</v>
      </c>
      <c r="AB8" s="1383" t="e">
        <f t="shared" ref="AB8:AB46" si="4">D8/H8</f>
        <v>#DIV/0!</v>
      </c>
      <c r="AC8" s="1383" t="e">
        <f t="shared" ref="AC8:AC46" si="5">D8/J8</f>
        <v>#DIV/0!</v>
      </c>
    </row>
    <row r="9" spans="1:29" s="1117"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79" t="s">
        <v>484</v>
      </c>
      <c r="Q9" s="1049" t="str">
        <f t="shared" ref="Q9:Q15" si="6">B9</f>
        <v>用途</v>
      </c>
      <c r="R9" s="1380" t="s">
        <v>5</v>
      </c>
      <c r="S9" s="1381">
        <f t="shared" si="0"/>
        <v>100</v>
      </c>
      <c r="T9" s="1380" t="s">
        <v>5</v>
      </c>
      <c r="U9" s="1381">
        <f t="shared" si="1"/>
        <v>100</v>
      </c>
      <c r="V9" s="1380" t="s">
        <v>5</v>
      </c>
      <c r="W9" s="1381">
        <f t="shared" si="2"/>
        <v>100</v>
      </c>
      <c r="X9" s="1382"/>
      <c r="Y9" s="3831"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79"/>
      <c r="Q11" s="1049" t="str">
        <f t="shared" si="6"/>
        <v>容积率</v>
      </c>
      <c r="R11" s="1380" t="s">
        <v>5</v>
      </c>
      <c r="S11" s="1381" t="e">
        <f t="shared" si="0"/>
        <v>#N/A</v>
      </c>
      <c r="T11" s="1380" t="s">
        <v>5</v>
      </c>
      <c r="U11" s="1381" t="e">
        <f t="shared" si="1"/>
        <v>#N/A</v>
      </c>
      <c r="V11" s="1380" t="s">
        <v>5</v>
      </c>
      <c r="W11" s="1381" t="e">
        <f t="shared" si="2"/>
        <v>#N/A</v>
      </c>
      <c r="X11" s="1382"/>
      <c r="Y11" s="383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879"/>
      <c r="Q12" s="1049">
        <f t="shared" si="6"/>
        <v>111</v>
      </c>
      <c r="R12" s="1380" t="s">
        <v>5</v>
      </c>
      <c r="S12" s="1381">
        <f t="shared" si="0"/>
        <v>100</v>
      </c>
      <c r="T12" s="1380" t="s">
        <v>5</v>
      </c>
      <c r="U12" s="1381">
        <f t="shared" si="1"/>
        <v>100</v>
      </c>
      <c r="V12" s="1380" t="s">
        <v>5</v>
      </c>
      <c r="W12" s="1381">
        <f t="shared" si="2"/>
        <v>100</v>
      </c>
      <c r="X12" s="1382"/>
      <c r="Y12" s="3831"/>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879"/>
      <c r="Q13" s="1049">
        <f t="shared" si="6"/>
        <v>111</v>
      </c>
      <c r="R13" s="1380" t="s">
        <v>5</v>
      </c>
      <c r="S13" s="1381">
        <f t="shared" si="0"/>
        <v>100</v>
      </c>
      <c r="T13" s="1380" t="s">
        <v>5</v>
      </c>
      <c r="U13" s="1381">
        <f t="shared" si="1"/>
        <v>100</v>
      </c>
      <c r="V13" s="1380" t="s">
        <v>5</v>
      </c>
      <c r="W13" s="1381">
        <f t="shared" si="2"/>
        <v>100</v>
      </c>
      <c r="X13" s="1382"/>
      <c r="Y13" s="3831"/>
      <c r="Z13" s="1048">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879"/>
      <c r="Q14" s="1049">
        <f t="shared" si="6"/>
        <v>111</v>
      </c>
      <c r="R14" s="1380" t="s">
        <v>5</v>
      </c>
      <c r="S14" s="1381">
        <f t="shared" si="0"/>
        <v>100</v>
      </c>
      <c r="T14" s="1380" t="s">
        <v>5</v>
      </c>
      <c r="U14" s="1381">
        <f t="shared" si="1"/>
        <v>100</v>
      </c>
      <c r="V14" s="1380" t="s">
        <v>5</v>
      </c>
      <c r="W14" s="1381">
        <f t="shared" si="2"/>
        <v>100</v>
      </c>
      <c r="X14" s="1382"/>
      <c r="Y14" s="3831"/>
      <c r="Z14" s="1048">
        <f t="shared" si="7"/>
        <v>111</v>
      </c>
      <c r="AA14" s="1383">
        <f t="shared" si="3"/>
        <v>1</v>
      </c>
      <c r="AB14" s="1383">
        <f t="shared" si="4"/>
        <v>1</v>
      </c>
      <c r="AC14" s="1383">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881" t="s">
        <v>489</v>
      </c>
      <c r="Q15" s="1384" t="str">
        <f t="shared" si="6"/>
        <v>商业繁华度</v>
      </c>
      <c r="R15" s="1385" t="s">
        <v>5</v>
      </c>
      <c r="S15" s="1386">
        <f t="shared" si="0"/>
        <v>100</v>
      </c>
      <c r="T15" s="1385" t="s">
        <v>5</v>
      </c>
      <c r="U15" s="1386">
        <f t="shared" si="1"/>
        <v>100</v>
      </c>
      <c r="V15" s="1385" t="s">
        <v>5</v>
      </c>
      <c r="W15" s="1386">
        <f t="shared" si="2"/>
        <v>100</v>
      </c>
      <c r="X15" s="1379"/>
      <c r="Y15" s="3881"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82"/>
      <c r="Q16" s="1384"/>
      <c r="R16" s="1385"/>
      <c r="S16" s="1386"/>
      <c r="T16" s="1385"/>
      <c r="U16" s="1386"/>
      <c r="V16" s="1385"/>
      <c r="W16" s="1386"/>
      <c r="X16" s="1379"/>
      <c r="Y16" s="3882"/>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882"/>
      <c r="Q17" s="1384" t="str">
        <f>B17</f>
        <v>交通便捷度</v>
      </c>
      <c r="R17" s="1385" t="s">
        <v>5</v>
      </c>
      <c r="S17" s="1386">
        <f>F17</f>
        <v>100</v>
      </c>
      <c r="T17" s="1385" t="s">
        <v>5</v>
      </c>
      <c r="U17" s="1386">
        <f>H17</f>
        <v>100</v>
      </c>
      <c r="V17" s="1385" t="s">
        <v>5</v>
      </c>
      <c r="W17" s="1386">
        <f>J17</f>
        <v>100</v>
      </c>
      <c r="X17" s="1379"/>
      <c r="Y17" s="388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82"/>
      <c r="Q18" s="1384"/>
      <c r="R18" s="1385"/>
      <c r="S18" s="1386"/>
      <c r="T18" s="1385"/>
      <c r="U18" s="1386"/>
      <c r="V18" s="1385"/>
      <c r="W18" s="1386"/>
      <c r="X18" s="1379"/>
      <c r="Y18" s="3882"/>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882"/>
      <c r="Q19" s="1384" t="str">
        <f>B19</f>
        <v>公共配套设施</v>
      </c>
      <c r="R19" s="1385" t="s">
        <v>5</v>
      </c>
      <c r="S19" s="1386">
        <f>F19</f>
        <v>100</v>
      </c>
      <c r="T19" s="1385" t="s">
        <v>5</v>
      </c>
      <c r="U19" s="1386">
        <f>H19</f>
        <v>100</v>
      </c>
      <c r="V19" s="1385" t="s">
        <v>5</v>
      </c>
      <c r="W19" s="1386">
        <f>J19</f>
        <v>100</v>
      </c>
      <c r="X19" s="1379"/>
      <c r="Y19" s="3882"/>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882"/>
      <c r="Q20" s="1384"/>
      <c r="R20" s="1385"/>
      <c r="S20" s="1386"/>
      <c r="T20" s="1385"/>
      <c r="U20" s="1386"/>
      <c r="V20" s="1385"/>
      <c r="W20" s="1386"/>
      <c r="X20" s="1379"/>
      <c r="Y20" s="3882"/>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882"/>
      <c r="Q21" s="2192" t="str">
        <f>B21</f>
        <v>基础设施水平</v>
      </c>
      <c r="R21" s="1385" t="s">
        <v>5</v>
      </c>
      <c r="S21" s="1386">
        <f>F21</f>
        <v>100</v>
      </c>
      <c r="T21" s="1385" t="s">
        <v>5</v>
      </c>
      <c r="U21" s="1386">
        <f>H21</f>
        <v>100</v>
      </c>
      <c r="V21" s="1385" t="s">
        <v>5</v>
      </c>
      <c r="W21" s="1386">
        <f>J21</f>
        <v>100</v>
      </c>
      <c r="X21" s="2194"/>
      <c r="Y21" s="3882"/>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882"/>
      <c r="Q22" s="2192"/>
      <c r="R22" s="1385"/>
      <c r="S22" s="1386"/>
      <c r="T22" s="1385"/>
      <c r="U22" s="1386"/>
      <c r="V22" s="1385"/>
      <c r="W22" s="1386"/>
      <c r="X22" s="2194"/>
      <c r="Y22" s="3882"/>
      <c r="Z22" s="2193"/>
      <c r="AA22" s="1388">
        <v>1</v>
      </c>
      <c r="AB22" s="1388">
        <v>1</v>
      </c>
      <c r="AC22" s="1388">
        <v>1</v>
      </c>
    </row>
    <row r="23" spans="1:29" ht="57">
      <c r="A23" s="502"/>
      <c r="B23" s="834"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882"/>
      <c r="Q23" s="1384" t="str">
        <f>B23</f>
        <v>自然及人文环境</v>
      </c>
      <c r="R23" s="1385" t="s">
        <v>5</v>
      </c>
      <c r="S23" s="1386">
        <f>F23</f>
        <v>100</v>
      </c>
      <c r="T23" s="1385" t="s">
        <v>5</v>
      </c>
      <c r="U23" s="1386">
        <f>H23</f>
        <v>100</v>
      </c>
      <c r="V23" s="1385" t="s">
        <v>5</v>
      </c>
      <c r="W23" s="1386">
        <f>J23</f>
        <v>100</v>
      </c>
      <c r="X23" s="1379"/>
      <c r="Y23" s="3882"/>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882"/>
      <c r="Q24" s="1384"/>
      <c r="R24" s="1385"/>
      <c r="S24" s="1386"/>
      <c r="T24" s="1385"/>
      <c r="U24" s="1386"/>
      <c r="V24" s="1385"/>
      <c r="W24" s="1386"/>
      <c r="X24" s="1379"/>
      <c r="Y24" s="3882"/>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82"/>
      <c r="Q25" s="1384" t="str">
        <f t="shared" ref="Q25:Q46" si="8">B25</f>
        <v>临街状况</v>
      </c>
      <c r="R25" s="1385" t="s">
        <v>5</v>
      </c>
      <c r="S25" s="1386">
        <f>F25</f>
        <v>100</v>
      </c>
      <c r="T25" s="1385" t="s">
        <v>5</v>
      </c>
      <c r="U25" s="1386">
        <f>H25</f>
        <v>100</v>
      </c>
      <c r="V25" s="1385" t="s">
        <v>5</v>
      </c>
      <c r="W25" s="1386">
        <f>J25</f>
        <v>100</v>
      </c>
      <c r="X25" s="1379"/>
      <c r="Y25" s="3882"/>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82"/>
      <c r="Q26" s="1384" t="str">
        <f t="shared" si="8"/>
        <v>平面位置/可视性</v>
      </c>
      <c r="R26" s="1385" t="s">
        <v>5</v>
      </c>
      <c r="S26" s="1386">
        <f>F26</f>
        <v>100</v>
      </c>
      <c r="T26" s="1385" t="s">
        <v>5</v>
      </c>
      <c r="U26" s="1386">
        <f>H26</f>
        <v>100</v>
      </c>
      <c r="V26" s="1385" t="s">
        <v>5</v>
      </c>
      <c r="W26" s="1386">
        <f>J26</f>
        <v>100</v>
      </c>
      <c r="X26" s="1379"/>
      <c r="Y26" s="3882"/>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882"/>
      <c r="Q27" s="1049" t="str">
        <f t="shared" si="8"/>
        <v>人流量</v>
      </c>
      <c r="R27" s="1380" t="s">
        <v>5</v>
      </c>
      <c r="S27" s="1381">
        <f>F27</f>
        <v>100</v>
      </c>
      <c r="T27" s="1380" t="s">
        <v>5</v>
      </c>
      <c r="U27" s="1381">
        <f>H27</f>
        <v>100</v>
      </c>
      <c r="V27" s="1380" t="s">
        <v>5</v>
      </c>
      <c r="W27" s="1381">
        <f>J27</f>
        <v>100</v>
      </c>
      <c r="X27" s="1382"/>
      <c r="Y27" s="3882"/>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82"/>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82"/>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82"/>
      <c r="Q29" s="1384">
        <f t="shared" si="8"/>
        <v>111</v>
      </c>
      <c r="R29" s="1385" t="s">
        <v>5</v>
      </c>
      <c r="S29" s="1386">
        <f t="shared" si="9"/>
        <v>100</v>
      </c>
      <c r="T29" s="1385" t="s">
        <v>5</v>
      </c>
      <c r="U29" s="1386">
        <f t="shared" si="10"/>
        <v>100</v>
      </c>
      <c r="V29" s="1385" t="s">
        <v>5</v>
      </c>
      <c r="W29" s="1386">
        <f t="shared" si="11"/>
        <v>100</v>
      </c>
      <c r="X29" s="1379"/>
      <c r="Y29" s="3882"/>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82"/>
      <c r="Q30" s="1384">
        <f t="shared" si="8"/>
        <v>111</v>
      </c>
      <c r="R30" s="1385" t="s">
        <v>5</v>
      </c>
      <c r="S30" s="1386">
        <f t="shared" si="9"/>
        <v>100</v>
      </c>
      <c r="T30" s="1385" t="s">
        <v>5</v>
      </c>
      <c r="U30" s="1386">
        <f t="shared" si="10"/>
        <v>100</v>
      </c>
      <c r="V30" s="1385" t="s">
        <v>5</v>
      </c>
      <c r="W30" s="1386">
        <f t="shared" si="11"/>
        <v>100</v>
      </c>
      <c r="X30" s="1379"/>
      <c r="Y30" s="3882"/>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82"/>
      <c r="Q31" s="1384">
        <f t="shared" si="8"/>
        <v>111</v>
      </c>
      <c r="R31" s="1385" t="s">
        <v>5</v>
      </c>
      <c r="S31" s="1386">
        <f t="shared" si="9"/>
        <v>100</v>
      </c>
      <c r="T31" s="1385" t="s">
        <v>5</v>
      </c>
      <c r="U31" s="1386">
        <f t="shared" si="10"/>
        <v>100</v>
      </c>
      <c r="V31" s="1385" t="s">
        <v>5</v>
      </c>
      <c r="W31" s="1386">
        <f t="shared" si="11"/>
        <v>100</v>
      </c>
      <c r="X31" s="1379"/>
      <c r="Y31" s="3882"/>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83" t="s">
        <v>499</v>
      </c>
      <c r="Q32" s="1384" t="str">
        <f t="shared" si="8"/>
        <v>商业类型</v>
      </c>
      <c r="R32" s="1385" t="s">
        <v>5</v>
      </c>
      <c r="S32" s="1386">
        <f t="shared" si="9"/>
        <v>100</v>
      </c>
      <c r="T32" s="1385" t="s">
        <v>5</v>
      </c>
      <c r="U32" s="1386">
        <f t="shared" si="10"/>
        <v>100</v>
      </c>
      <c r="V32" s="1385" t="s">
        <v>5</v>
      </c>
      <c r="W32" s="1386">
        <f t="shared" si="11"/>
        <v>100</v>
      </c>
      <c r="X32" s="1379"/>
      <c r="Y32" s="3884"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84"/>
      <c r="Q33" s="1413" t="str">
        <f t="shared" si="8"/>
        <v>项目建筑规模</v>
      </c>
      <c r="R33" s="1389" t="s">
        <v>5</v>
      </c>
      <c r="S33" s="1390" t="e">
        <f t="shared" si="9"/>
        <v>#N/A</v>
      </c>
      <c r="T33" s="1389" t="s">
        <v>5</v>
      </c>
      <c r="U33" s="1390" t="e">
        <f t="shared" si="10"/>
        <v>#N/A</v>
      </c>
      <c r="V33" s="1389" t="s">
        <v>5</v>
      </c>
      <c r="W33" s="1390" t="e">
        <f t="shared" si="11"/>
        <v>#N/A</v>
      </c>
      <c r="X33" s="1391"/>
      <c r="Y33" s="3884"/>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884"/>
      <c r="Q34" s="1384" t="str">
        <f t="shared" si="8"/>
        <v>建筑结构</v>
      </c>
      <c r="R34" s="1385" t="s">
        <v>5</v>
      </c>
      <c r="S34" s="1386">
        <f t="shared" si="9"/>
        <v>100</v>
      </c>
      <c r="T34" s="1385" t="s">
        <v>5</v>
      </c>
      <c r="U34" s="1386">
        <f t="shared" si="10"/>
        <v>100</v>
      </c>
      <c r="V34" s="1385" t="s">
        <v>5</v>
      </c>
      <c r="W34" s="1386">
        <f t="shared" si="11"/>
        <v>100</v>
      </c>
      <c r="X34" s="1379"/>
      <c r="Y34" s="3884"/>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84"/>
      <c r="Q35" s="1384" t="str">
        <f t="shared" si="8"/>
        <v>公共部分装修</v>
      </c>
      <c r="R35" s="1385" t="s">
        <v>5</v>
      </c>
      <c r="S35" s="1386">
        <f t="shared" si="9"/>
        <v>100</v>
      </c>
      <c r="T35" s="1385" t="s">
        <v>5</v>
      </c>
      <c r="U35" s="1386">
        <f t="shared" si="10"/>
        <v>100</v>
      </c>
      <c r="V35" s="1385" t="s">
        <v>5</v>
      </c>
      <c r="W35" s="1386">
        <f t="shared" si="11"/>
        <v>100</v>
      </c>
      <c r="X35" s="1379"/>
      <c r="Y35" s="3884"/>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884"/>
      <c r="Q36" s="1384" t="str">
        <f t="shared" si="8"/>
        <v>成新度</v>
      </c>
      <c r="R36" s="1385" t="s">
        <v>5</v>
      </c>
      <c r="S36" s="1386" t="e">
        <f t="shared" si="9"/>
        <v>#N/A</v>
      </c>
      <c r="T36" s="1385" t="s">
        <v>5</v>
      </c>
      <c r="U36" s="1386" t="e">
        <f t="shared" si="10"/>
        <v>#N/A</v>
      </c>
      <c r="V36" s="1385" t="s">
        <v>5</v>
      </c>
      <c r="W36" s="1386" t="e">
        <f t="shared" si="11"/>
        <v>#N/A</v>
      </c>
      <c r="X36" s="1379"/>
      <c r="Y36" s="3884"/>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84"/>
      <c r="Q37" s="1049" t="str">
        <f t="shared" si="8"/>
        <v>市政基础设施</v>
      </c>
      <c r="R37" s="1380" t="s">
        <v>5</v>
      </c>
      <c r="S37" s="1381">
        <f t="shared" si="9"/>
        <v>100</v>
      </c>
      <c r="T37" s="1380" t="s">
        <v>5</v>
      </c>
      <c r="U37" s="1381">
        <f t="shared" si="10"/>
        <v>100</v>
      </c>
      <c r="V37" s="1380" t="s">
        <v>5</v>
      </c>
      <c r="W37" s="1381">
        <f t="shared" si="11"/>
        <v>100</v>
      </c>
      <c r="X37" s="1382"/>
      <c r="Y37" s="3884"/>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84" t="s">
        <v>706</v>
      </c>
      <c r="Q38" s="1384" t="str">
        <f t="shared" si="8"/>
        <v>业态</v>
      </c>
      <c r="R38" s="1385" t="s">
        <v>5</v>
      </c>
      <c r="S38" s="1386">
        <f t="shared" si="9"/>
        <v>100</v>
      </c>
      <c r="T38" s="1385" t="s">
        <v>5</v>
      </c>
      <c r="U38" s="1386">
        <f t="shared" si="10"/>
        <v>100</v>
      </c>
      <c r="V38" s="1385" t="s">
        <v>5</v>
      </c>
      <c r="W38" s="1386">
        <f t="shared" si="11"/>
        <v>100</v>
      </c>
      <c r="X38" s="1379"/>
      <c r="Y38" s="3884"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84"/>
      <c r="Q39" s="1384" t="str">
        <f t="shared" si="8"/>
        <v>层高</v>
      </c>
      <c r="R39" s="1385" t="s">
        <v>5</v>
      </c>
      <c r="S39" s="1386">
        <f t="shared" si="9"/>
        <v>100</v>
      </c>
      <c r="T39" s="1385" t="s">
        <v>5</v>
      </c>
      <c r="U39" s="1386">
        <f t="shared" si="10"/>
        <v>100</v>
      </c>
      <c r="V39" s="1385" t="s">
        <v>5</v>
      </c>
      <c r="W39" s="1386">
        <f t="shared" si="11"/>
        <v>100</v>
      </c>
      <c r="X39" s="1379"/>
      <c r="Y39" s="3884"/>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884"/>
      <c r="Q40" s="1384" t="str">
        <f t="shared" si="8"/>
        <v>单套建筑面积</v>
      </c>
      <c r="R40" s="1385" t="s">
        <v>5</v>
      </c>
      <c r="S40" s="1386">
        <f t="shared" si="9"/>
        <v>100</v>
      </c>
      <c r="T40" s="1385" t="s">
        <v>5</v>
      </c>
      <c r="U40" s="1386">
        <f t="shared" si="10"/>
        <v>100</v>
      </c>
      <c r="V40" s="1385" t="s">
        <v>5</v>
      </c>
      <c r="W40" s="1386">
        <f t="shared" si="11"/>
        <v>100</v>
      </c>
      <c r="X40" s="1379"/>
      <c r="Y40" s="3884"/>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84"/>
      <c r="Q41" s="1413" t="str">
        <f t="shared" si="8"/>
        <v>进深比</v>
      </c>
      <c r="R41" s="1389" t="s">
        <v>5</v>
      </c>
      <c r="S41" s="1390">
        <f t="shared" si="9"/>
        <v>100</v>
      </c>
      <c r="T41" s="1389" t="s">
        <v>5</v>
      </c>
      <c r="U41" s="1390">
        <f t="shared" si="10"/>
        <v>100</v>
      </c>
      <c r="V41" s="1389" t="s">
        <v>5</v>
      </c>
      <c r="W41" s="1390">
        <f t="shared" si="11"/>
        <v>100</v>
      </c>
      <c r="X41" s="1391"/>
      <c r="Y41" s="3884"/>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84"/>
      <c r="Q42" s="1384" t="str">
        <f t="shared" si="8"/>
        <v>内部装修</v>
      </c>
      <c r="R42" s="1385" t="s">
        <v>5</v>
      </c>
      <c r="S42" s="1386">
        <f t="shared" si="9"/>
        <v>100</v>
      </c>
      <c r="T42" s="1385" t="s">
        <v>5</v>
      </c>
      <c r="U42" s="1386">
        <f t="shared" si="10"/>
        <v>100</v>
      </c>
      <c r="V42" s="1385" t="s">
        <v>5</v>
      </c>
      <c r="W42" s="1386">
        <f t="shared" si="11"/>
        <v>100</v>
      </c>
      <c r="X42" s="1379"/>
      <c r="Y42" s="3884"/>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84"/>
      <c r="Q43" s="1384" t="str">
        <f t="shared" si="8"/>
        <v>内部装修维护情况</v>
      </c>
      <c r="R43" s="1385" t="s">
        <v>5</v>
      </c>
      <c r="S43" s="1386">
        <f t="shared" si="9"/>
        <v>100</v>
      </c>
      <c r="T43" s="1385" t="s">
        <v>5</v>
      </c>
      <c r="U43" s="1386">
        <f t="shared" si="10"/>
        <v>100</v>
      </c>
      <c r="V43" s="1385" t="s">
        <v>5</v>
      </c>
      <c r="W43" s="1386">
        <f t="shared" si="11"/>
        <v>100</v>
      </c>
      <c r="X43" s="1379"/>
      <c r="Y43" s="3884"/>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84"/>
      <c r="Q44" s="1049">
        <f t="shared" si="8"/>
        <v>111</v>
      </c>
      <c r="R44" s="1380" t="s">
        <v>5</v>
      </c>
      <c r="S44" s="1381">
        <f t="shared" si="9"/>
        <v>100</v>
      </c>
      <c r="T44" s="1380" t="s">
        <v>5</v>
      </c>
      <c r="U44" s="1381">
        <f t="shared" si="10"/>
        <v>100</v>
      </c>
      <c r="V44" s="1380" t="s">
        <v>5</v>
      </c>
      <c r="W44" s="1381">
        <f t="shared" si="11"/>
        <v>100</v>
      </c>
      <c r="X44" s="1382"/>
      <c r="Y44" s="3884"/>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84"/>
      <c r="Q45" s="1384">
        <f t="shared" si="8"/>
        <v>111</v>
      </c>
      <c r="R45" s="1385" t="s">
        <v>5</v>
      </c>
      <c r="S45" s="1386">
        <f t="shared" si="9"/>
        <v>100</v>
      </c>
      <c r="T45" s="1385" t="s">
        <v>5</v>
      </c>
      <c r="U45" s="1386">
        <f t="shared" si="10"/>
        <v>100</v>
      </c>
      <c r="V45" s="1385" t="s">
        <v>5</v>
      </c>
      <c r="W45" s="1386">
        <f t="shared" si="11"/>
        <v>100</v>
      </c>
      <c r="X45" s="1379"/>
      <c r="Y45" s="3884"/>
      <c r="Z45" s="1387">
        <f t="shared" si="12"/>
        <v>111</v>
      </c>
      <c r="AA45" s="1388">
        <f t="shared" si="3"/>
        <v>1</v>
      </c>
      <c r="AB45" s="1388">
        <f t="shared" si="4"/>
        <v>1</v>
      </c>
      <c r="AC45" s="1388">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77"/>
      <c r="Q46" s="1384">
        <f t="shared" si="8"/>
        <v>111</v>
      </c>
      <c r="R46" s="1385" t="s">
        <v>5</v>
      </c>
      <c r="S46" s="1386">
        <f t="shared" si="9"/>
        <v>100</v>
      </c>
      <c r="T46" s="1385" t="s">
        <v>5</v>
      </c>
      <c r="U46" s="1386">
        <f t="shared" si="10"/>
        <v>100</v>
      </c>
      <c r="V46" s="1385" t="s">
        <v>5</v>
      </c>
      <c r="W46" s="1386">
        <f t="shared" si="11"/>
        <v>100</v>
      </c>
      <c r="X46" s="1379"/>
      <c r="Y46" s="3977"/>
      <c r="Z46" s="1387">
        <f t="shared" si="12"/>
        <v>111</v>
      </c>
      <c r="AA46" s="1388">
        <f t="shared" si="3"/>
        <v>1</v>
      </c>
      <c r="AB46" s="1388">
        <f t="shared" si="4"/>
        <v>1</v>
      </c>
      <c r="AC46" s="1388">
        <f t="shared" si="5"/>
        <v>1</v>
      </c>
    </row>
    <row r="47" spans="1:29" ht="15">
      <c r="A47" s="577" t="s">
        <v>683</v>
      </c>
      <c r="B47" s="849"/>
      <c r="C47" s="2233" t="s">
        <v>0</v>
      </c>
      <c r="D47" s="2234"/>
      <c r="E47" s="2235"/>
      <c r="F47" s="2236"/>
      <c r="G47" s="2237"/>
      <c r="H47" s="2238"/>
      <c r="I47" s="2235"/>
      <c r="J47" s="2238"/>
      <c r="K47" s="1418"/>
      <c r="L47" s="1866"/>
      <c r="M47" s="1867"/>
      <c r="N47" s="1856"/>
      <c r="O47" s="1867"/>
      <c r="P47" s="3879" t="str">
        <f>A47</f>
        <v>成交单价（元/平方米）</v>
      </c>
      <c r="Q47" s="3879"/>
      <c r="R47" s="3976">
        <f>E47</f>
        <v>0</v>
      </c>
      <c r="S47" s="3976"/>
      <c r="T47" s="3976">
        <f>G47</f>
        <v>0</v>
      </c>
      <c r="U47" s="3976"/>
      <c r="V47" s="3976">
        <f>I47</f>
        <v>0</v>
      </c>
      <c r="W47" s="3976"/>
      <c r="X47" s="1374"/>
      <c r="Y47" s="1393"/>
      <c r="Z47" s="1374"/>
      <c r="AA47" s="1374"/>
      <c r="AB47" s="1374"/>
      <c r="AC47" s="1374"/>
    </row>
    <row r="48" spans="1:29" ht="15.75" thickBot="1">
      <c r="A48" s="585" t="s">
        <v>2042</v>
      </c>
      <c r="B48" s="850"/>
      <c r="C48" s="2239" t="e">
        <f>R49</f>
        <v>#DIV/0!</v>
      </c>
      <c r="D48" s="2755" t="s">
        <v>2261</v>
      </c>
      <c r="E48" s="2240" t="e">
        <f>R48</f>
        <v>#DIV/0!</v>
      </c>
      <c r="F48" s="2756"/>
      <c r="G48" s="2239" t="e">
        <f>T48</f>
        <v>#DIV/0!</v>
      </c>
      <c r="H48" s="2756"/>
      <c r="I48" s="2240" t="e">
        <f>V48</f>
        <v>#DIV/0!</v>
      </c>
      <c r="J48" s="2756"/>
      <c r="K48" s="2764">
        <f>F48+H48+J48</f>
        <v>0</v>
      </c>
      <c r="L48" s="1866"/>
      <c r="M48" s="1867"/>
      <c r="N48" s="1856"/>
      <c r="O48" s="1867"/>
      <c r="P48" s="3879" t="str">
        <f>A48</f>
        <v>比较价格（元/平方米）</v>
      </c>
      <c r="Q48" s="3879"/>
      <c r="R48" s="3976" t="e">
        <f>IF(F1="售价",ROUND(PRODUCT(R47,AA7:AA46),0),ROUND(PRODUCT(R47,AA7:AA46),1))</f>
        <v>#DIV/0!</v>
      </c>
      <c r="S48" s="3976"/>
      <c r="T48" s="3976" t="e">
        <f>IF(F1="售价",ROUND(PRODUCT(T47,AB7:AB46),0),ROUND(PRODUCT(T47,AB7:AB46),1))</f>
        <v>#DIV/0!</v>
      </c>
      <c r="U48" s="3976"/>
      <c r="V48" s="3976" t="e">
        <f>IF(F1="售价",ROUND(PRODUCT(V47,AC7:AC46),0),ROUND(PRODUCT(V47,AC7:AC46),1))</f>
        <v>#DIV/0!</v>
      </c>
      <c r="W48" s="3976"/>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9"/>
      <c r="L49" s="1866"/>
      <c r="M49" s="1867"/>
      <c r="N49" s="1856"/>
      <c r="O49" s="1867"/>
      <c r="P49" s="3885" t="str">
        <f>A49</f>
        <v>估价对象XX用房的比较价格（楼面单价，元/平方米）</v>
      </c>
      <c r="Q49" s="3886"/>
      <c r="R49" s="3975" t="e">
        <f>IF(F1="售价",ROUND(IF(D48="简单平均",AVERAGE(R48:V48),R48*F48+T48*H48+V48*J48),0),ROUND(IF(D48="简单平均",AVERAGE(R48:V48),R48*F48+T48*H48+V48*J48),1))</f>
        <v>#DIV/0!</v>
      </c>
      <c r="S49" s="3975"/>
      <c r="T49" s="3975"/>
      <c r="U49" s="3975"/>
      <c r="V49" s="3975"/>
      <c r="W49" s="3975"/>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887" t="s">
        <v>471</v>
      </c>
      <c r="D4" s="3888"/>
      <c r="E4" s="3913" t="s">
        <v>472</v>
      </c>
      <c r="F4" s="3914"/>
      <c r="G4" s="3887" t="s">
        <v>473</v>
      </c>
      <c r="H4" s="3888"/>
      <c r="I4" s="3887" t="s">
        <v>474</v>
      </c>
      <c r="J4" s="3888"/>
      <c r="K4" s="484" t="s">
        <v>475</v>
      </c>
      <c r="L4" s="1855"/>
      <c r="M4" s="1856"/>
      <c r="N4" s="1856"/>
      <c r="O4" s="1856"/>
      <c r="P4" s="3999" t="s">
        <v>476</v>
      </c>
      <c r="Q4" s="3890"/>
      <c r="R4" s="3873" t="s">
        <v>472</v>
      </c>
      <c r="S4" s="3874"/>
      <c r="T4" s="3873" t="s">
        <v>473</v>
      </c>
      <c r="U4" s="3874"/>
      <c r="V4" s="3895" t="s">
        <v>474</v>
      </c>
      <c r="W4" s="3895"/>
      <c r="X4" s="1379"/>
      <c r="Y4" s="3873" t="s">
        <v>476</v>
      </c>
      <c r="Z4" s="3874"/>
      <c r="AA4" s="3868" t="s">
        <v>472</v>
      </c>
      <c r="AB4" s="3868" t="s">
        <v>473</v>
      </c>
      <c r="AC4" s="3868" t="s">
        <v>474</v>
      </c>
    </row>
    <row r="5" spans="1:29" ht="15">
      <c r="A5" s="485"/>
      <c r="B5" s="486"/>
      <c r="C5" s="3898" t="s">
        <v>2192</v>
      </c>
      <c r="D5" s="3899"/>
      <c r="E5" s="3915" t="s">
        <v>2193</v>
      </c>
      <c r="F5" s="3916"/>
      <c r="G5" s="3898" t="s">
        <v>2194</v>
      </c>
      <c r="H5" s="3899"/>
      <c r="I5" s="3898" t="s">
        <v>2195</v>
      </c>
      <c r="J5" s="3899"/>
      <c r="K5" s="484"/>
      <c r="L5" s="1855"/>
      <c r="M5" s="1856"/>
      <c r="N5" s="1856"/>
      <c r="O5" s="1856"/>
      <c r="P5" s="4000"/>
      <c r="Q5" s="3892"/>
      <c r="R5" s="3875"/>
      <c r="S5" s="3876"/>
      <c r="T5" s="3875"/>
      <c r="U5" s="3876"/>
      <c r="V5" s="3895"/>
      <c r="W5" s="3895"/>
      <c r="X5" s="1379"/>
      <c r="Y5" s="3875"/>
      <c r="Z5" s="3876"/>
      <c r="AA5" s="3869"/>
      <c r="AB5" s="3869"/>
      <c r="AC5" s="3869"/>
    </row>
    <row r="6" spans="1:29" ht="15.75" thickBot="1">
      <c r="A6" s="487"/>
      <c r="B6" s="488"/>
      <c r="C6" s="3896" t="s">
        <v>2196</v>
      </c>
      <c r="D6" s="3897"/>
      <c r="E6" s="3917" t="s">
        <v>2196</v>
      </c>
      <c r="F6" s="3918"/>
      <c r="G6" s="3896" t="s">
        <v>2196</v>
      </c>
      <c r="H6" s="3897"/>
      <c r="I6" s="3896" t="s">
        <v>2196</v>
      </c>
      <c r="J6" s="3897"/>
      <c r="K6" s="484" t="s">
        <v>477</v>
      </c>
      <c r="L6" s="1855"/>
      <c r="M6" s="1856"/>
      <c r="N6" s="1856"/>
      <c r="O6" s="1856"/>
      <c r="P6" s="4001"/>
      <c r="Q6" s="3894"/>
      <c r="R6" s="3875"/>
      <c r="S6" s="3876"/>
      <c r="T6" s="3877"/>
      <c r="U6" s="3878"/>
      <c r="V6" s="3895"/>
      <c r="W6" s="3895"/>
      <c r="X6" s="1379"/>
      <c r="Y6" s="3877"/>
      <c r="Z6" s="3878"/>
      <c r="AA6" s="3870"/>
      <c r="AB6" s="3870"/>
      <c r="AC6" s="3870"/>
    </row>
    <row r="7" spans="1:29" s="1117" customFormat="1" ht="15.75" thickBot="1">
      <c r="A7" s="2391"/>
      <c r="B7" s="2398" t="s">
        <v>478</v>
      </c>
      <c r="C7" s="489">
        <f>'数据-取费表'!B2</f>
        <v>44929</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80" t="s">
        <v>479</v>
      </c>
      <c r="Q7" s="3880"/>
      <c r="R7" s="1380" t="s">
        <v>5</v>
      </c>
      <c r="S7" s="1381">
        <f t="shared" ref="S7:S15" si="0">F7</f>
        <v>0</v>
      </c>
      <c r="T7" s="1380" t="s">
        <v>5</v>
      </c>
      <c r="U7" s="1381">
        <f t="shared" ref="U7:U15" si="1">H7</f>
        <v>0</v>
      </c>
      <c r="V7" s="1380" t="s">
        <v>5</v>
      </c>
      <c r="W7" s="1381">
        <f t="shared" ref="W7:W15" si="2">J7</f>
        <v>0</v>
      </c>
      <c r="X7" s="1382"/>
      <c r="Y7" s="3871" t="s">
        <v>479</v>
      </c>
      <c r="Z7" s="3872"/>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80" t="s">
        <v>482</v>
      </c>
      <c r="Q8" s="3872"/>
      <c r="R8" s="1380" t="s">
        <v>5</v>
      </c>
      <c r="S8" s="1381">
        <f t="shared" si="0"/>
        <v>0</v>
      </c>
      <c r="T8" s="1380" t="s">
        <v>5</v>
      </c>
      <c r="U8" s="1381">
        <f t="shared" si="1"/>
        <v>0</v>
      </c>
      <c r="V8" s="1380" t="s">
        <v>5</v>
      </c>
      <c r="W8" s="1381">
        <f t="shared" si="2"/>
        <v>0</v>
      </c>
      <c r="X8" s="1382"/>
      <c r="Y8" s="3871" t="s">
        <v>482</v>
      </c>
      <c r="Z8" s="3872"/>
      <c r="AA8" s="1383" t="e">
        <f t="shared" ref="AA8:AA47" si="3">D8/F8</f>
        <v>#DIV/0!</v>
      </c>
      <c r="AB8" s="1383" t="e">
        <f t="shared" ref="AB8:AB47" si="4">D8/H8</f>
        <v>#DIV/0!</v>
      </c>
      <c r="AC8" s="1383" t="e">
        <f t="shared" ref="AC8:AC47" si="5">D8/J8</f>
        <v>#DIV/0!</v>
      </c>
    </row>
    <row r="9" spans="1:29" s="1117"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79" t="s">
        <v>484</v>
      </c>
      <c r="Q9" s="1049" t="str">
        <f t="shared" ref="Q9:Q15" si="6">B9</f>
        <v>用途</v>
      </c>
      <c r="R9" s="1380" t="s">
        <v>5</v>
      </c>
      <c r="S9" s="1381">
        <f t="shared" si="0"/>
        <v>100</v>
      </c>
      <c r="T9" s="1380" t="s">
        <v>5</v>
      </c>
      <c r="U9" s="1381">
        <f t="shared" si="1"/>
        <v>100</v>
      </c>
      <c r="V9" s="1380" t="s">
        <v>5</v>
      </c>
      <c r="W9" s="1381">
        <f t="shared" si="2"/>
        <v>100</v>
      </c>
      <c r="X9" s="1382"/>
      <c r="Y9" s="3831"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79"/>
      <c r="Q11" s="1049" t="str">
        <f t="shared" si="6"/>
        <v>容积率</v>
      </c>
      <c r="R11" s="1380" t="s">
        <v>5</v>
      </c>
      <c r="S11" s="1381" t="e">
        <f t="shared" si="0"/>
        <v>#N/A</v>
      </c>
      <c r="T11" s="1380" t="s">
        <v>5</v>
      </c>
      <c r="U11" s="1381" t="e">
        <f t="shared" si="1"/>
        <v>#N/A</v>
      </c>
      <c r="V11" s="1380" t="s">
        <v>5</v>
      </c>
      <c r="W11" s="1381" t="e">
        <f t="shared" si="2"/>
        <v>#N/A</v>
      </c>
      <c r="X11" s="1382"/>
      <c r="Y11" s="383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879"/>
      <c r="Q12" s="1049">
        <f t="shared" si="6"/>
        <v>111</v>
      </c>
      <c r="R12" s="1380" t="s">
        <v>5</v>
      </c>
      <c r="S12" s="1381">
        <f t="shared" si="0"/>
        <v>100</v>
      </c>
      <c r="T12" s="1380" t="s">
        <v>5</v>
      </c>
      <c r="U12" s="1381">
        <f t="shared" si="1"/>
        <v>100</v>
      </c>
      <c r="V12" s="1380" t="s">
        <v>5</v>
      </c>
      <c r="W12" s="1381">
        <f t="shared" si="2"/>
        <v>100</v>
      </c>
      <c r="X12" s="1382"/>
      <c r="Y12" s="3831"/>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879"/>
      <c r="Q13" s="1049">
        <f t="shared" si="6"/>
        <v>111</v>
      </c>
      <c r="R13" s="1380" t="s">
        <v>5</v>
      </c>
      <c r="S13" s="1381">
        <f t="shared" si="0"/>
        <v>100</v>
      </c>
      <c r="T13" s="1380" t="s">
        <v>5</v>
      </c>
      <c r="U13" s="1381">
        <f t="shared" si="1"/>
        <v>100</v>
      </c>
      <c r="V13" s="1380" t="s">
        <v>5</v>
      </c>
      <c r="W13" s="1381">
        <f t="shared" si="2"/>
        <v>100</v>
      </c>
      <c r="X13" s="1382"/>
      <c r="Y13" s="3831"/>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879"/>
      <c r="Q14" s="1049">
        <f t="shared" si="6"/>
        <v>111</v>
      </c>
      <c r="R14" s="1380" t="s">
        <v>5</v>
      </c>
      <c r="S14" s="1381">
        <f t="shared" si="0"/>
        <v>100</v>
      </c>
      <c r="T14" s="1380" t="s">
        <v>5</v>
      </c>
      <c r="U14" s="1381">
        <f t="shared" si="1"/>
        <v>100</v>
      </c>
      <c r="V14" s="1380" t="s">
        <v>5</v>
      </c>
      <c r="W14" s="1381">
        <f t="shared" si="2"/>
        <v>100</v>
      </c>
      <c r="X14" s="1382"/>
      <c r="Y14" s="3831"/>
      <c r="Z14" s="1048">
        <f t="shared" si="7"/>
        <v>111</v>
      </c>
      <c r="AA14" s="1383">
        <f t="shared" si="3"/>
        <v>1</v>
      </c>
      <c r="AB14" s="1383">
        <f t="shared" si="4"/>
        <v>1</v>
      </c>
      <c r="AC14" s="1383">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881" t="s">
        <v>489</v>
      </c>
      <c r="Q15" s="1384" t="str">
        <f t="shared" si="6"/>
        <v>办公集聚程度</v>
      </c>
      <c r="R15" s="1385" t="s">
        <v>5</v>
      </c>
      <c r="S15" s="1386">
        <f t="shared" si="0"/>
        <v>100</v>
      </c>
      <c r="T15" s="1385" t="s">
        <v>5</v>
      </c>
      <c r="U15" s="1386">
        <f t="shared" si="1"/>
        <v>100</v>
      </c>
      <c r="V15" s="1385" t="s">
        <v>5</v>
      </c>
      <c r="W15" s="1386">
        <f t="shared" si="2"/>
        <v>100</v>
      </c>
      <c r="X15" s="1379"/>
      <c r="Y15" s="3881"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882"/>
      <c r="Q16" s="1384"/>
      <c r="R16" s="1385"/>
      <c r="S16" s="1386"/>
      <c r="T16" s="1385"/>
      <c r="U16" s="1386"/>
      <c r="V16" s="1385"/>
      <c r="W16" s="1386"/>
      <c r="X16" s="1379"/>
      <c r="Y16" s="3882"/>
      <c r="Z16" s="1387"/>
      <c r="AA16" s="1388">
        <v>1</v>
      </c>
      <c r="AB16" s="1388">
        <v>1</v>
      </c>
      <c r="AC16" s="1388">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882"/>
      <c r="Q17" s="1384" t="str">
        <f>B17</f>
        <v>交通便捷度</v>
      </c>
      <c r="R17" s="1385" t="s">
        <v>5</v>
      </c>
      <c r="S17" s="1386">
        <f>F17</f>
        <v>100</v>
      </c>
      <c r="T17" s="1385" t="s">
        <v>5</v>
      </c>
      <c r="U17" s="1386">
        <f>H17</f>
        <v>100</v>
      </c>
      <c r="V17" s="1385" t="s">
        <v>5</v>
      </c>
      <c r="W17" s="1386">
        <f>J17</f>
        <v>100</v>
      </c>
      <c r="X17" s="1379"/>
      <c r="Y17" s="3882"/>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882"/>
      <c r="Q18" s="1384"/>
      <c r="R18" s="1385"/>
      <c r="S18" s="1386"/>
      <c r="T18" s="1385"/>
      <c r="U18" s="1386"/>
      <c r="V18" s="1385"/>
      <c r="W18" s="1386"/>
      <c r="X18" s="1379"/>
      <c r="Y18" s="3882"/>
      <c r="Z18" s="1387"/>
      <c r="AA18" s="1388">
        <v>1</v>
      </c>
      <c r="AB18" s="1388">
        <v>1</v>
      </c>
      <c r="AC18" s="1388">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882"/>
      <c r="Q19" s="1384" t="str">
        <f>B19</f>
        <v>公共配套设施</v>
      </c>
      <c r="R19" s="1385" t="s">
        <v>5</v>
      </c>
      <c r="S19" s="1386">
        <f>F19</f>
        <v>100</v>
      </c>
      <c r="T19" s="1385" t="s">
        <v>5</v>
      </c>
      <c r="U19" s="1386">
        <f>H19</f>
        <v>100</v>
      </c>
      <c r="V19" s="1385" t="s">
        <v>5</v>
      </c>
      <c r="W19" s="1386">
        <f>J19</f>
        <v>100</v>
      </c>
      <c r="X19" s="1379"/>
      <c r="Y19" s="3882"/>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882"/>
      <c r="Q20" s="1384"/>
      <c r="R20" s="1385"/>
      <c r="S20" s="1386"/>
      <c r="T20" s="1385"/>
      <c r="U20" s="1386"/>
      <c r="V20" s="1385"/>
      <c r="W20" s="1386"/>
      <c r="X20" s="1379"/>
      <c r="Y20" s="3882"/>
      <c r="Z20" s="1387"/>
      <c r="AA20" s="1388">
        <v>1</v>
      </c>
      <c r="AB20" s="1388">
        <v>1</v>
      </c>
      <c r="AC20" s="1388">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882"/>
      <c r="Q21" s="2192" t="str">
        <f>B21</f>
        <v>基础设施水平</v>
      </c>
      <c r="R21" s="1385" t="s">
        <v>5</v>
      </c>
      <c r="S21" s="1386">
        <f>F21</f>
        <v>100</v>
      </c>
      <c r="T21" s="1385" t="s">
        <v>5</v>
      </c>
      <c r="U21" s="1386">
        <f>H21</f>
        <v>100</v>
      </c>
      <c r="V21" s="1385" t="s">
        <v>5</v>
      </c>
      <c r="W21" s="1386">
        <f>J21</f>
        <v>100</v>
      </c>
      <c r="X21" s="2194"/>
      <c r="Y21" s="3882"/>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82"/>
      <c r="Q22" s="2192"/>
      <c r="R22" s="1385"/>
      <c r="S22" s="1386"/>
      <c r="T22" s="1385"/>
      <c r="U22" s="1386"/>
      <c r="V22" s="1385"/>
      <c r="W22" s="1386"/>
      <c r="X22" s="2194"/>
      <c r="Y22" s="3882"/>
      <c r="Z22" s="2193"/>
      <c r="AA22" s="1388">
        <v>1</v>
      </c>
      <c r="AB22" s="1388">
        <v>1</v>
      </c>
      <c r="AC22" s="1388">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882"/>
      <c r="Q23" s="1384" t="str">
        <f>B23</f>
        <v>环境质量</v>
      </c>
      <c r="R23" s="1385" t="s">
        <v>5</v>
      </c>
      <c r="S23" s="1386">
        <f>F23</f>
        <v>100</v>
      </c>
      <c r="T23" s="1385" t="s">
        <v>5</v>
      </c>
      <c r="U23" s="1386">
        <f>H23</f>
        <v>100</v>
      </c>
      <c r="V23" s="1385" t="s">
        <v>5</v>
      </c>
      <c r="W23" s="1386">
        <f>J23</f>
        <v>100</v>
      </c>
      <c r="X23" s="1379"/>
      <c r="Y23" s="3882"/>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882"/>
      <c r="Q24" s="1384"/>
      <c r="R24" s="1385"/>
      <c r="S24" s="1386"/>
      <c r="T24" s="1385"/>
      <c r="U24" s="1386"/>
      <c r="V24" s="1385"/>
      <c r="W24" s="1386"/>
      <c r="X24" s="1379"/>
      <c r="Y24" s="3882"/>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882"/>
      <c r="Q25" s="1384" t="str">
        <f>B25</f>
        <v>毗邻道路的类型与等级</v>
      </c>
      <c r="R25" s="1385" t="s">
        <v>5</v>
      </c>
      <c r="S25" s="1386">
        <f>F25</f>
        <v>100</v>
      </c>
      <c r="T25" s="1385" t="s">
        <v>5</v>
      </c>
      <c r="U25" s="1386">
        <f>H25</f>
        <v>100</v>
      </c>
      <c r="V25" s="1385" t="s">
        <v>5</v>
      </c>
      <c r="W25" s="1386">
        <f>J25</f>
        <v>100</v>
      </c>
      <c r="X25" s="1379"/>
      <c r="Y25" s="3882"/>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882"/>
      <c r="Q26" s="1384"/>
      <c r="R26" s="1385"/>
      <c r="S26" s="1386"/>
      <c r="T26" s="1385"/>
      <c r="U26" s="1386"/>
      <c r="V26" s="1385"/>
      <c r="W26" s="1386"/>
      <c r="X26" s="1379"/>
      <c r="Y26" s="3882"/>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82"/>
      <c r="Q27" s="1384" t="str">
        <f t="shared" ref="Q27:Q47" si="8">B27</f>
        <v>楼层</v>
      </c>
      <c r="R27" s="1385" t="s">
        <v>5</v>
      </c>
      <c r="S27" s="1386">
        <f>F27</f>
        <v>100</v>
      </c>
      <c r="T27" s="1385" t="s">
        <v>5</v>
      </c>
      <c r="U27" s="1386">
        <f>H27</f>
        <v>100</v>
      </c>
      <c r="V27" s="1385" t="s">
        <v>5</v>
      </c>
      <c r="W27" s="1386">
        <f>J27</f>
        <v>100</v>
      </c>
      <c r="X27" s="1379"/>
      <c r="Y27" s="3882"/>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882"/>
      <c r="Q28" s="1049" t="str">
        <f t="shared" si="8"/>
        <v>朝向</v>
      </c>
      <c r="R28" s="1380" t="s">
        <v>5</v>
      </c>
      <c r="S28" s="1381">
        <f>F28</f>
        <v>100</v>
      </c>
      <c r="T28" s="1380" t="s">
        <v>5</v>
      </c>
      <c r="U28" s="1381">
        <f>H28</f>
        <v>100</v>
      </c>
      <c r="V28" s="1380" t="s">
        <v>5</v>
      </c>
      <c r="W28" s="1381">
        <f>J28</f>
        <v>100</v>
      </c>
      <c r="X28" s="1382"/>
      <c r="Y28" s="3882"/>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882"/>
      <c r="Q29" s="1384">
        <f t="shared" si="8"/>
        <v>111</v>
      </c>
      <c r="R29" s="1385" t="s">
        <v>5</v>
      </c>
      <c r="S29" s="1386">
        <f t="shared" ref="S29:S47" si="9">F29</f>
        <v>100</v>
      </c>
      <c r="T29" s="1385" t="s">
        <v>5</v>
      </c>
      <c r="U29" s="1386">
        <f t="shared" ref="U29:U47" si="10">H29</f>
        <v>100</v>
      </c>
      <c r="V29" s="1385" t="s">
        <v>5</v>
      </c>
      <c r="W29" s="1386">
        <f t="shared" ref="W29:W47" si="11">J29</f>
        <v>100</v>
      </c>
      <c r="X29" s="1379"/>
      <c r="Y29" s="3882"/>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882"/>
      <c r="Q30" s="1384">
        <f t="shared" si="8"/>
        <v>111</v>
      </c>
      <c r="R30" s="1385" t="s">
        <v>5</v>
      </c>
      <c r="S30" s="1386">
        <f t="shared" si="9"/>
        <v>100</v>
      </c>
      <c r="T30" s="1385" t="s">
        <v>5</v>
      </c>
      <c r="U30" s="1386">
        <f t="shared" si="10"/>
        <v>100</v>
      </c>
      <c r="V30" s="1385" t="s">
        <v>5</v>
      </c>
      <c r="W30" s="1386">
        <f t="shared" si="11"/>
        <v>100</v>
      </c>
      <c r="X30" s="1379"/>
      <c r="Y30" s="3882"/>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882"/>
      <c r="Q31" s="1384">
        <f t="shared" si="8"/>
        <v>111</v>
      </c>
      <c r="R31" s="1385" t="s">
        <v>5</v>
      </c>
      <c r="S31" s="1386">
        <f t="shared" si="9"/>
        <v>100</v>
      </c>
      <c r="T31" s="1385" t="s">
        <v>5</v>
      </c>
      <c r="U31" s="1386">
        <f t="shared" si="10"/>
        <v>100</v>
      </c>
      <c r="V31" s="1385" t="s">
        <v>5</v>
      </c>
      <c r="W31" s="1386">
        <f t="shared" si="11"/>
        <v>100</v>
      </c>
      <c r="X31" s="1379"/>
      <c r="Y31" s="3882"/>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882"/>
      <c r="Q32" s="1384">
        <f t="shared" si="8"/>
        <v>111</v>
      </c>
      <c r="R32" s="1385" t="s">
        <v>5</v>
      </c>
      <c r="S32" s="1386">
        <f t="shared" si="9"/>
        <v>100</v>
      </c>
      <c r="T32" s="1385" t="s">
        <v>5</v>
      </c>
      <c r="U32" s="1386">
        <f t="shared" si="10"/>
        <v>100</v>
      </c>
      <c r="V32" s="1385" t="s">
        <v>5</v>
      </c>
      <c r="W32" s="1386">
        <f t="shared" si="11"/>
        <v>100</v>
      </c>
      <c r="X32" s="1379"/>
      <c r="Y32" s="3882"/>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883" t="s">
        <v>499</v>
      </c>
      <c r="Q33" s="1384" t="str">
        <f t="shared" si="8"/>
        <v>建筑类型</v>
      </c>
      <c r="R33" s="1385" t="s">
        <v>5</v>
      </c>
      <c r="S33" s="1386">
        <f t="shared" si="9"/>
        <v>100</v>
      </c>
      <c r="T33" s="1385" t="s">
        <v>5</v>
      </c>
      <c r="U33" s="1386">
        <f t="shared" si="10"/>
        <v>100</v>
      </c>
      <c r="V33" s="1385" t="s">
        <v>5</v>
      </c>
      <c r="W33" s="1386">
        <f t="shared" si="11"/>
        <v>100</v>
      </c>
      <c r="X33" s="1379"/>
      <c r="Y33" s="3884"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84"/>
      <c r="Q34" s="1413" t="str">
        <f t="shared" si="8"/>
        <v>项目建筑规模</v>
      </c>
      <c r="R34" s="1389" t="s">
        <v>5</v>
      </c>
      <c r="S34" s="1390" t="e">
        <f t="shared" si="9"/>
        <v>#N/A</v>
      </c>
      <c r="T34" s="1389" t="s">
        <v>5</v>
      </c>
      <c r="U34" s="1390" t="e">
        <f t="shared" si="10"/>
        <v>#N/A</v>
      </c>
      <c r="V34" s="1389" t="s">
        <v>5</v>
      </c>
      <c r="W34" s="1390" t="e">
        <f t="shared" si="11"/>
        <v>#N/A</v>
      </c>
      <c r="X34" s="1391"/>
      <c r="Y34" s="3884"/>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84"/>
      <c r="Q35" s="1384" t="str">
        <f t="shared" si="8"/>
        <v>建筑结构</v>
      </c>
      <c r="R35" s="1385" t="s">
        <v>5</v>
      </c>
      <c r="S35" s="1386">
        <f t="shared" si="9"/>
        <v>100</v>
      </c>
      <c r="T35" s="1385" t="s">
        <v>5</v>
      </c>
      <c r="U35" s="1386">
        <f t="shared" si="10"/>
        <v>100</v>
      </c>
      <c r="V35" s="1385" t="s">
        <v>5</v>
      </c>
      <c r="W35" s="1386">
        <f t="shared" si="11"/>
        <v>100</v>
      </c>
      <c r="X35" s="1379"/>
      <c r="Y35" s="3884"/>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84"/>
      <c r="Q36" s="1384" t="str">
        <f t="shared" si="8"/>
        <v>公共部分装修</v>
      </c>
      <c r="R36" s="1385" t="s">
        <v>5</v>
      </c>
      <c r="S36" s="1386">
        <f t="shared" si="9"/>
        <v>100</v>
      </c>
      <c r="T36" s="1385" t="s">
        <v>5</v>
      </c>
      <c r="U36" s="1386">
        <f t="shared" si="10"/>
        <v>100</v>
      </c>
      <c r="V36" s="1385" t="s">
        <v>5</v>
      </c>
      <c r="W36" s="1386">
        <f t="shared" si="11"/>
        <v>100</v>
      </c>
      <c r="X36" s="1379"/>
      <c r="Y36" s="3884"/>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884"/>
      <c r="Q37" s="1384" t="str">
        <f t="shared" si="8"/>
        <v>成新度</v>
      </c>
      <c r="R37" s="1385" t="s">
        <v>5</v>
      </c>
      <c r="S37" s="1386" t="e">
        <f t="shared" si="9"/>
        <v>#N/A</v>
      </c>
      <c r="T37" s="1385" t="s">
        <v>5</v>
      </c>
      <c r="U37" s="1386" t="e">
        <f t="shared" si="10"/>
        <v>#N/A</v>
      </c>
      <c r="V37" s="1385" t="s">
        <v>5</v>
      </c>
      <c r="W37" s="1386" t="e">
        <f t="shared" si="11"/>
        <v>#N/A</v>
      </c>
      <c r="X37" s="1379"/>
      <c r="Y37" s="3884"/>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84"/>
      <c r="Q38" s="1049" t="str">
        <f t="shared" si="8"/>
        <v>写字楼等级</v>
      </c>
      <c r="R38" s="1380" t="s">
        <v>5</v>
      </c>
      <c r="S38" s="1381">
        <f t="shared" si="9"/>
        <v>100</v>
      </c>
      <c r="T38" s="1380" t="s">
        <v>5</v>
      </c>
      <c r="U38" s="1381">
        <f t="shared" si="10"/>
        <v>100</v>
      </c>
      <c r="V38" s="1380" t="s">
        <v>5</v>
      </c>
      <c r="W38" s="1381">
        <f t="shared" si="11"/>
        <v>100</v>
      </c>
      <c r="X38" s="1382"/>
      <c r="Y38" s="3884"/>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84" t="s">
        <v>499</v>
      </c>
      <c r="Q39" s="1384" t="str">
        <f t="shared" si="8"/>
        <v>物业管理</v>
      </c>
      <c r="R39" s="1385" t="s">
        <v>5</v>
      </c>
      <c r="S39" s="1386">
        <f t="shared" si="9"/>
        <v>100</v>
      </c>
      <c r="T39" s="1385" t="s">
        <v>5</v>
      </c>
      <c r="U39" s="1386">
        <f t="shared" si="10"/>
        <v>100</v>
      </c>
      <c r="V39" s="1385" t="s">
        <v>5</v>
      </c>
      <c r="W39" s="1386">
        <f t="shared" si="11"/>
        <v>100</v>
      </c>
      <c r="X39" s="1379"/>
      <c r="Y39" s="3884"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84"/>
      <c r="Q40" s="1384" t="str">
        <f t="shared" si="8"/>
        <v>市政基础设施</v>
      </c>
      <c r="R40" s="1385" t="s">
        <v>5</v>
      </c>
      <c r="S40" s="1386">
        <f t="shared" si="9"/>
        <v>100</v>
      </c>
      <c r="T40" s="1385" t="s">
        <v>5</v>
      </c>
      <c r="U40" s="1386">
        <f t="shared" si="10"/>
        <v>100</v>
      </c>
      <c r="V40" s="1385" t="s">
        <v>5</v>
      </c>
      <c r="W40" s="1386">
        <f t="shared" si="11"/>
        <v>100</v>
      </c>
      <c r="X40" s="1379"/>
      <c r="Y40" s="3884"/>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84"/>
      <c r="Q41" s="1384" t="str">
        <f t="shared" si="8"/>
        <v>层高</v>
      </c>
      <c r="R41" s="1385" t="s">
        <v>5</v>
      </c>
      <c r="S41" s="1386">
        <f t="shared" si="9"/>
        <v>100</v>
      </c>
      <c r="T41" s="1385" t="s">
        <v>5</v>
      </c>
      <c r="U41" s="1386">
        <f t="shared" si="10"/>
        <v>100</v>
      </c>
      <c r="V41" s="1385" t="s">
        <v>5</v>
      </c>
      <c r="W41" s="1386">
        <f t="shared" si="11"/>
        <v>100</v>
      </c>
      <c r="X41" s="1379"/>
      <c r="Y41" s="3884"/>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84"/>
      <c r="Q42" s="1413" t="str">
        <f t="shared" si="8"/>
        <v>单套建筑面积</v>
      </c>
      <c r="R42" s="1389" t="s">
        <v>5</v>
      </c>
      <c r="S42" s="1390">
        <f t="shared" si="9"/>
        <v>100</v>
      </c>
      <c r="T42" s="1389" t="s">
        <v>5</v>
      </c>
      <c r="U42" s="1390">
        <f t="shared" si="10"/>
        <v>100</v>
      </c>
      <c r="V42" s="1389" t="s">
        <v>5</v>
      </c>
      <c r="W42" s="1390">
        <f t="shared" si="11"/>
        <v>100</v>
      </c>
      <c r="X42" s="1391"/>
      <c r="Y42" s="3884"/>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84"/>
      <c r="Q43" s="1384" t="str">
        <f t="shared" si="8"/>
        <v>内部装修</v>
      </c>
      <c r="R43" s="1385" t="s">
        <v>5</v>
      </c>
      <c r="S43" s="1386">
        <f t="shared" si="9"/>
        <v>100</v>
      </c>
      <c r="T43" s="1385" t="s">
        <v>5</v>
      </c>
      <c r="U43" s="1386">
        <f t="shared" si="10"/>
        <v>100</v>
      </c>
      <c r="V43" s="1385" t="s">
        <v>5</v>
      </c>
      <c r="W43" s="1386">
        <f t="shared" si="11"/>
        <v>100</v>
      </c>
      <c r="X43" s="1379"/>
      <c r="Y43" s="3884"/>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84"/>
      <c r="Q44" s="1384" t="str">
        <f t="shared" si="8"/>
        <v>内部装修维护情况</v>
      </c>
      <c r="R44" s="1385" t="s">
        <v>5</v>
      </c>
      <c r="S44" s="1386">
        <f t="shared" si="9"/>
        <v>100</v>
      </c>
      <c r="T44" s="1385" t="s">
        <v>5</v>
      </c>
      <c r="U44" s="1386">
        <f t="shared" si="10"/>
        <v>100</v>
      </c>
      <c r="V44" s="1385" t="s">
        <v>5</v>
      </c>
      <c r="W44" s="1386">
        <f t="shared" si="11"/>
        <v>100</v>
      </c>
      <c r="X44" s="1379"/>
      <c r="Y44" s="3884"/>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84"/>
      <c r="Q45" s="1049">
        <f t="shared" si="8"/>
        <v>111</v>
      </c>
      <c r="R45" s="1380" t="s">
        <v>5</v>
      </c>
      <c r="S45" s="1381">
        <f t="shared" si="9"/>
        <v>100</v>
      </c>
      <c r="T45" s="1380" t="s">
        <v>5</v>
      </c>
      <c r="U45" s="1381">
        <f t="shared" si="10"/>
        <v>100</v>
      </c>
      <c r="V45" s="1380" t="s">
        <v>5</v>
      </c>
      <c r="W45" s="1381">
        <f t="shared" si="11"/>
        <v>100</v>
      </c>
      <c r="X45" s="1382"/>
      <c r="Y45" s="3884"/>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84"/>
      <c r="Q46" s="1384">
        <f t="shared" si="8"/>
        <v>111</v>
      </c>
      <c r="R46" s="1385" t="s">
        <v>5</v>
      </c>
      <c r="S46" s="1386">
        <f t="shared" si="9"/>
        <v>100</v>
      </c>
      <c r="T46" s="1385" t="s">
        <v>5</v>
      </c>
      <c r="U46" s="1386">
        <f t="shared" si="10"/>
        <v>100</v>
      </c>
      <c r="V46" s="1385" t="s">
        <v>5</v>
      </c>
      <c r="W46" s="1386">
        <f t="shared" si="11"/>
        <v>100</v>
      </c>
      <c r="X46" s="1379"/>
      <c r="Y46" s="3884"/>
      <c r="Z46" s="1387">
        <f t="shared" si="12"/>
        <v>111</v>
      </c>
      <c r="AA46" s="1388">
        <f t="shared" si="3"/>
        <v>1</v>
      </c>
      <c r="AB46" s="1388">
        <f t="shared" si="4"/>
        <v>1</v>
      </c>
      <c r="AC46" s="1388">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77"/>
      <c r="Q47" s="1384">
        <f t="shared" si="8"/>
        <v>111</v>
      </c>
      <c r="R47" s="1385" t="s">
        <v>5</v>
      </c>
      <c r="S47" s="1386">
        <f t="shared" si="9"/>
        <v>100</v>
      </c>
      <c r="T47" s="1385" t="s">
        <v>5</v>
      </c>
      <c r="U47" s="1386">
        <f t="shared" si="10"/>
        <v>100</v>
      </c>
      <c r="V47" s="1385" t="s">
        <v>5</v>
      </c>
      <c r="W47" s="1386">
        <f t="shared" si="11"/>
        <v>100</v>
      </c>
      <c r="X47" s="1379"/>
      <c r="Y47" s="3977"/>
      <c r="Z47" s="1387">
        <f t="shared" si="12"/>
        <v>111</v>
      </c>
      <c r="AA47" s="1388">
        <f t="shared" si="3"/>
        <v>1</v>
      </c>
      <c r="AB47" s="1388">
        <f t="shared" si="4"/>
        <v>1</v>
      </c>
      <c r="AC47" s="1388">
        <f t="shared" si="5"/>
        <v>1</v>
      </c>
    </row>
    <row r="48" spans="1:29" ht="15">
      <c r="A48" s="577" t="s">
        <v>683</v>
      </c>
      <c r="B48" s="849"/>
      <c r="C48" s="2233" t="s">
        <v>0</v>
      </c>
      <c r="D48" s="2234"/>
      <c r="E48" s="2235"/>
      <c r="F48" s="2236"/>
      <c r="G48" s="2237"/>
      <c r="H48" s="2238"/>
      <c r="I48" s="2235"/>
      <c r="J48" s="2238"/>
      <c r="K48" s="1418"/>
      <c r="L48" s="1866"/>
      <c r="M48" s="1856"/>
      <c r="N48" s="1856"/>
      <c r="O48" s="1856"/>
      <c r="P48" s="3886" t="str">
        <f>A48</f>
        <v>成交单价（元/平方米）</v>
      </c>
      <c r="Q48" s="3879"/>
      <c r="R48" s="3976">
        <f>E48</f>
        <v>0</v>
      </c>
      <c r="S48" s="3976"/>
      <c r="T48" s="3976">
        <f>G48</f>
        <v>0</v>
      </c>
      <c r="U48" s="3976"/>
      <c r="V48" s="3976">
        <f>I48</f>
        <v>0</v>
      </c>
      <c r="W48" s="3976"/>
      <c r="X48" s="1374"/>
      <c r="Y48" s="1393"/>
      <c r="Z48" s="1374"/>
      <c r="AA48" s="1374"/>
      <c r="AB48" s="1374"/>
      <c r="AC48" s="1374"/>
    </row>
    <row r="49" spans="1:29" ht="15.75" thickBot="1">
      <c r="A49" s="585" t="s">
        <v>2042</v>
      </c>
      <c r="B49" s="850"/>
      <c r="C49" s="2239" t="e">
        <f>R50</f>
        <v>#DIV/0!</v>
      </c>
      <c r="D49" s="2755" t="s">
        <v>2261</v>
      </c>
      <c r="E49" s="2240" t="e">
        <f>R49</f>
        <v>#DIV/0!</v>
      </c>
      <c r="F49" s="2756"/>
      <c r="G49" s="2239" t="e">
        <f>T49</f>
        <v>#DIV/0!</v>
      </c>
      <c r="H49" s="2756"/>
      <c r="I49" s="2240" t="e">
        <f>V49</f>
        <v>#DIV/0!</v>
      </c>
      <c r="J49" s="2756"/>
      <c r="K49" s="2764">
        <f>F49+H49+J49</f>
        <v>0</v>
      </c>
      <c r="L49" s="1866"/>
      <c r="M49" s="1856"/>
      <c r="N49" s="1856"/>
      <c r="O49" s="1856"/>
      <c r="P49" s="3886" t="str">
        <f>A49</f>
        <v>比较价格（元/平方米）</v>
      </c>
      <c r="Q49" s="3879"/>
      <c r="R49" s="3976" t="e">
        <f>IF(F1="售价",ROUND(PRODUCT(R48,AA7:AA47),0),ROUND(PRODUCT(R48,AA7:AA47),1))</f>
        <v>#DIV/0!</v>
      </c>
      <c r="S49" s="3976"/>
      <c r="T49" s="3976" t="e">
        <f>IF(F1="售价",ROUND(PRODUCT(T48,AB7:AB47),0),ROUND(PRODUCT(T48,AB7:AB47),1))</f>
        <v>#DIV/0!</v>
      </c>
      <c r="U49" s="3976"/>
      <c r="V49" s="3976" t="e">
        <f>IF(F1="售价",ROUND(PRODUCT(V48,AC7:AC47),0),ROUND(PRODUCT(V48,AC7:AC47),1))</f>
        <v>#DIV/0!</v>
      </c>
      <c r="W49" s="3976"/>
      <c r="X49" s="1374"/>
      <c r="Y49" s="1374"/>
      <c r="Z49" s="1374"/>
      <c r="AA49" s="1374"/>
      <c r="AB49" s="1374"/>
      <c r="AC49" s="1374"/>
    </row>
    <row r="50" spans="1:29" ht="15.75" thickBot="1">
      <c r="A50" s="589" t="s">
        <v>2198</v>
      </c>
      <c r="B50" s="590"/>
      <c r="C50" s="2241" t="e">
        <f>R50</f>
        <v>#DIV/0!</v>
      </c>
      <c r="D50" s="2241"/>
      <c r="E50" s="2241"/>
      <c r="F50" s="2241"/>
      <c r="G50" s="2241"/>
      <c r="H50" s="2241"/>
      <c r="I50" s="2241"/>
      <c r="J50" s="2241"/>
      <c r="K50" s="1419"/>
      <c r="L50" s="1866"/>
      <c r="M50" s="1856"/>
      <c r="N50" s="1856"/>
      <c r="O50" s="1856"/>
      <c r="P50" s="4002" t="str">
        <f>A50</f>
        <v>估价对象XX用房的比较价格（楼面单价，元/平方米）</v>
      </c>
      <c r="Q50" s="3886"/>
      <c r="R50" s="3975" t="e">
        <f>IF(F1="售价",ROUND(IF(D49="简单平均",AVERAGE(R49:V49),R49*F49+T49*H49+V49*J49),0),ROUND(IF(D49="简单平均",AVERAGE(R49:V49),R49*F49+T49*H49+V49*J49),1))</f>
        <v>#DIV/0!</v>
      </c>
      <c r="S50" s="3975"/>
      <c r="T50" s="3975"/>
      <c r="U50" s="3975"/>
      <c r="V50" s="3975"/>
      <c r="W50" s="3975"/>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887" t="s">
        <v>471</v>
      </c>
      <c r="D4" s="3888"/>
      <c r="E4" s="3913" t="s">
        <v>472</v>
      </c>
      <c r="F4" s="3914"/>
      <c r="G4" s="3887" t="s">
        <v>473</v>
      </c>
      <c r="H4" s="3888"/>
      <c r="I4" s="3887" t="s">
        <v>474</v>
      </c>
      <c r="J4" s="3888"/>
      <c r="K4" s="484" t="s">
        <v>475</v>
      </c>
      <c r="L4" s="1855"/>
      <c r="M4" s="1856"/>
      <c r="N4" s="1856"/>
      <c r="O4" s="1856"/>
      <c r="P4" s="3889" t="s">
        <v>476</v>
      </c>
      <c r="Q4" s="3890"/>
      <c r="R4" s="3873" t="s">
        <v>472</v>
      </c>
      <c r="S4" s="3874"/>
      <c r="T4" s="3873" t="s">
        <v>473</v>
      </c>
      <c r="U4" s="3874"/>
      <c r="V4" s="3895" t="s">
        <v>474</v>
      </c>
      <c r="W4" s="3895"/>
      <c r="X4" s="1379"/>
      <c r="Y4" s="3873" t="s">
        <v>476</v>
      </c>
      <c r="Z4" s="3874"/>
      <c r="AA4" s="3868" t="s">
        <v>472</v>
      </c>
      <c r="AB4" s="3869" t="s">
        <v>473</v>
      </c>
      <c r="AC4" s="3868" t="s">
        <v>474</v>
      </c>
    </row>
    <row r="5" spans="1:29" ht="15">
      <c r="A5" s="485"/>
      <c r="B5" s="486"/>
      <c r="C5" s="3898" t="s">
        <v>2192</v>
      </c>
      <c r="D5" s="3899"/>
      <c r="E5" s="3915" t="s">
        <v>2193</v>
      </c>
      <c r="F5" s="3916"/>
      <c r="G5" s="3898" t="s">
        <v>2194</v>
      </c>
      <c r="H5" s="3899"/>
      <c r="I5" s="3898" t="s">
        <v>2195</v>
      </c>
      <c r="J5" s="3899"/>
      <c r="K5" s="484"/>
      <c r="L5" s="1855"/>
      <c r="M5" s="1856"/>
      <c r="N5" s="1856"/>
      <c r="O5" s="1856"/>
      <c r="P5" s="3891"/>
      <c r="Q5" s="3892"/>
      <c r="R5" s="3875"/>
      <c r="S5" s="3876"/>
      <c r="T5" s="3875"/>
      <c r="U5" s="3876"/>
      <c r="V5" s="3895"/>
      <c r="W5" s="3895"/>
      <c r="X5" s="1379"/>
      <c r="Y5" s="3875"/>
      <c r="Z5" s="3876"/>
      <c r="AA5" s="3869"/>
      <c r="AB5" s="3869"/>
      <c r="AC5" s="3869"/>
    </row>
    <row r="6" spans="1:29" ht="15.75" thickBot="1">
      <c r="A6" s="487"/>
      <c r="B6" s="488"/>
      <c r="C6" s="3896" t="s">
        <v>2196</v>
      </c>
      <c r="D6" s="3897"/>
      <c r="E6" s="3917" t="s">
        <v>2196</v>
      </c>
      <c r="F6" s="3918"/>
      <c r="G6" s="3896" t="s">
        <v>2196</v>
      </c>
      <c r="H6" s="3897"/>
      <c r="I6" s="3896" t="s">
        <v>2196</v>
      </c>
      <c r="J6" s="3897"/>
      <c r="K6" s="484" t="s">
        <v>477</v>
      </c>
      <c r="L6" s="1855"/>
      <c r="M6" s="1856"/>
      <c r="N6" s="1856"/>
      <c r="O6" s="1856"/>
      <c r="P6" s="3893"/>
      <c r="Q6" s="3894"/>
      <c r="R6" s="3875"/>
      <c r="S6" s="3876"/>
      <c r="T6" s="3877"/>
      <c r="U6" s="3878"/>
      <c r="V6" s="3895"/>
      <c r="W6" s="3895"/>
      <c r="X6" s="1379"/>
      <c r="Y6" s="3877"/>
      <c r="Z6" s="3878"/>
      <c r="AA6" s="3870"/>
      <c r="AB6" s="3870"/>
      <c r="AC6" s="3870"/>
    </row>
    <row r="7" spans="1:29" s="1117" customFormat="1" ht="15.75" thickBot="1">
      <c r="A7" s="2391"/>
      <c r="B7" s="2398" t="s">
        <v>478</v>
      </c>
      <c r="C7" s="489">
        <f>'数据-取费表'!B2</f>
        <v>44929</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71" t="s">
        <v>479</v>
      </c>
      <c r="Q7" s="3880"/>
      <c r="R7" s="1380" t="s">
        <v>5</v>
      </c>
      <c r="S7" s="1381">
        <f t="shared" ref="S7:S15" si="0">F7</f>
        <v>0</v>
      </c>
      <c r="T7" s="1380" t="s">
        <v>5</v>
      </c>
      <c r="U7" s="1381">
        <f t="shared" ref="U7:U15" si="1">H7</f>
        <v>0</v>
      </c>
      <c r="V7" s="1380" t="s">
        <v>5</v>
      </c>
      <c r="W7" s="1381">
        <f t="shared" ref="W7:W15" si="2">J7</f>
        <v>0</v>
      </c>
      <c r="X7" s="1382"/>
      <c r="Y7" s="3871" t="s">
        <v>479</v>
      </c>
      <c r="Z7" s="3872"/>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71" t="s">
        <v>482</v>
      </c>
      <c r="Q8" s="3872"/>
      <c r="R8" s="1380" t="s">
        <v>5</v>
      </c>
      <c r="S8" s="1381">
        <f t="shared" si="0"/>
        <v>0</v>
      </c>
      <c r="T8" s="1380" t="s">
        <v>5</v>
      </c>
      <c r="U8" s="1381">
        <f t="shared" si="1"/>
        <v>0</v>
      </c>
      <c r="V8" s="1380" t="s">
        <v>5</v>
      </c>
      <c r="W8" s="1381">
        <f t="shared" si="2"/>
        <v>0</v>
      </c>
      <c r="X8" s="1382"/>
      <c r="Y8" s="3871" t="s">
        <v>482</v>
      </c>
      <c r="Z8" s="3872"/>
      <c r="AA8" s="1383" t="e">
        <f t="shared" ref="AA8:AA40" si="3">D8/F8</f>
        <v>#DIV/0!</v>
      </c>
      <c r="AB8" s="1383" t="e">
        <f t="shared" ref="AB8:AB40" si="4">D8/H8</f>
        <v>#DIV/0!</v>
      </c>
      <c r="AC8" s="1383" t="e">
        <f t="shared" ref="AC8:AC40" si="5">D8/J8</f>
        <v>#DIV/0!</v>
      </c>
    </row>
    <row r="9" spans="1:29" s="1117"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79" t="s">
        <v>484</v>
      </c>
      <c r="Q9" s="1049" t="str">
        <f t="shared" ref="Q9:Q15" si="6">B9</f>
        <v>用途</v>
      </c>
      <c r="R9" s="1380" t="s">
        <v>5</v>
      </c>
      <c r="S9" s="1381">
        <f t="shared" si="0"/>
        <v>100</v>
      </c>
      <c r="T9" s="1380" t="s">
        <v>5</v>
      </c>
      <c r="U9" s="1381">
        <f t="shared" si="1"/>
        <v>100</v>
      </c>
      <c r="V9" s="1380" t="s">
        <v>5</v>
      </c>
      <c r="W9" s="1381">
        <f t="shared" si="2"/>
        <v>100</v>
      </c>
      <c r="X9" s="1382"/>
      <c r="Y9" s="3831"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79"/>
      <c r="Q11" s="1049" t="str">
        <f t="shared" si="6"/>
        <v>容积率</v>
      </c>
      <c r="R11" s="1380" t="s">
        <v>5</v>
      </c>
      <c r="S11" s="1381" t="e">
        <f t="shared" si="0"/>
        <v>#N/A</v>
      </c>
      <c r="T11" s="1380" t="s">
        <v>5</v>
      </c>
      <c r="U11" s="1381" t="e">
        <f t="shared" si="1"/>
        <v>#N/A</v>
      </c>
      <c r="V11" s="1380" t="s">
        <v>5</v>
      </c>
      <c r="W11" s="1381" t="e">
        <f t="shared" si="2"/>
        <v>#N/A</v>
      </c>
      <c r="X11" s="1382"/>
      <c r="Y11" s="383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879"/>
      <c r="Q12" s="1049">
        <f t="shared" si="6"/>
        <v>111</v>
      </c>
      <c r="R12" s="1380" t="s">
        <v>5</v>
      </c>
      <c r="S12" s="1381">
        <f t="shared" si="0"/>
        <v>100</v>
      </c>
      <c r="T12" s="1380" t="s">
        <v>5</v>
      </c>
      <c r="U12" s="1381">
        <f t="shared" si="1"/>
        <v>100</v>
      </c>
      <c r="V12" s="1380" t="s">
        <v>5</v>
      </c>
      <c r="W12" s="1381">
        <f t="shared" si="2"/>
        <v>100</v>
      </c>
      <c r="X12" s="1382"/>
      <c r="Y12" s="3831"/>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879"/>
      <c r="Q13" s="1049">
        <f t="shared" si="6"/>
        <v>111</v>
      </c>
      <c r="R13" s="1380" t="s">
        <v>5</v>
      </c>
      <c r="S13" s="1381">
        <f t="shared" si="0"/>
        <v>100</v>
      </c>
      <c r="T13" s="1380" t="s">
        <v>5</v>
      </c>
      <c r="U13" s="1381">
        <f t="shared" si="1"/>
        <v>100</v>
      </c>
      <c r="V13" s="1380" t="s">
        <v>5</v>
      </c>
      <c r="W13" s="1381">
        <f t="shared" si="2"/>
        <v>100</v>
      </c>
      <c r="X13" s="1382"/>
      <c r="Y13" s="3831"/>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879"/>
      <c r="Q14" s="1049">
        <f t="shared" si="6"/>
        <v>111</v>
      </c>
      <c r="R14" s="1380" t="s">
        <v>5</v>
      </c>
      <c r="S14" s="1381">
        <f t="shared" si="0"/>
        <v>100</v>
      </c>
      <c r="T14" s="1380" t="s">
        <v>5</v>
      </c>
      <c r="U14" s="1381">
        <f t="shared" si="1"/>
        <v>100</v>
      </c>
      <c r="V14" s="1380" t="s">
        <v>5</v>
      </c>
      <c r="W14" s="1381">
        <f t="shared" si="2"/>
        <v>100</v>
      </c>
      <c r="X14" s="1382"/>
      <c r="Y14" s="3831"/>
      <c r="Z14" s="1048">
        <f t="shared" si="7"/>
        <v>111</v>
      </c>
      <c r="AA14" s="1383">
        <f t="shared" si="3"/>
        <v>1</v>
      </c>
      <c r="AB14" s="1383">
        <f t="shared" si="4"/>
        <v>1</v>
      </c>
      <c r="AC14" s="1383">
        <f t="shared" si="5"/>
        <v>1</v>
      </c>
    </row>
    <row r="15" spans="1:29" ht="57">
      <c r="A15" s="2389"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881" t="s">
        <v>489</v>
      </c>
      <c r="Q15" s="1384" t="str">
        <f t="shared" si="6"/>
        <v>产业集聚程度</v>
      </c>
      <c r="R15" s="1385" t="s">
        <v>5</v>
      </c>
      <c r="S15" s="1386">
        <f t="shared" si="0"/>
        <v>100</v>
      </c>
      <c r="T15" s="1385" t="s">
        <v>5</v>
      </c>
      <c r="U15" s="1386">
        <f t="shared" si="1"/>
        <v>100</v>
      </c>
      <c r="V15" s="1385" t="s">
        <v>5</v>
      </c>
      <c r="W15" s="1386">
        <f t="shared" si="2"/>
        <v>100</v>
      </c>
      <c r="X15" s="1379"/>
      <c r="Y15" s="3881"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82"/>
      <c r="Q16" s="1384"/>
      <c r="R16" s="1385"/>
      <c r="S16" s="1386"/>
      <c r="T16" s="1385"/>
      <c r="U16" s="1386"/>
      <c r="V16" s="1385"/>
      <c r="W16" s="1386"/>
      <c r="X16" s="1379"/>
      <c r="Y16" s="3882"/>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882"/>
      <c r="Q17" s="1384" t="str">
        <f>B17</f>
        <v>交通便捷度</v>
      </c>
      <c r="R17" s="1385" t="s">
        <v>5</v>
      </c>
      <c r="S17" s="1386">
        <f>F17</f>
        <v>100</v>
      </c>
      <c r="T17" s="1385" t="s">
        <v>5</v>
      </c>
      <c r="U17" s="1386">
        <f>H17</f>
        <v>100</v>
      </c>
      <c r="V17" s="1385" t="s">
        <v>5</v>
      </c>
      <c r="W17" s="1386">
        <f>J17</f>
        <v>100</v>
      </c>
      <c r="X17" s="1379"/>
      <c r="Y17" s="388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82"/>
      <c r="Q18" s="1384"/>
      <c r="R18" s="1385"/>
      <c r="S18" s="1386"/>
      <c r="T18" s="1385"/>
      <c r="U18" s="1386"/>
      <c r="V18" s="1385"/>
      <c r="W18" s="1386"/>
      <c r="X18" s="1379"/>
      <c r="Y18" s="3882"/>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882"/>
      <c r="Q19" s="1384" t="str">
        <f>B19</f>
        <v>公共配套设施</v>
      </c>
      <c r="R19" s="1385" t="s">
        <v>5</v>
      </c>
      <c r="S19" s="1386">
        <f>F19</f>
        <v>100</v>
      </c>
      <c r="T19" s="1385" t="s">
        <v>5</v>
      </c>
      <c r="U19" s="1386">
        <f>H19</f>
        <v>100</v>
      </c>
      <c r="V19" s="1385" t="s">
        <v>5</v>
      </c>
      <c r="W19" s="1386">
        <f>J19</f>
        <v>100</v>
      </c>
      <c r="X19" s="1379"/>
      <c r="Y19" s="3882"/>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882"/>
      <c r="Q20" s="1384"/>
      <c r="R20" s="1385"/>
      <c r="S20" s="1386"/>
      <c r="T20" s="1385"/>
      <c r="U20" s="1386"/>
      <c r="V20" s="1385"/>
      <c r="W20" s="1386"/>
      <c r="X20" s="1379"/>
      <c r="Y20" s="3882"/>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882"/>
      <c r="Q21" s="2192" t="str">
        <f>B21</f>
        <v>基础设施水平</v>
      </c>
      <c r="R21" s="1385" t="s">
        <v>5</v>
      </c>
      <c r="S21" s="1386">
        <f>F21</f>
        <v>100</v>
      </c>
      <c r="T21" s="1385" t="s">
        <v>5</v>
      </c>
      <c r="U21" s="1386">
        <f>H21</f>
        <v>100</v>
      </c>
      <c r="V21" s="1385" t="s">
        <v>5</v>
      </c>
      <c r="W21" s="1386">
        <f>J21</f>
        <v>100</v>
      </c>
      <c r="X21" s="2194"/>
      <c r="Y21" s="3882"/>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82"/>
      <c r="Q22" s="2192"/>
      <c r="R22" s="1385"/>
      <c r="S22" s="1386"/>
      <c r="T22" s="1385"/>
      <c r="U22" s="1386"/>
      <c r="V22" s="1385"/>
      <c r="W22" s="1386"/>
      <c r="X22" s="2194"/>
      <c r="Y22" s="3882"/>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882"/>
      <c r="Q23" s="1384" t="str">
        <f>B23</f>
        <v>环境质量</v>
      </c>
      <c r="R23" s="1385" t="s">
        <v>5</v>
      </c>
      <c r="S23" s="1386">
        <f>F23</f>
        <v>100</v>
      </c>
      <c r="T23" s="1385" t="s">
        <v>5</v>
      </c>
      <c r="U23" s="1386">
        <f>H23</f>
        <v>100</v>
      </c>
      <c r="V23" s="1385" t="s">
        <v>5</v>
      </c>
      <c r="W23" s="1386">
        <f>J23</f>
        <v>100</v>
      </c>
      <c r="X23" s="1379"/>
      <c r="Y23" s="3882"/>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882"/>
      <c r="Q24" s="1384"/>
      <c r="R24" s="1385"/>
      <c r="S24" s="1386"/>
      <c r="T24" s="1385"/>
      <c r="U24" s="1386"/>
      <c r="V24" s="1385"/>
      <c r="W24" s="1386"/>
      <c r="X24" s="1379"/>
      <c r="Y24" s="3882"/>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82"/>
      <c r="Q25" s="1384">
        <f>B25</f>
        <v>111</v>
      </c>
      <c r="R25" s="1385" t="s">
        <v>5</v>
      </c>
      <c r="S25" s="1386">
        <f>F25</f>
        <v>100</v>
      </c>
      <c r="T25" s="1385" t="s">
        <v>5</v>
      </c>
      <c r="U25" s="1386">
        <f>H25</f>
        <v>100</v>
      </c>
      <c r="V25" s="1385" t="s">
        <v>5</v>
      </c>
      <c r="W25" s="1386">
        <f>J25</f>
        <v>100</v>
      </c>
      <c r="X25" s="1379"/>
      <c r="Y25" s="3882"/>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82"/>
      <c r="Q26" s="1384">
        <f t="shared" ref="Q26:Q40" si="8">B26</f>
        <v>111</v>
      </c>
      <c r="R26" s="1385" t="s">
        <v>5</v>
      </c>
      <c r="S26" s="1386">
        <f>F26</f>
        <v>100</v>
      </c>
      <c r="T26" s="1385" t="s">
        <v>5</v>
      </c>
      <c r="U26" s="1386">
        <f>H26</f>
        <v>100</v>
      </c>
      <c r="V26" s="1385" t="s">
        <v>5</v>
      </c>
      <c r="W26" s="1386">
        <f>J26</f>
        <v>100</v>
      </c>
      <c r="X26" s="1379"/>
      <c r="Y26" s="3882"/>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82"/>
      <c r="Q27" s="1049">
        <f t="shared" si="8"/>
        <v>111</v>
      </c>
      <c r="R27" s="1380" t="s">
        <v>5</v>
      </c>
      <c r="S27" s="1381">
        <f>F27</f>
        <v>100</v>
      </c>
      <c r="T27" s="1380" t="s">
        <v>5</v>
      </c>
      <c r="U27" s="1381">
        <f>H27</f>
        <v>100</v>
      </c>
      <c r="V27" s="1380" t="s">
        <v>5</v>
      </c>
      <c r="W27" s="1381">
        <f>J27</f>
        <v>100</v>
      </c>
      <c r="X27" s="1382"/>
      <c r="Y27" s="3882"/>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882"/>
      <c r="Q28" s="1384">
        <f t="shared" si="8"/>
        <v>111</v>
      </c>
      <c r="R28" s="1385" t="s">
        <v>5</v>
      </c>
      <c r="S28" s="1386">
        <f t="shared" ref="S28:S40" si="9">F28</f>
        <v>100</v>
      </c>
      <c r="T28" s="1385" t="s">
        <v>5</v>
      </c>
      <c r="U28" s="1386">
        <f t="shared" ref="U28:U40" si="10">H28</f>
        <v>100</v>
      </c>
      <c r="V28" s="1385" t="s">
        <v>5</v>
      </c>
      <c r="W28" s="1386">
        <f t="shared" ref="W28:W40" si="11">J28</f>
        <v>100</v>
      </c>
      <c r="X28" s="1379"/>
      <c r="Y28" s="3882"/>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883" t="s">
        <v>499</v>
      </c>
      <c r="Q29" s="1384" t="str">
        <f t="shared" si="8"/>
        <v>建筑类型</v>
      </c>
      <c r="R29" s="1385" t="s">
        <v>5</v>
      </c>
      <c r="S29" s="1386">
        <f t="shared" si="9"/>
        <v>100</v>
      </c>
      <c r="T29" s="1385" t="s">
        <v>5</v>
      </c>
      <c r="U29" s="1386">
        <f t="shared" si="10"/>
        <v>100</v>
      </c>
      <c r="V29" s="1385" t="s">
        <v>5</v>
      </c>
      <c r="W29" s="1386">
        <f t="shared" si="11"/>
        <v>100</v>
      </c>
      <c r="X29" s="1379"/>
      <c r="Y29" s="3884"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84"/>
      <c r="Q30" s="1413" t="str">
        <f t="shared" si="8"/>
        <v>项目建筑规模</v>
      </c>
      <c r="R30" s="1389" t="s">
        <v>5</v>
      </c>
      <c r="S30" s="1390" t="e">
        <f t="shared" si="9"/>
        <v>#N/A</v>
      </c>
      <c r="T30" s="1389" t="s">
        <v>5</v>
      </c>
      <c r="U30" s="1390" t="e">
        <f t="shared" si="10"/>
        <v>#N/A</v>
      </c>
      <c r="V30" s="1389" t="s">
        <v>5</v>
      </c>
      <c r="W30" s="1390" t="e">
        <f t="shared" si="11"/>
        <v>#N/A</v>
      </c>
      <c r="X30" s="1391"/>
      <c r="Y30" s="3884"/>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84"/>
      <c r="Q31" s="1384" t="str">
        <f t="shared" si="8"/>
        <v>建筑结构</v>
      </c>
      <c r="R31" s="1385" t="s">
        <v>5</v>
      </c>
      <c r="S31" s="1386">
        <f t="shared" si="9"/>
        <v>100</v>
      </c>
      <c r="T31" s="1385" t="s">
        <v>5</v>
      </c>
      <c r="U31" s="1386">
        <f t="shared" si="10"/>
        <v>100</v>
      </c>
      <c r="V31" s="1385" t="s">
        <v>5</v>
      </c>
      <c r="W31" s="1386">
        <f t="shared" si="11"/>
        <v>100</v>
      </c>
      <c r="X31" s="1379"/>
      <c r="Y31" s="3884"/>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84"/>
      <c r="Q32" s="1384" t="str">
        <f t="shared" si="8"/>
        <v>公共部分装修</v>
      </c>
      <c r="R32" s="1385" t="s">
        <v>5</v>
      </c>
      <c r="S32" s="1386">
        <f t="shared" si="9"/>
        <v>100</v>
      </c>
      <c r="T32" s="1385" t="s">
        <v>5</v>
      </c>
      <c r="U32" s="1386">
        <f t="shared" si="10"/>
        <v>100</v>
      </c>
      <c r="V32" s="1385" t="s">
        <v>5</v>
      </c>
      <c r="W32" s="1386">
        <f t="shared" si="11"/>
        <v>100</v>
      </c>
      <c r="X32" s="1379"/>
      <c r="Y32" s="3884"/>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884"/>
      <c r="Q33" s="1384" t="str">
        <f t="shared" si="8"/>
        <v>成新度</v>
      </c>
      <c r="R33" s="1385" t="s">
        <v>5</v>
      </c>
      <c r="S33" s="1386" t="e">
        <f t="shared" si="9"/>
        <v>#N/A</v>
      </c>
      <c r="T33" s="1385" t="s">
        <v>5</v>
      </c>
      <c r="U33" s="1386" t="e">
        <f t="shared" si="10"/>
        <v>#N/A</v>
      </c>
      <c r="V33" s="1385" t="s">
        <v>5</v>
      </c>
      <c r="W33" s="1386" t="e">
        <f t="shared" si="11"/>
        <v>#N/A</v>
      </c>
      <c r="X33" s="1379"/>
      <c r="Y33" s="3884"/>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84"/>
      <c r="Q34" s="1049" t="str">
        <f t="shared" si="8"/>
        <v>物业管理</v>
      </c>
      <c r="R34" s="1380" t="s">
        <v>5</v>
      </c>
      <c r="S34" s="1381">
        <f t="shared" si="9"/>
        <v>100</v>
      </c>
      <c r="T34" s="1380" t="s">
        <v>5</v>
      </c>
      <c r="U34" s="1381">
        <f t="shared" si="10"/>
        <v>100</v>
      </c>
      <c r="V34" s="1380" t="s">
        <v>5</v>
      </c>
      <c r="W34" s="1381">
        <f t="shared" si="11"/>
        <v>100</v>
      </c>
      <c r="X34" s="1382"/>
      <c r="Y34" s="3884"/>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84" t="s">
        <v>499</v>
      </c>
      <c r="Q35" s="1384" t="str">
        <f t="shared" si="8"/>
        <v>市政基础设施</v>
      </c>
      <c r="R35" s="1385" t="s">
        <v>5</v>
      </c>
      <c r="S35" s="1386">
        <f t="shared" si="9"/>
        <v>100</v>
      </c>
      <c r="T35" s="1385" t="s">
        <v>5</v>
      </c>
      <c r="U35" s="1386">
        <f t="shared" si="10"/>
        <v>100</v>
      </c>
      <c r="V35" s="1385" t="s">
        <v>5</v>
      </c>
      <c r="W35" s="1386">
        <f t="shared" si="11"/>
        <v>100</v>
      </c>
      <c r="X35" s="1379"/>
      <c r="Y35" s="3884"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84"/>
      <c r="Q36" s="1384" t="str">
        <f t="shared" si="8"/>
        <v>内部装修</v>
      </c>
      <c r="R36" s="1385" t="s">
        <v>5</v>
      </c>
      <c r="S36" s="1386">
        <f t="shared" si="9"/>
        <v>100</v>
      </c>
      <c r="T36" s="1385" t="s">
        <v>5</v>
      </c>
      <c r="U36" s="1386">
        <f t="shared" si="10"/>
        <v>100</v>
      </c>
      <c r="V36" s="1385" t="s">
        <v>5</v>
      </c>
      <c r="W36" s="1386">
        <f t="shared" si="11"/>
        <v>100</v>
      </c>
      <c r="X36" s="1379"/>
      <c r="Y36" s="3884"/>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84"/>
      <c r="Q37" s="1384" t="str">
        <f t="shared" si="8"/>
        <v>内部装修状况</v>
      </c>
      <c r="R37" s="1385" t="s">
        <v>5</v>
      </c>
      <c r="S37" s="1386">
        <f t="shared" si="9"/>
        <v>100</v>
      </c>
      <c r="T37" s="1385" t="s">
        <v>5</v>
      </c>
      <c r="U37" s="1386">
        <f t="shared" si="10"/>
        <v>100</v>
      </c>
      <c r="V37" s="1385" t="s">
        <v>5</v>
      </c>
      <c r="W37" s="1386">
        <f t="shared" si="11"/>
        <v>100</v>
      </c>
      <c r="X37" s="1379"/>
      <c r="Y37" s="3884"/>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884"/>
      <c r="Q38" s="1413">
        <f t="shared" si="8"/>
        <v>111</v>
      </c>
      <c r="R38" s="1389" t="s">
        <v>5</v>
      </c>
      <c r="S38" s="1390">
        <f t="shared" si="9"/>
        <v>100</v>
      </c>
      <c r="T38" s="1389" t="s">
        <v>5</v>
      </c>
      <c r="U38" s="1390">
        <f t="shared" si="10"/>
        <v>100</v>
      </c>
      <c r="V38" s="1389" t="s">
        <v>5</v>
      </c>
      <c r="W38" s="1390">
        <f t="shared" si="11"/>
        <v>100</v>
      </c>
      <c r="X38" s="1391"/>
      <c r="Y38" s="3884"/>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884"/>
      <c r="Q39" s="1384">
        <f t="shared" si="8"/>
        <v>111</v>
      </c>
      <c r="R39" s="1385" t="s">
        <v>5</v>
      </c>
      <c r="S39" s="1386">
        <f t="shared" si="9"/>
        <v>100</v>
      </c>
      <c r="T39" s="1385" t="s">
        <v>5</v>
      </c>
      <c r="U39" s="1386">
        <f t="shared" si="10"/>
        <v>100</v>
      </c>
      <c r="V39" s="1385" t="s">
        <v>5</v>
      </c>
      <c r="W39" s="1386">
        <f t="shared" si="11"/>
        <v>100</v>
      </c>
      <c r="X39" s="1379"/>
      <c r="Y39" s="3884"/>
      <c r="Z39" s="1387">
        <f t="shared" si="12"/>
        <v>111</v>
      </c>
      <c r="AA39" s="1388">
        <f t="shared" si="3"/>
        <v>1</v>
      </c>
      <c r="AB39" s="1388">
        <f t="shared" si="4"/>
        <v>1</v>
      </c>
      <c r="AC39" s="1388">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3977"/>
      <c r="Q40" s="1384">
        <f t="shared" si="8"/>
        <v>111</v>
      </c>
      <c r="R40" s="1385" t="s">
        <v>5</v>
      </c>
      <c r="S40" s="1386">
        <f t="shared" si="9"/>
        <v>100</v>
      </c>
      <c r="T40" s="1385" t="s">
        <v>5</v>
      </c>
      <c r="U40" s="1386">
        <f t="shared" si="10"/>
        <v>100</v>
      </c>
      <c r="V40" s="1385" t="s">
        <v>5</v>
      </c>
      <c r="W40" s="1386">
        <f t="shared" si="11"/>
        <v>100</v>
      </c>
      <c r="X40" s="1379"/>
      <c r="Y40" s="3977"/>
      <c r="Z40" s="1387">
        <f t="shared" si="12"/>
        <v>111</v>
      </c>
      <c r="AA40" s="1388">
        <f t="shared" si="3"/>
        <v>1</v>
      </c>
      <c r="AB40" s="1388">
        <f t="shared" si="4"/>
        <v>1</v>
      </c>
      <c r="AC40" s="1388">
        <f t="shared" si="5"/>
        <v>1</v>
      </c>
    </row>
    <row r="41" spans="1:29" ht="15">
      <c r="A41" s="577" t="s">
        <v>683</v>
      </c>
      <c r="B41" s="849"/>
      <c r="C41" s="2233" t="s">
        <v>0</v>
      </c>
      <c r="D41" s="2234"/>
      <c r="E41" s="2235"/>
      <c r="F41" s="2236"/>
      <c r="G41" s="2237"/>
      <c r="H41" s="2238"/>
      <c r="I41" s="2235"/>
      <c r="J41" s="2238"/>
      <c r="K41" s="1418"/>
      <c r="L41" s="1866"/>
      <c r="M41" s="1867"/>
      <c r="N41" s="1856"/>
      <c r="O41" s="1867"/>
      <c r="P41" s="3879" t="str">
        <f>A41</f>
        <v>成交单价（元/平方米）</v>
      </c>
      <c r="Q41" s="3879"/>
      <c r="R41" s="3976">
        <f>E41</f>
        <v>0</v>
      </c>
      <c r="S41" s="3976"/>
      <c r="T41" s="3976">
        <f>G41</f>
        <v>0</v>
      </c>
      <c r="U41" s="3976"/>
      <c r="V41" s="3976">
        <f>I41</f>
        <v>0</v>
      </c>
      <c r="W41" s="3976"/>
      <c r="X41" s="1374"/>
      <c r="Y41" s="1393"/>
      <c r="Z41" s="1374"/>
      <c r="AA41" s="1374"/>
      <c r="AB41" s="1374"/>
      <c r="AC41" s="1374"/>
    </row>
    <row r="42" spans="1:29" ht="15.75" thickBot="1">
      <c r="A42" s="585" t="s">
        <v>2042</v>
      </c>
      <c r="B42" s="850"/>
      <c r="C42" s="2239" t="e">
        <f>R43</f>
        <v>#DIV/0!</v>
      </c>
      <c r="D42" s="2755" t="s">
        <v>2261</v>
      </c>
      <c r="E42" s="2240" t="e">
        <f>R42</f>
        <v>#DIV/0!</v>
      </c>
      <c r="F42" s="2756"/>
      <c r="G42" s="2239" t="e">
        <f>T42</f>
        <v>#DIV/0!</v>
      </c>
      <c r="H42" s="2756"/>
      <c r="I42" s="2240" t="e">
        <f>V42</f>
        <v>#DIV/0!</v>
      </c>
      <c r="J42" s="2756"/>
      <c r="K42" s="2764">
        <f>F42+H42+J42</f>
        <v>0</v>
      </c>
      <c r="L42" s="1866"/>
      <c r="M42" s="1867"/>
      <c r="N42" s="1856"/>
      <c r="O42" s="1867"/>
      <c r="P42" s="3879" t="str">
        <f>A42</f>
        <v>比较价格（元/平方米）</v>
      </c>
      <c r="Q42" s="3879"/>
      <c r="R42" s="3976" t="e">
        <f>IF(F1="售价",ROUND(PRODUCT(R41,AA7:AA40),0),ROUND(PRODUCT(R41,AA7:AA40),1))</f>
        <v>#DIV/0!</v>
      </c>
      <c r="S42" s="3976"/>
      <c r="T42" s="3976" t="e">
        <f>IF(F1="售价",ROUND(PRODUCT(T41,AB7:AB40),0),ROUND(PRODUCT(T41,AB7:AB40),1))</f>
        <v>#DIV/0!</v>
      </c>
      <c r="U42" s="3976"/>
      <c r="V42" s="3976" t="e">
        <f>IF(F1="售价",ROUND(PRODUCT(V41,AC7:AC40),0),ROUND(PRODUCT(V41,AC7:AC40),1))</f>
        <v>#DIV/0!</v>
      </c>
      <c r="W42" s="3976"/>
      <c r="X42" s="1374"/>
      <c r="Y42" s="1374"/>
      <c r="Z42" s="1374"/>
      <c r="AA42" s="1374"/>
      <c r="AB42" s="1374"/>
      <c r="AC42" s="1374"/>
    </row>
    <row r="43" spans="1:29" ht="15.75" thickBot="1">
      <c r="A43" s="589" t="s">
        <v>2198</v>
      </c>
      <c r="B43" s="590"/>
      <c r="C43" s="2241" t="e">
        <f>R43</f>
        <v>#DIV/0!</v>
      </c>
      <c r="D43" s="2241"/>
      <c r="E43" s="2241"/>
      <c r="F43" s="2241"/>
      <c r="G43" s="2241"/>
      <c r="H43" s="2241"/>
      <c r="I43" s="2241"/>
      <c r="J43" s="2241"/>
      <c r="K43" s="1419"/>
      <c r="L43" s="1866"/>
      <c r="M43" s="1867"/>
      <c r="N43" s="1867"/>
      <c r="O43" s="1867"/>
      <c r="P43" s="3885" t="str">
        <f>A43</f>
        <v>估价对象XX用房的比较价格（楼面单价，元/平方米）</v>
      </c>
      <c r="Q43" s="3886"/>
      <c r="R43" s="3975" t="e">
        <f>IF(F1="售价",ROUND(IF(D42="简单平均",AVERAGE(R42:V42),R42*F42+T42*H42+V42*J42),0),ROUND(IF(D42="简单平均",AVERAGE(R42:V42),R42*F42+T42*H42+V42*J42),1))</f>
        <v>#DIV/0!</v>
      </c>
      <c r="S43" s="3975"/>
      <c r="T43" s="3975"/>
      <c r="U43" s="3975"/>
      <c r="V43" s="3975"/>
      <c r="W43" s="3975"/>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6" zoomScale="90" zoomScaleNormal="60" zoomScaleSheetLayoutView="90" workbookViewId="0">
      <selection activeCell="O44" sqref="O4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t="s">
        <v>851</v>
      </c>
      <c r="C1" s="474" t="s">
        <v>732</v>
      </c>
      <c r="D1" s="814" t="s">
        <v>3260</v>
      </c>
      <c r="E1" s="476"/>
      <c r="F1" s="2286" t="s">
        <v>3430</v>
      </c>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f>IF(B37="元/平方米",ROUND(B3*D3/10000,0),ROUND(F3*C39/10000,0))</f>
        <v>10704</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f>IF(B37="元/平方米",C39,ROUND(B2*10000/D3,0))</f>
        <v>6592</v>
      </c>
      <c r="C3" s="817" t="s">
        <v>736</v>
      </c>
      <c r="D3" s="816">
        <f>SUMIF('数据-汇总表'!$C19:$C33,D1,'数据-汇总表'!$E19:$E33)</f>
        <v>16237.789999999999</v>
      </c>
      <c r="E3" s="1633" t="s">
        <v>1594</v>
      </c>
      <c r="F3" s="816">
        <f>SUMIF('数据-取费表'!A5:A15,D1,'数据-取费表'!AH5:AH15)</f>
        <v>610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87" t="s">
        <v>738</v>
      </c>
      <c r="D4" s="3888"/>
      <c r="E4" s="3887" t="s">
        <v>739</v>
      </c>
      <c r="F4" s="3888"/>
      <c r="G4" s="3887" t="s">
        <v>740</v>
      </c>
      <c r="H4" s="3888"/>
      <c r="I4" s="3887" t="s">
        <v>741</v>
      </c>
      <c r="J4" s="3888"/>
      <c r="K4" s="484" t="s">
        <v>742</v>
      </c>
      <c r="L4" s="1855"/>
      <c r="M4" s="1856"/>
      <c r="N4" s="1856"/>
      <c r="O4" s="1856"/>
      <c r="P4" s="3889" t="s">
        <v>743</v>
      </c>
      <c r="Q4" s="3890"/>
      <c r="R4" s="3873" t="s">
        <v>739</v>
      </c>
      <c r="S4" s="3874"/>
      <c r="T4" s="3873" t="s">
        <v>740</v>
      </c>
      <c r="U4" s="3874"/>
      <c r="V4" s="3895" t="s">
        <v>741</v>
      </c>
      <c r="W4" s="3895"/>
      <c r="X4" s="1379"/>
      <c r="Y4" s="3873" t="s">
        <v>743</v>
      </c>
      <c r="Z4" s="3874"/>
      <c r="AA4" s="3868" t="s">
        <v>739</v>
      </c>
      <c r="AB4" s="3869" t="s">
        <v>740</v>
      </c>
      <c r="AC4" s="3868" t="s">
        <v>741</v>
      </c>
    </row>
    <row r="5" spans="1:29" ht="15">
      <c r="A5" s="485"/>
      <c r="B5" s="486"/>
      <c r="C5" s="3898" t="s">
        <v>2192</v>
      </c>
      <c r="D5" s="3899"/>
      <c r="E5" s="3974" t="s">
        <v>3434</v>
      </c>
      <c r="F5" s="3899"/>
      <c r="G5" s="3974" t="s">
        <v>3432</v>
      </c>
      <c r="H5" s="3899"/>
      <c r="I5" s="3974" t="s">
        <v>3433</v>
      </c>
      <c r="J5" s="3899"/>
      <c r="K5" s="484"/>
      <c r="L5" s="1855"/>
      <c r="M5" s="1856"/>
      <c r="N5" s="1856"/>
      <c r="O5" s="1856"/>
      <c r="P5" s="3891"/>
      <c r="Q5" s="3892"/>
      <c r="R5" s="3875"/>
      <c r="S5" s="3876"/>
      <c r="T5" s="3875"/>
      <c r="U5" s="3876"/>
      <c r="V5" s="3895"/>
      <c r="W5" s="3895"/>
      <c r="X5" s="1379"/>
      <c r="Y5" s="3875"/>
      <c r="Z5" s="3876"/>
      <c r="AA5" s="3869"/>
      <c r="AB5" s="3869"/>
      <c r="AC5" s="3869"/>
    </row>
    <row r="6" spans="1:29" ht="15.75" thickBot="1">
      <c r="A6" s="487"/>
      <c r="B6" s="488"/>
      <c r="C6" s="3896" t="s">
        <v>2196</v>
      </c>
      <c r="D6" s="3897"/>
      <c r="E6" s="3900" t="s">
        <v>2196</v>
      </c>
      <c r="F6" s="3901"/>
      <c r="G6" s="3896" t="s">
        <v>2196</v>
      </c>
      <c r="H6" s="3897"/>
      <c r="I6" s="3896" t="s">
        <v>2196</v>
      </c>
      <c r="J6" s="3897"/>
      <c r="K6" s="484" t="s">
        <v>477</v>
      </c>
      <c r="L6" s="1855"/>
      <c r="M6" s="1856"/>
      <c r="N6" s="1856"/>
      <c r="O6" s="1856"/>
      <c r="P6" s="3893"/>
      <c r="Q6" s="3894"/>
      <c r="R6" s="3875"/>
      <c r="S6" s="3876"/>
      <c r="T6" s="3877"/>
      <c r="U6" s="3878"/>
      <c r="V6" s="3895"/>
      <c r="W6" s="3895"/>
      <c r="X6" s="1379"/>
      <c r="Y6" s="3877"/>
      <c r="Z6" s="3878"/>
      <c r="AA6" s="3870"/>
      <c r="AB6" s="3870"/>
      <c r="AC6" s="3870"/>
    </row>
    <row r="7" spans="1:29" s="1117" customFormat="1" ht="15.75" thickBot="1">
      <c r="A7" s="2391"/>
      <c r="B7" s="2398" t="s">
        <v>478</v>
      </c>
      <c r="C7" s="489">
        <f>'数据-取费表'!B2</f>
        <v>44929</v>
      </c>
      <c r="D7" s="490">
        <v>100</v>
      </c>
      <c r="E7" s="491">
        <f>C7</f>
        <v>44929</v>
      </c>
      <c r="F7" s="492">
        <f>SUMIF(48:48,YEAR(E7)&amp;"-"&amp;MONTH(E7),49:49)</f>
        <v>100</v>
      </c>
      <c r="G7" s="493">
        <f>C7</f>
        <v>44929</v>
      </c>
      <c r="H7" s="490">
        <f>SUMIF(48:48,YEAR(G7)&amp;"-"&amp;MONTH(G7),49:49)</f>
        <v>100</v>
      </c>
      <c r="I7" s="493">
        <f>C7</f>
        <v>44929</v>
      </c>
      <c r="J7" s="490">
        <f>SUMIF(48:48,YEAR(I7)&amp;"-"&amp;MONTH(I7),49:49)</f>
        <v>100</v>
      </c>
      <c r="K7" s="494"/>
      <c r="L7" s="1857"/>
      <c r="M7" s="1858"/>
      <c r="N7" s="1858"/>
      <c r="O7" s="1858"/>
      <c r="P7" s="3871" t="s">
        <v>479</v>
      </c>
      <c r="Q7" s="3880"/>
      <c r="R7" s="1380" t="s">
        <v>5</v>
      </c>
      <c r="S7" s="1381">
        <f t="shared" ref="S7:S14" si="0">F7</f>
        <v>100</v>
      </c>
      <c r="T7" s="1380" t="s">
        <v>5</v>
      </c>
      <c r="U7" s="1381">
        <f t="shared" ref="U7:U14" si="1">H7</f>
        <v>100</v>
      </c>
      <c r="V7" s="1380" t="s">
        <v>5</v>
      </c>
      <c r="W7" s="1381">
        <f t="shared" ref="W7:W14" si="2">J7</f>
        <v>100</v>
      </c>
      <c r="X7" s="1382"/>
      <c r="Y7" s="3871" t="s">
        <v>479</v>
      </c>
      <c r="Z7" s="3872"/>
      <c r="AA7" s="1383">
        <f>D7/F7</f>
        <v>1</v>
      </c>
      <c r="AB7" s="1383">
        <f>D7/H7</f>
        <v>1</v>
      </c>
      <c r="AC7" s="1383">
        <f>D7/J7</f>
        <v>1</v>
      </c>
    </row>
    <row r="8" spans="1:29" s="1117" customFormat="1" ht="15.75" thickBot="1">
      <c r="A8" s="2392"/>
      <c r="B8" s="2399" t="s">
        <v>480</v>
      </c>
      <c r="C8" s="495" t="s">
        <v>524</v>
      </c>
      <c r="D8" s="490">
        <v>100</v>
      </c>
      <c r="E8" s="495" t="s">
        <v>3393</v>
      </c>
      <c r="F8" s="492">
        <f>SUMIF(51:51,E8,52:52)-SUMIF(51:51,C8,52:52)+100</f>
        <v>100</v>
      </c>
      <c r="G8" s="495" t="s">
        <v>3393</v>
      </c>
      <c r="H8" s="490">
        <f>SUMIF(51:51,G8,52:52)-SUMIF(51:51,C8,52:52)+100</f>
        <v>100</v>
      </c>
      <c r="I8" s="495" t="s">
        <v>3393</v>
      </c>
      <c r="J8" s="490">
        <f>SUMIF(51:51,I8,52:52)-SUMIF(51:51,C8,52:52)+100</f>
        <v>100</v>
      </c>
      <c r="K8" s="494"/>
      <c r="L8" s="1857"/>
      <c r="M8" s="1858"/>
      <c r="N8" s="1858"/>
      <c r="O8" s="1858"/>
      <c r="P8" s="3871" t="s">
        <v>482</v>
      </c>
      <c r="Q8" s="3872"/>
      <c r="R8" s="1380" t="s">
        <v>5</v>
      </c>
      <c r="S8" s="1381">
        <f t="shared" si="0"/>
        <v>100</v>
      </c>
      <c r="T8" s="1380" t="s">
        <v>5</v>
      </c>
      <c r="U8" s="1381">
        <f t="shared" si="1"/>
        <v>100</v>
      </c>
      <c r="V8" s="1380" t="s">
        <v>5</v>
      </c>
      <c r="W8" s="1381">
        <f t="shared" si="2"/>
        <v>100</v>
      </c>
      <c r="X8" s="1382"/>
      <c r="Y8" s="3871" t="s">
        <v>482</v>
      </c>
      <c r="Z8" s="3872"/>
      <c r="AA8" s="1383">
        <f t="shared" ref="AA8:AA36" si="3">D8/F8</f>
        <v>1</v>
      </c>
      <c r="AB8" s="1383">
        <f t="shared" ref="AB8:AB36" si="4">D8/H8</f>
        <v>1</v>
      </c>
      <c r="AC8" s="1383">
        <f t="shared" ref="AC8:AC36" si="5">D8/J8</f>
        <v>1</v>
      </c>
    </row>
    <row r="9" spans="1:29" s="1117" customFormat="1" ht="15">
      <c r="A9" s="2393"/>
      <c r="B9" s="2400" t="s">
        <v>2038</v>
      </c>
      <c r="C9" s="3687" t="s">
        <v>3431</v>
      </c>
      <c r="D9" s="245">
        <v>100</v>
      </c>
      <c r="E9" s="825" t="s">
        <v>3260</v>
      </c>
      <c r="F9" s="245">
        <f>SUMIF(53:53,E9,54:54)-SUMIF(53:53,C9,54:54)+100</f>
        <v>100</v>
      </c>
      <c r="G9" s="825" t="s">
        <v>3260</v>
      </c>
      <c r="H9" s="245">
        <f>SUMIF(53:53,G9,54:54)-SUMIF(53:53,C9,54:54)+100</f>
        <v>100</v>
      </c>
      <c r="I9" s="825" t="s">
        <v>3260</v>
      </c>
      <c r="J9" s="245">
        <f>SUMIF(53:53,I9,54:54)-SUMIF(53:53,C9,54:54)+100</f>
        <v>100</v>
      </c>
      <c r="K9" s="494"/>
      <c r="L9" s="1857"/>
      <c r="M9" s="1858"/>
      <c r="N9" s="1858"/>
      <c r="O9" s="1859"/>
      <c r="P9" s="3879" t="s">
        <v>484</v>
      </c>
      <c r="Q9" s="1049" t="str">
        <f t="shared" ref="Q9:Q14" si="6">B9</f>
        <v>用途</v>
      </c>
      <c r="R9" s="1380" t="s">
        <v>5</v>
      </c>
      <c r="S9" s="1381">
        <f t="shared" si="0"/>
        <v>100</v>
      </c>
      <c r="T9" s="1380" t="s">
        <v>5</v>
      </c>
      <c r="U9" s="1381">
        <f t="shared" si="1"/>
        <v>100</v>
      </c>
      <c r="V9" s="1380" t="s">
        <v>5</v>
      </c>
      <c r="W9" s="1381">
        <f t="shared" si="2"/>
        <v>100</v>
      </c>
      <c r="X9" s="1382"/>
      <c r="Y9" s="3831" t="s">
        <v>485</v>
      </c>
      <c r="Z9" s="1048" t="str">
        <f t="shared" ref="Z9:Z14" si="7">Q9</f>
        <v>用途</v>
      </c>
      <c r="AA9" s="1383">
        <f t="shared" si="3"/>
        <v>1</v>
      </c>
      <c r="AB9" s="1383">
        <f t="shared" si="4"/>
        <v>1</v>
      </c>
      <c r="AC9" s="1383">
        <f t="shared" si="5"/>
        <v>1</v>
      </c>
    </row>
    <row r="10" spans="1:29" s="1198" customFormat="1" ht="27">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79"/>
      <c r="Q11" s="1049">
        <f t="shared" si="6"/>
        <v>111</v>
      </c>
      <c r="R11" s="1380" t="s">
        <v>5</v>
      </c>
      <c r="S11" s="1381">
        <f t="shared" si="0"/>
        <v>100</v>
      </c>
      <c r="T11" s="1380" t="s">
        <v>5</v>
      </c>
      <c r="U11" s="1381">
        <f t="shared" si="1"/>
        <v>100</v>
      </c>
      <c r="V11" s="1380" t="s">
        <v>5</v>
      </c>
      <c r="W11" s="1381">
        <f t="shared" si="2"/>
        <v>100</v>
      </c>
      <c r="X11" s="1382"/>
      <c r="Y11" s="3831"/>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79"/>
      <c r="Q12" s="1049">
        <f t="shared" si="6"/>
        <v>111</v>
      </c>
      <c r="R12" s="1380" t="s">
        <v>5</v>
      </c>
      <c r="S12" s="1381">
        <f t="shared" si="0"/>
        <v>100</v>
      </c>
      <c r="T12" s="1380" t="s">
        <v>5</v>
      </c>
      <c r="U12" s="1381">
        <f t="shared" si="1"/>
        <v>100</v>
      </c>
      <c r="V12" s="1380" t="s">
        <v>5</v>
      </c>
      <c r="W12" s="1381">
        <f t="shared" si="2"/>
        <v>100</v>
      </c>
      <c r="X12" s="1382"/>
      <c r="Y12" s="3831"/>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79"/>
      <c r="Q13" s="1049">
        <f t="shared" si="6"/>
        <v>111</v>
      </c>
      <c r="R13" s="1380" t="s">
        <v>5</v>
      </c>
      <c r="S13" s="1381">
        <f t="shared" si="0"/>
        <v>100</v>
      </c>
      <c r="T13" s="1380" t="s">
        <v>5</v>
      </c>
      <c r="U13" s="1381">
        <f t="shared" si="1"/>
        <v>100</v>
      </c>
      <c r="V13" s="1380" t="s">
        <v>5</v>
      </c>
      <c r="W13" s="1381">
        <f t="shared" si="2"/>
        <v>100</v>
      </c>
      <c r="X13" s="1382"/>
      <c r="Y13" s="3831"/>
      <c r="Z13" s="1048">
        <f t="shared" si="7"/>
        <v>111</v>
      </c>
      <c r="AA13" s="1383">
        <f t="shared" si="3"/>
        <v>1</v>
      </c>
      <c r="AB13" s="1383">
        <f t="shared" si="4"/>
        <v>1</v>
      </c>
      <c r="AC13" s="1383">
        <f t="shared" si="5"/>
        <v>1</v>
      </c>
    </row>
    <row r="14" spans="1:29" ht="85.5">
      <c r="A14" s="2389" t="s">
        <v>2036</v>
      </c>
      <c r="B14" s="517" t="s">
        <v>492</v>
      </c>
      <c r="C14" s="883"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0">
        <v>2</v>
      </c>
      <c r="L14" s="1864"/>
      <c r="M14" s="1856"/>
      <c r="N14" s="1856"/>
      <c r="O14" s="1863"/>
      <c r="P14" s="3881" t="s">
        <v>489</v>
      </c>
      <c r="Q14" s="1384" t="str">
        <f t="shared" si="6"/>
        <v>交通便捷度</v>
      </c>
      <c r="R14" s="1385" t="s">
        <v>5</v>
      </c>
      <c r="S14" s="1386">
        <f t="shared" si="0"/>
        <v>100</v>
      </c>
      <c r="T14" s="1385" t="s">
        <v>5</v>
      </c>
      <c r="U14" s="1386">
        <f t="shared" si="1"/>
        <v>100</v>
      </c>
      <c r="V14" s="1385" t="s">
        <v>5</v>
      </c>
      <c r="W14" s="1386">
        <f t="shared" si="2"/>
        <v>100</v>
      </c>
      <c r="X14" s="1379"/>
      <c r="Y14" s="3881" t="s">
        <v>489</v>
      </c>
      <c r="Z14" s="1387" t="str">
        <f t="shared" si="7"/>
        <v>交通便捷度</v>
      </c>
      <c r="AA14" s="1388">
        <f t="shared" si="3"/>
        <v>1</v>
      </c>
      <c r="AB14" s="1388">
        <f t="shared" si="4"/>
        <v>1</v>
      </c>
      <c r="AC14" s="1388">
        <f t="shared" si="5"/>
        <v>1</v>
      </c>
    </row>
    <row r="15" spans="1:29" ht="15">
      <c r="A15" s="485"/>
      <c r="B15" s="886"/>
      <c r="C15" s="546" t="s">
        <v>3404</v>
      </c>
      <c r="D15" s="525"/>
      <c r="E15" s="546" t="s">
        <v>3404</v>
      </c>
      <c r="F15" s="527"/>
      <c r="G15" s="546" t="s">
        <v>3404</v>
      </c>
      <c r="H15" s="529"/>
      <c r="I15" s="546" t="s">
        <v>3404</v>
      </c>
      <c r="J15" s="525"/>
      <c r="K15" s="861"/>
      <c r="L15" s="1864"/>
      <c r="M15" s="1856"/>
      <c r="N15" s="1856"/>
      <c r="O15" s="1863"/>
      <c r="P15" s="3882"/>
      <c r="Q15" s="1384"/>
      <c r="R15" s="1385"/>
      <c r="S15" s="1386"/>
      <c r="T15" s="1385"/>
      <c r="U15" s="1386"/>
      <c r="V15" s="1385"/>
      <c r="W15" s="1386"/>
      <c r="X15" s="1379"/>
      <c r="Y15" s="3882"/>
      <c r="Z15" s="1387"/>
      <c r="AA15" s="1388">
        <v>1</v>
      </c>
      <c r="AB15" s="1388">
        <v>1</v>
      </c>
      <c r="AC15" s="1388">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98</v>
      </c>
      <c r="K16" s="860">
        <v>2</v>
      </c>
      <c r="L16" s="1864"/>
      <c r="M16" s="1856"/>
      <c r="N16" s="1856"/>
      <c r="O16" s="1863"/>
      <c r="P16" s="3882"/>
      <c r="Q16" s="1384" t="str">
        <f>B16</f>
        <v>公共配套设施</v>
      </c>
      <c r="R16" s="1385" t="s">
        <v>5</v>
      </c>
      <c r="S16" s="1386">
        <f>F16</f>
        <v>100</v>
      </c>
      <c r="T16" s="1385" t="s">
        <v>5</v>
      </c>
      <c r="U16" s="1386">
        <f>H16</f>
        <v>100</v>
      </c>
      <c r="V16" s="1385" t="s">
        <v>5</v>
      </c>
      <c r="W16" s="1386">
        <f>J16</f>
        <v>98</v>
      </c>
      <c r="X16" s="1379"/>
      <c r="Y16" s="3882"/>
      <c r="Z16" s="1387" t="str">
        <f>Q16</f>
        <v>公共配套设施</v>
      </c>
      <c r="AA16" s="1388">
        <f t="shared" si="3"/>
        <v>1</v>
      </c>
      <c r="AB16" s="1388">
        <f t="shared" si="4"/>
        <v>1</v>
      </c>
      <c r="AC16" s="1388">
        <f t="shared" si="5"/>
        <v>1.0204081632653061</v>
      </c>
    </row>
    <row r="17" spans="1:29" ht="15">
      <c r="A17" s="485"/>
      <c r="B17" s="536"/>
      <c r="C17" s="836" t="s">
        <v>3404</v>
      </c>
      <c r="D17" s="525"/>
      <c r="E17" s="546" t="s">
        <v>3404</v>
      </c>
      <c r="F17" s="527"/>
      <c r="G17" s="546" t="s">
        <v>3404</v>
      </c>
      <c r="H17" s="525"/>
      <c r="I17" s="546" t="s">
        <v>3407</v>
      </c>
      <c r="J17" s="525"/>
      <c r="K17" s="861"/>
      <c r="L17" s="1864"/>
      <c r="M17" s="1856"/>
      <c r="N17" s="1856"/>
      <c r="O17" s="1863"/>
      <c r="P17" s="3882"/>
      <c r="Q17" s="1384"/>
      <c r="R17" s="1385"/>
      <c r="S17" s="1386"/>
      <c r="T17" s="1385"/>
      <c r="U17" s="1386"/>
      <c r="V17" s="1385"/>
      <c r="W17" s="1386"/>
      <c r="X17" s="1379"/>
      <c r="Y17" s="3882"/>
      <c r="Z17" s="1387"/>
      <c r="AA17" s="1388">
        <v>1</v>
      </c>
      <c r="AB17" s="1388">
        <v>1</v>
      </c>
      <c r="AC17" s="1388">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v>1</v>
      </c>
      <c r="L18" s="1864"/>
      <c r="M18" s="1856"/>
      <c r="N18" s="1856"/>
      <c r="O18" s="1863"/>
      <c r="P18" s="3882"/>
      <c r="Q18" s="2192" t="str">
        <f>B18</f>
        <v>基础设施水平</v>
      </c>
      <c r="R18" s="1385" t="s">
        <v>5</v>
      </c>
      <c r="S18" s="1386">
        <f>F18</f>
        <v>100</v>
      </c>
      <c r="T18" s="1385" t="s">
        <v>5</v>
      </c>
      <c r="U18" s="1386">
        <f>H18</f>
        <v>100</v>
      </c>
      <c r="V18" s="1385" t="s">
        <v>5</v>
      </c>
      <c r="W18" s="1386">
        <f>J18</f>
        <v>100</v>
      </c>
      <c r="X18" s="2194"/>
      <c r="Y18" s="3882"/>
      <c r="Z18" s="2193" t="str">
        <f>Q18</f>
        <v>基础设施水平</v>
      </c>
      <c r="AA18" s="1388">
        <f>D18/F18</f>
        <v>1</v>
      </c>
      <c r="AB18" s="1388">
        <f>D18/H18</f>
        <v>1</v>
      </c>
      <c r="AC18" s="1388">
        <f>D18/J18</f>
        <v>1</v>
      </c>
    </row>
    <row r="19" spans="1:29" ht="15">
      <c r="A19" s="485"/>
      <c r="B19" s="548"/>
      <c r="C19" s="836" t="s">
        <v>3399</v>
      </c>
      <c r="D19" s="529"/>
      <c r="E19" s="836" t="s">
        <v>3399</v>
      </c>
      <c r="F19" s="527"/>
      <c r="G19" s="836" t="s">
        <v>3399</v>
      </c>
      <c r="H19" s="525"/>
      <c r="I19" s="836" t="s">
        <v>3399</v>
      </c>
      <c r="J19" s="525"/>
      <c r="K19" s="2209"/>
      <c r="L19" s="1864"/>
      <c r="M19" s="1856"/>
      <c r="N19" s="1856"/>
      <c r="O19" s="1863"/>
      <c r="P19" s="3882"/>
      <c r="Q19" s="2192"/>
      <c r="R19" s="1385"/>
      <c r="S19" s="1386"/>
      <c r="T19" s="1385"/>
      <c r="U19" s="1386"/>
      <c r="V19" s="1385"/>
      <c r="W19" s="1386"/>
      <c r="X19" s="2194"/>
      <c r="Y19" s="3882"/>
      <c r="Z19" s="2193"/>
      <c r="AA19" s="1388">
        <v>1</v>
      </c>
      <c r="AB19" s="1388">
        <v>1</v>
      </c>
      <c r="AC19" s="1388">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98</v>
      </c>
      <c r="G20" s="534"/>
      <c r="H20" s="529">
        <f>SUMIF(69:69,G21,70:70)-SUMIF(69:69,C21,70:70)+100</f>
        <v>98</v>
      </c>
      <c r="I20" s="532"/>
      <c r="J20" s="529">
        <f>SUMIF(69:69,I21,70:70)-SUMIF(69:69,C21,70:70)+100</f>
        <v>98</v>
      </c>
      <c r="K20" s="860">
        <v>2</v>
      </c>
      <c r="L20" s="1864"/>
      <c r="M20" s="1856"/>
      <c r="N20" s="1856"/>
      <c r="O20" s="1863"/>
      <c r="P20" s="3882"/>
      <c r="Q20" s="1384" t="str">
        <f>B20</f>
        <v>自然及人文环境</v>
      </c>
      <c r="R20" s="1385" t="s">
        <v>5</v>
      </c>
      <c r="S20" s="1386">
        <f>F20</f>
        <v>98</v>
      </c>
      <c r="T20" s="1385" t="s">
        <v>5</v>
      </c>
      <c r="U20" s="1386">
        <f>H20</f>
        <v>98</v>
      </c>
      <c r="V20" s="1385" t="s">
        <v>5</v>
      </c>
      <c r="W20" s="1386">
        <f>J20</f>
        <v>98</v>
      </c>
      <c r="X20" s="1379"/>
      <c r="Y20" s="3882"/>
      <c r="Z20" s="1387" t="str">
        <f>Q20</f>
        <v>自然及人文环境</v>
      </c>
      <c r="AA20" s="1388">
        <f t="shared" si="3"/>
        <v>1.0204081632653061</v>
      </c>
      <c r="AB20" s="1388">
        <f t="shared" si="4"/>
        <v>1.0204081632653061</v>
      </c>
      <c r="AC20" s="1388">
        <f t="shared" si="5"/>
        <v>1.0204081632653061</v>
      </c>
    </row>
    <row r="21" spans="1:29" ht="15">
      <c r="A21" s="485"/>
      <c r="B21" s="536"/>
      <c r="C21" s="546" t="s">
        <v>3404</v>
      </c>
      <c r="D21" s="525"/>
      <c r="E21" s="546" t="s">
        <v>3407</v>
      </c>
      <c r="F21" s="527"/>
      <c r="G21" s="546" t="s">
        <v>3407</v>
      </c>
      <c r="H21" s="525"/>
      <c r="I21" s="546" t="s">
        <v>3407</v>
      </c>
      <c r="J21" s="525"/>
      <c r="K21" s="861"/>
      <c r="L21" s="1864"/>
      <c r="M21" s="1856"/>
      <c r="N21" s="1856"/>
      <c r="O21" s="1863"/>
      <c r="P21" s="3882"/>
      <c r="Q21" s="1384"/>
      <c r="R21" s="1385"/>
      <c r="S21" s="1386"/>
      <c r="T21" s="1385"/>
      <c r="U21" s="1386"/>
      <c r="V21" s="1385"/>
      <c r="W21" s="1386"/>
      <c r="X21" s="1379"/>
      <c r="Y21" s="3882"/>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82"/>
      <c r="Q22" s="1384" t="str">
        <f>B22</f>
        <v>楼层</v>
      </c>
      <c r="R22" s="1385" t="s">
        <v>5</v>
      </c>
      <c r="S22" s="1386">
        <f>F22</f>
        <v>100</v>
      </c>
      <c r="T22" s="1385" t="s">
        <v>5</v>
      </c>
      <c r="U22" s="1386">
        <f>H22</f>
        <v>100</v>
      </c>
      <c r="V22" s="1385" t="s">
        <v>5</v>
      </c>
      <c r="W22" s="1386">
        <f>J22</f>
        <v>100</v>
      </c>
      <c r="X22" s="1379"/>
      <c r="Y22" s="3882"/>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82"/>
      <c r="Q23" s="1384">
        <f>B23</f>
        <v>111</v>
      </c>
      <c r="R23" s="1385" t="s">
        <v>5</v>
      </c>
      <c r="S23" s="1386">
        <f>F23</f>
        <v>100</v>
      </c>
      <c r="T23" s="1385" t="s">
        <v>5</v>
      </c>
      <c r="U23" s="1386">
        <f>H23</f>
        <v>100</v>
      </c>
      <c r="V23" s="1385" t="s">
        <v>5</v>
      </c>
      <c r="W23" s="1386">
        <f>J23</f>
        <v>100</v>
      </c>
      <c r="X23" s="1379"/>
      <c r="Y23" s="3882"/>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82"/>
      <c r="Q24" s="1384">
        <f t="shared" ref="Q24:Q36" si="8">B24</f>
        <v>111</v>
      </c>
      <c r="R24" s="1385" t="s">
        <v>5</v>
      </c>
      <c r="S24" s="1386">
        <f>F24</f>
        <v>100</v>
      </c>
      <c r="T24" s="1385" t="s">
        <v>5</v>
      </c>
      <c r="U24" s="1386">
        <f>H24</f>
        <v>100</v>
      </c>
      <c r="V24" s="1385" t="s">
        <v>5</v>
      </c>
      <c r="W24" s="1386">
        <f>J24</f>
        <v>100</v>
      </c>
      <c r="X24" s="1379"/>
      <c r="Y24" s="3882"/>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882"/>
      <c r="Q25" s="1049">
        <f t="shared" si="8"/>
        <v>111</v>
      </c>
      <c r="R25" s="1380" t="s">
        <v>5</v>
      </c>
      <c r="S25" s="1381">
        <f>F25</f>
        <v>100</v>
      </c>
      <c r="T25" s="1380" t="s">
        <v>5</v>
      </c>
      <c r="U25" s="1381">
        <f>H25</f>
        <v>100</v>
      </c>
      <c r="V25" s="1380" t="s">
        <v>5</v>
      </c>
      <c r="W25" s="1381">
        <f>J25</f>
        <v>100</v>
      </c>
      <c r="X25" s="1382"/>
      <c r="Y25" s="3882"/>
      <c r="Z25" s="1048">
        <f>Q25</f>
        <v>111</v>
      </c>
      <c r="AA25" s="1388">
        <f>D25/F25</f>
        <v>1</v>
      </c>
      <c r="AB25" s="1388">
        <f>D25/H25</f>
        <v>1</v>
      </c>
      <c r="AC25" s="1388">
        <f>D25/J25</f>
        <v>1</v>
      </c>
    </row>
    <row r="26" spans="1:29" ht="15">
      <c r="A26" s="2386" t="s">
        <v>2037</v>
      </c>
      <c r="B26" s="163" t="s">
        <v>746</v>
      </c>
      <c r="C26" s="890"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c r="L26" s="1864"/>
      <c r="M26" s="1856"/>
      <c r="N26" s="1856"/>
      <c r="O26" s="1863"/>
      <c r="P26" s="3883"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84"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884"/>
      <c r="Q27" s="1413" t="str">
        <f t="shared" si="8"/>
        <v>项目停车位配比</v>
      </c>
      <c r="R27" s="1389" t="s">
        <v>5</v>
      </c>
      <c r="S27" s="1390">
        <f t="shared" si="9"/>
        <v>100</v>
      </c>
      <c r="T27" s="1389" t="s">
        <v>5</v>
      </c>
      <c r="U27" s="1390">
        <f t="shared" si="10"/>
        <v>100</v>
      </c>
      <c r="V27" s="1389" t="s">
        <v>5</v>
      </c>
      <c r="W27" s="1390">
        <f t="shared" si="11"/>
        <v>100</v>
      </c>
      <c r="X27" s="1391"/>
      <c r="Y27" s="3884"/>
      <c r="Z27" s="1392" t="str">
        <f t="shared" si="12"/>
        <v>项目停车位配比</v>
      </c>
      <c r="AA27" s="1388">
        <f t="shared" si="3"/>
        <v>1</v>
      </c>
      <c r="AB27" s="1388">
        <f t="shared" si="4"/>
        <v>1</v>
      </c>
      <c r="AC27" s="1388">
        <f t="shared" si="5"/>
        <v>1</v>
      </c>
    </row>
    <row r="28" spans="1:29" ht="15">
      <c r="A28" s="893"/>
      <c r="B28" s="552" t="s">
        <v>748</v>
      </c>
      <c r="C28" s="544" t="s">
        <v>3435</v>
      </c>
      <c r="D28" s="510">
        <v>100</v>
      </c>
      <c r="E28" s="544" t="s">
        <v>3435</v>
      </c>
      <c r="F28" s="545">
        <f>SUMIF(83:83,E28,84:84)-SUMIF(83:83,C28,84:84)+100</f>
        <v>100</v>
      </c>
      <c r="G28" s="544" t="s">
        <v>3435</v>
      </c>
      <c r="H28" s="510">
        <f>SUMIF(83:83,G28,84:84)-SUMIF(83:83,C28,84:84)+100</f>
        <v>100</v>
      </c>
      <c r="I28" s="544" t="s">
        <v>3435</v>
      </c>
      <c r="J28" s="510">
        <f>SUMIF(83:83,I28,84:84)-SUMIF(83:83,C28,84:84)+100</f>
        <v>100</v>
      </c>
      <c r="K28" s="554">
        <v>2</v>
      </c>
      <c r="L28" s="1864"/>
      <c r="M28" s="1856"/>
      <c r="N28" s="1856"/>
      <c r="O28" s="1863"/>
      <c r="P28" s="3884"/>
      <c r="Q28" s="1384" t="str">
        <f t="shared" si="8"/>
        <v>公共部分装修</v>
      </c>
      <c r="R28" s="1385" t="s">
        <v>5</v>
      </c>
      <c r="S28" s="1386">
        <f t="shared" si="9"/>
        <v>100</v>
      </c>
      <c r="T28" s="1385" t="s">
        <v>5</v>
      </c>
      <c r="U28" s="1386">
        <f t="shared" si="10"/>
        <v>100</v>
      </c>
      <c r="V28" s="1385" t="s">
        <v>5</v>
      </c>
      <c r="W28" s="1386">
        <f t="shared" si="11"/>
        <v>100</v>
      </c>
      <c r="X28" s="1379"/>
      <c r="Y28" s="3884"/>
      <c r="Z28" s="1387" t="str">
        <f t="shared" si="12"/>
        <v>公共部分装修</v>
      </c>
      <c r="AA28" s="1388">
        <f t="shared" si="3"/>
        <v>1</v>
      </c>
      <c r="AB28" s="1388">
        <f t="shared" si="4"/>
        <v>1</v>
      </c>
      <c r="AC28" s="1388">
        <f t="shared" si="5"/>
        <v>1</v>
      </c>
    </row>
    <row r="29" spans="1:29" ht="15">
      <c r="A29" s="893"/>
      <c r="B29" s="552" t="s">
        <v>749</v>
      </c>
      <c r="C29" s="842">
        <v>100</v>
      </c>
      <c r="D29" s="510">
        <v>100</v>
      </c>
      <c r="E29" s="845">
        <v>1</v>
      </c>
      <c r="F29" s="545">
        <f>LOOKUP(E29,86:86,87:87)-LOOKUP(C29,86:86,87:87)+100</f>
        <v>100</v>
      </c>
      <c r="G29" s="845">
        <v>1</v>
      </c>
      <c r="H29" s="545">
        <f>LOOKUP(G29,86:86,87:87)-LOOKUP(C29,86:86,87:87)+100</f>
        <v>100</v>
      </c>
      <c r="I29" s="845">
        <v>1</v>
      </c>
      <c r="J29" s="510">
        <f>LOOKUP(I29,86:86,87:87)-LOOKUP(C29,86:86,87:87)+100</f>
        <v>100</v>
      </c>
      <c r="K29" s="554">
        <v>0</v>
      </c>
      <c r="L29" s="1864"/>
      <c r="M29" s="1856"/>
      <c r="N29" s="1856"/>
      <c r="O29" s="1863"/>
      <c r="P29" s="3884"/>
      <c r="Q29" s="1384" t="str">
        <f t="shared" si="8"/>
        <v>成新率</v>
      </c>
      <c r="R29" s="1385" t="s">
        <v>5</v>
      </c>
      <c r="S29" s="1386">
        <f t="shared" si="9"/>
        <v>100</v>
      </c>
      <c r="T29" s="1385" t="s">
        <v>5</v>
      </c>
      <c r="U29" s="1386">
        <f t="shared" si="10"/>
        <v>100</v>
      </c>
      <c r="V29" s="1385" t="s">
        <v>5</v>
      </c>
      <c r="W29" s="1386">
        <f t="shared" si="11"/>
        <v>100</v>
      </c>
      <c r="X29" s="1379"/>
      <c r="Y29" s="3884"/>
      <c r="Z29" s="1387" t="str">
        <f t="shared" si="12"/>
        <v>成新率</v>
      </c>
      <c r="AA29" s="1388">
        <f t="shared" si="3"/>
        <v>1</v>
      </c>
      <c r="AB29" s="1388">
        <f t="shared" si="4"/>
        <v>1</v>
      </c>
      <c r="AC29" s="1388">
        <f t="shared" si="5"/>
        <v>1</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884"/>
      <c r="Q30" s="1384" t="str">
        <f t="shared" si="8"/>
        <v>物业等级</v>
      </c>
      <c r="R30" s="1385" t="s">
        <v>5</v>
      </c>
      <c r="S30" s="1386">
        <f t="shared" si="9"/>
        <v>100</v>
      </c>
      <c r="T30" s="1385" t="s">
        <v>5</v>
      </c>
      <c r="U30" s="1386">
        <f t="shared" si="10"/>
        <v>100</v>
      </c>
      <c r="V30" s="1385" t="s">
        <v>5</v>
      </c>
      <c r="W30" s="1386">
        <f t="shared" si="11"/>
        <v>100</v>
      </c>
      <c r="X30" s="1379"/>
      <c r="Y30" s="3884"/>
      <c r="Z30" s="1387" t="str">
        <f t="shared" si="12"/>
        <v>物业等级</v>
      </c>
      <c r="AA30" s="1388">
        <f t="shared" si="3"/>
        <v>1</v>
      </c>
      <c r="AB30" s="1388">
        <f t="shared" si="4"/>
        <v>1</v>
      </c>
      <c r="AC30" s="1388">
        <f t="shared" si="5"/>
        <v>1</v>
      </c>
    </row>
    <row r="31" spans="1:29" s="1117" customFormat="1" ht="15">
      <c r="A31" s="895"/>
      <c r="B31" s="552" t="s">
        <v>751</v>
      </c>
      <c r="C31" s="842">
        <v>27</v>
      </c>
      <c r="D31" s="246">
        <v>100</v>
      </c>
      <c r="E31" s="842">
        <v>33</v>
      </c>
      <c r="F31" s="545">
        <f>LOOKUP(E31,91:91,92:92)-LOOKUP(C31,91:91,92:92)+100</f>
        <v>105</v>
      </c>
      <c r="G31" s="842">
        <v>33</v>
      </c>
      <c r="H31" s="510">
        <f>LOOKUP(G31,91:91,92:92)-LOOKUP(C31,91:91,92:92)+100</f>
        <v>105</v>
      </c>
      <c r="I31" s="842">
        <v>30</v>
      </c>
      <c r="J31" s="510">
        <f>LOOKUP(I31,91:91,92:92)-LOOKUP(C31,91:91,92:92)+100</f>
        <v>105</v>
      </c>
      <c r="K31" s="554">
        <v>2</v>
      </c>
      <c r="L31" s="1857"/>
      <c r="M31" s="1858"/>
      <c r="N31" s="1858"/>
      <c r="O31" s="1859"/>
      <c r="P31" s="3884"/>
      <c r="Q31" s="1049" t="str">
        <f t="shared" si="8"/>
        <v>停车位面积</v>
      </c>
      <c r="R31" s="1380" t="s">
        <v>5</v>
      </c>
      <c r="S31" s="1381">
        <f t="shared" si="9"/>
        <v>105</v>
      </c>
      <c r="T31" s="1380" t="s">
        <v>5</v>
      </c>
      <c r="U31" s="1381">
        <f t="shared" si="10"/>
        <v>105</v>
      </c>
      <c r="V31" s="1380" t="s">
        <v>5</v>
      </c>
      <c r="W31" s="1381">
        <f t="shared" si="11"/>
        <v>105</v>
      </c>
      <c r="X31" s="1382"/>
      <c r="Y31" s="3884"/>
      <c r="Z31" s="1048" t="str">
        <f t="shared" si="12"/>
        <v>停车位面积</v>
      </c>
      <c r="AA31" s="1383">
        <f t="shared" si="3"/>
        <v>0.95238095238095233</v>
      </c>
      <c r="AB31" s="1383">
        <f t="shared" si="4"/>
        <v>0.95238095238095233</v>
      </c>
      <c r="AC31" s="1383">
        <f t="shared" si="5"/>
        <v>0.95238095238095233</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84" t="s">
        <v>499</v>
      </c>
      <c r="Q32" s="1384" t="str">
        <f t="shared" si="8"/>
        <v>车位类型</v>
      </c>
      <c r="R32" s="1385" t="s">
        <v>5</v>
      </c>
      <c r="S32" s="1386">
        <f t="shared" si="9"/>
        <v>100</v>
      </c>
      <c r="T32" s="1385" t="s">
        <v>5</v>
      </c>
      <c r="U32" s="1386">
        <f t="shared" si="10"/>
        <v>100</v>
      </c>
      <c r="V32" s="1385" t="s">
        <v>5</v>
      </c>
      <c r="W32" s="1386">
        <f t="shared" si="11"/>
        <v>100</v>
      </c>
      <c r="X32" s="1379"/>
      <c r="Y32" s="3884" t="s">
        <v>499</v>
      </c>
      <c r="Z32" s="1387" t="str">
        <f t="shared" si="12"/>
        <v>车位类型</v>
      </c>
      <c r="AA32" s="1388">
        <f t="shared" si="3"/>
        <v>1</v>
      </c>
      <c r="AB32" s="1388">
        <f t="shared" si="4"/>
        <v>1</v>
      </c>
      <c r="AC32" s="1388">
        <f t="shared" si="5"/>
        <v>1</v>
      </c>
    </row>
    <row r="33" spans="1:29" ht="15">
      <c r="A33" s="893"/>
      <c r="B33" s="552" t="s">
        <v>753</v>
      </c>
      <c r="C33" s="544" t="s">
        <v>3315</v>
      </c>
      <c r="D33" s="510">
        <v>100</v>
      </c>
      <c r="E33" s="544" t="s">
        <v>3315</v>
      </c>
      <c r="F33" s="545">
        <f>SUMIF(95:95,E33,96:96)-SUMIF(95:95,C33,96:96)+100</f>
        <v>100</v>
      </c>
      <c r="G33" s="544" t="s">
        <v>3315</v>
      </c>
      <c r="H33" s="510">
        <f>SUMIF(95:95,G33,96:96)-SUMIF(95:95,C33,96:96)+100</f>
        <v>100</v>
      </c>
      <c r="I33" s="544" t="s">
        <v>3315</v>
      </c>
      <c r="J33" s="510">
        <f>SUMIF(95:95,I33,96:96)-SUMIF(95:95,C33,96:96)+100</f>
        <v>100</v>
      </c>
      <c r="K33" s="554">
        <v>2</v>
      </c>
      <c r="L33" s="1864"/>
      <c r="M33" s="1856"/>
      <c r="N33" s="1856"/>
      <c r="O33" s="1863"/>
      <c r="P33" s="3884"/>
      <c r="Q33" s="1384" t="str">
        <f t="shared" si="8"/>
        <v>是否直接入户</v>
      </c>
      <c r="R33" s="1385" t="s">
        <v>5</v>
      </c>
      <c r="S33" s="1386">
        <f t="shared" si="9"/>
        <v>100</v>
      </c>
      <c r="T33" s="1385" t="s">
        <v>5</v>
      </c>
      <c r="U33" s="1386">
        <f t="shared" si="10"/>
        <v>100</v>
      </c>
      <c r="V33" s="1385" t="s">
        <v>5</v>
      </c>
      <c r="W33" s="1386">
        <f t="shared" si="11"/>
        <v>100</v>
      </c>
      <c r="X33" s="1379"/>
      <c r="Y33" s="3884"/>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84"/>
      <c r="Q34" s="1384">
        <f t="shared" si="8"/>
        <v>111</v>
      </c>
      <c r="R34" s="1385" t="s">
        <v>5</v>
      </c>
      <c r="S34" s="1386">
        <f t="shared" si="9"/>
        <v>100</v>
      </c>
      <c r="T34" s="1385" t="s">
        <v>5</v>
      </c>
      <c r="U34" s="1386">
        <f t="shared" si="10"/>
        <v>100</v>
      </c>
      <c r="V34" s="1385" t="s">
        <v>5</v>
      </c>
      <c r="W34" s="1386">
        <f t="shared" si="11"/>
        <v>100</v>
      </c>
      <c r="X34" s="1379"/>
      <c r="Y34" s="3884"/>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84"/>
      <c r="Q35" s="1413">
        <f t="shared" si="8"/>
        <v>111</v>
      </c>
      <c r="R35" s="1389" t="s">
        <v>5</v>
      </c>
      <c r="S35" s="1390">
        <f t="shared" si="9"/>
        <v>100</v>
      </c>
      <c r="T35" s="1389" t="s">
        <v>5</v>
      </c>
      <c r="U35" s="1390">
        <f t="shared" si="10"/>
        <v>100</v>
      </c>
      <c r="V35" s="1389" t="s">
        <v>5</v>
      </c>
      <c r="W35" s="1390">
        <f t="shared" si="11"/>
        <v>100</v>
      </c>
      <c r="X35" s="1391"/>
      <c r="Y35" s="3884"/>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84"/>
      <c r="Q36" s="1384">
        <f t="shared" si="8"/>
        <v>111</v>
      </c>
      <c r="R36" s="1385" t="s">
        <v>5</v>
      </c>
      <c r="S36" s="1386">
        <f t="shared" si="9"/>
        <v>100</v>
      </c>
      <c r="T36" s="1385" t="s">
        <v>5</v>
      </c>
      <c r="U36" s="1386">
        <f t="shared" si="10"/>
        <v>100</v>
      </c>
      <c r="V36" s="1385" t="s">
        <v>5</v>
      </c>
      <c r="W36" s="1386">
        <f t="shared" si="11"/>
        <v>100</v>
      </c>
      <c r="X36" s="1379"/>
      <c r="Y36" s="3884"/>
      <c r="Z36" s="1387">
        <f t="shared" si="12"/>
        <v>111</v>
      </c>
      <c r="AA36" s="1388">
        <f t="shared" si="3"/>
        <v>1</v>
      </c>
      <c r="AB36" s="1388">
        <f t="shared" si="4"/>
        <v>1</v>
      </c>
      <c r="AC36" s="1388">
        <f t="shared" si="5"/>
        <v>1</v>
      </c>
    </row>
    <row r="37" spans="1:29" ht="15">
      <c r="A37" s="1631" t="s">
        <v>1595</v>
      </c>
      <c r="B37" s="1632" t="s">
        <v>3437</v>
      </c>
      <c r="C37" s="2233" t="s">
        <v>0</v>
      </c>
      <c r="D37" s="2234"/>
      <c r="E37" s="2235">
        <v>198000</v>
      </c>
      <c r="F37" s="2236"/>
      <c r="G37" s="2237">
        <v>160000</v>
      </c>
      <c r="H37" s="2238"/>
      <c r="I37" s="2235">
        <v>180000</v>
      </c>
      <c r="J37" s="2238"/>
      <c r="K37" s="1418"/>
      <c r="L37" s="1866"/>
      <c r="M37" s="1867"/>
      <c r="N37" s="1856"/>
      <c r="O37" s="1867"/>
      <c r="P37" s="3879" t="str">
        <f>A37</f>
        <v>成交单价</v>
      </c>
      <c r="Q37" s="3879"/>
      <c r="R37" s="3976">
        <f>E37</f>
        <v>198000</v>
      </c>
      <c r="S37" s="3976"/>
      <c r="T37" s="3976">
        <f>G37</f>
        <v>160000</v>
      </c>
      <c r="U37" s="3976"/>
      <c r="V37" s="3976">
        <f>I37</f>
        <v>180000</v>
      </c>
      <c r="W37" s="3976"/>
      <c r="X37" s="1374"/>
      <c r="Y37" s="1393"/>
      <c r="Z37" s="1374"/>
      <c r="AA37" s="1374"/>
      <c r="AB37" s="1374"/>
      <c r="AC37" s="1374"/>
    </row>
    <row r="38" spans="1:29" ht="15.75" thickBot="1">
      <c r="A38" s="585" t="s">
        <v>2042</v>
      </c>
      <c r="B38" s="850"/>
      <c r="C38" s="2239">
        <f>R39</f>
        <v>175469</v>
      </c>
      <c r="D38" s="2755" t="s">
        <v>2261</v>
      </c>
      <c r="E38" s="2240">
        <f>R38</f>
        <v>192420</v>
      </c>
      <c r="F38" s="2756"/>
      <c r="G38" s="2239">
        <f>T38</f>
        <v>155491</v>
      </c>
      <c r="H38" s="2756"/>
      <c r="I38" s="2240">
        <f>V38</f>
        <v>178497</v>
      </c>
      <c r="J38" s="2756"/>
      <c r="K38" s="2764">
        <f>F38+H38+J38</f>
        <v>0</v>
      </c>
      <c r="L38" s="1866"/>
      <c r="M38" s="1867"/>
      <c r="N38" s="1867"/>
      <c r="O38" s="1867"/>
      <c r="P38" s="3879" t="str">
        <f>A38</f>
        <v>比较价格（元/平方米）</v>
      </c>
      <c r="Q38" s="3879"/>
      <c r="R38" s="3976">
        <f>IF(F1="售价",ROUND(PRODUCT(R37,AA7:AA36),0),ROUND(PRODUCT(R37,AA7:AA36),1))</f>
        <v>192420</v>
      </c>
      <c r="S38" s="3976"/>
      <c r="T38" s="3976">
        <f>IF(F1="售价",ROUND(PRODUCT(T37,AB7:AB36),0),ROUND(PRODUCT(T37,AB7:AB36),1))</f>
        <v>155491</v>
      </c>
      <c r="U38" s="3976"/>
      <c r="V38" s="3976">
        <f>IF(F1="售价",ROUND(PRODUCT(V37,AC7:AC36),0),ROUND(PRODUCT(V37,AC7:AC36),1))</f>
        <v>178497</v>
      </c>
      <c r="W38" s="3976"/>
      <c r="X38" s="1374"/>
      <c r="Y38" s="1374"/>
      <c r="Z38" s="1374"/>
      <c r="AA38" s="1374"/>
      <c r="AB38" s="1374"/>
      <c r="AC38" s="1374"/>
    </row>
    <row r="39" spans="1:29" ht="15.75" thickBot="1">
      <c r="A39" s="589" t="s">
        <v>2198</v>
      </c>
      <c r="B39" s="590"/>
      <c r="C39" s="2241">
        <f>R39</f>
        <v>175469</v>
      </c>
      <c r="D39" s="2241"/>
      <c r="E39" s="2241"/>
      <c r="F39" s="2241"/>
      <c r="G39" s="2241"/>
      <c r="H39" s="2241"/>
      <c r="I39" s="2241"/>
      <c r="J39" s="2241"/>
      <c r="K39" s="1419"/>
      <c r="L39" s="1866"/>
      <c r="M39" s="1867"/>
      <c r="N39" s="1867"/>
      <c r="O39" s="1867"/>
      <c r="P39" s="3885" t="str">
        <f>A39</f>
        <v>估价对象XX用房的比较价格（楼面单价，元/平方米）</v>
      </c>
      <c r="Q39" s="3886"/>
      <c r="R39" s="3975">
        <f>IF(F1="售价",ROUND(IF(D38="简单平均",AVERAGE(R38:W38),R38*F38+T38*H38+V38*J38),0),ROUND(IF(D38="简单平均",AVERAGE(R38:V38),R38*F38+T38*H38+V38*J38),1))</f>
        <v>175469</v>
      </c>
      <c r="S39" s="3975"/>
      <c r="T39" s="3975"/>
      <c r="U39" s="3975"/>
      <c r="V39" s="3975"/>
      <c r="W39" s="3975"/>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f>IF(E37&lt;E38,E38/E37-1,E37/E38-1)</f>
        <v>2.8999064546304965E-2</v>
      </c>
      <c r="F42" s="595" t="str">
        <f>IF(OR(E42&gt;=0.3,E42&lt;=-0.3),"超过30%","")</f>
        <v/>
      </c>
      <c r="G42" s="594">
        <f>IF(G37&lt;G38,G38/G37-1,G37/G38-1)</f>
        <v>2.8998462933546021E-2</v>
      </c>
      <c r="H42" s="595" t="str">
        <f>IF(OR(G42&gt;=0.3,G42&lt;=-0.3),"超过30%","")</f>
        <v/>
      </c>
      <c r="I42" s="594">
        <f>IF(I37&lt;I38,I38/I37-1,I37/I38-1)</f>
        <v>8.4203095850350351E-3</v>
      </c>
      <c r="J42" s="595" t="str">
        <f>IF(OR(I42&gt;=0.3,I42&lt;=-0.3),"超过30%","")</f>
        <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f>IF(E38&lt;G38,G38/E38-1,E38/G38-1)</f>
        <v>0.23749927648545577</v>
      </c>
      <c r="F43" s="595" t="str">
        <f>IF(OR(E43&gt;=0.2,E43&lt;=-0.2),"超过20%","")</f>
        <v>超过20%</v>
      </c>
      <c r="G43" s="594">
        <f>IF(G38&lt;I38,I38/G38-1,G38/I38-1)</f>
        <v>0.14795711648905718</v>
      </c>
      <c r="H43" s="595" t="str">
        <f>IF(OR(G43&gt;=0.2,G43&lt;=-0.2),"超过20%","")</f>
        <v/>
      </c>
      <c r="I43" s="594">
        <f>IF(I38&lt;E38,E38/I38-1,I38/E38-1)</f>
        <v>7.8001310946402391E-2</v>
      </c>
      <c r="J43" s="595" t="str">
        <f>IF(OR(I43&gt;=0.2,I43&lt;=-0.2),"超过20%","")</f>
        <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f>IF(E37&lt;G37,G37/E37-1,E37/G37-1)</f>
        <v>0.23750000000000004</v>
      </c>
      <c r="F44" s="595" t="str">
        <f>IF(OR(E44&gt;=0.3,E44&lt;=-0.3),"超过30%","")</f>
        <v/>
      </c>
      <c r="G44" s="594">
        <f>IF(G37&lt;I37,I37/G37-1,G37/I37-1)</f>
        <v>0.125</v>
      </c>
      <c r="H44" s="595" t="str">
        <f>IF(OR(G44&gt;=0.3,G44&lt;=-0.3),"超过30%","")</f>
        <v/>
      </c>
      <c r="I44" s="594">
        <f>IF(I37&lt;E37,E37/I37-1,I37/E37-1)</f>
        <v>0.10000000000000009</v>
      </c>
      <c r="J44" s="595" t="str">
        <f>IF(OR(I44&gt;=0.3,I44&lt;=-0.3),"超过30%","")</f>
        <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t="str">
        <f>C9</f>
        <v>地下车库</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3688"/>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98</v>
      </c>
      <c r="E64" s="647">
        <f>D64-$K14</f>
        <v>96</v>
      </c>
      <c r="F64" s="647">
        <f>E64-$K14</f>
        <v>94</v>
      </c>
      <c r="G64" s="647">
        <f>F64-$K14</f>
        <v>92</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98</v>
      </c>
      <c r="E66" s="647">
        <f>D66-$K16</f>
        <v>96</v>
      </c>
      <c r="F66" s="647">
        <f>E66-$K16</f>
        <v>94</v>
      </c>
      <c r="G66" s="647">
        <f>F66-$K16</f>
        <v>92</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99</v>
      </c>
      <c r="E68" s="647">
        <f>D68-$K18</f>
        <v>98</v>
      </c>
      <c r="F68" s="647">
        <f>E68-$K18</f>
        <v>97</v>
      </c>
      <c r="G68" s="647">
        <f>F68-$K18</f>
        <v>96</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98</v>
      </c>
      <c r="E70" s="647">
        <f>D70-$K20</f>
        <v>96</v>
      </c>
      <c r="F70" s="647">
        <f>E70-$K20</f>
        <v>94</v>
      </c>
      <c r="G70" s="647">
        <f>F70-$K20</f>
        <v>92</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t="str">
        <f>C26</f>
        <v>住宅</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3681" t="s">
        <v>3436</v>
      </c>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20(含)-30</v>
      </c>
      <c r="D90" s="676" t="str">
        <f t="shared" ref="D90:L90" si="18">D91&amp;"(含)"&amp;"-"&amp;E91</f>
        <v>30(含)-40</v>
      </c>
      <c r="E90" s="676" t="str">
        <f t="shared" si="18"/>
        <v>40(含)-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v>20</v>
      </c>
      <c r="D91" s="698">
        <v>30</v>
      </c>
      <c r="E91" s="698">
        <v>40</v>
      </c>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v>100</v>
      </c>
      <c r="D92" s="639">
        <v>105</v>
      </c>
      <c r="E92" s="639">
        <v>110</v>
      </c>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3678" t="s">
        <v>3438</v>
      </c>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98</v>
      </c>
      <c r="E96" s="647">
        <f>D96-$K33</f>
        <v>96</v>
      </c>
      <c r="F96" s="647">
        <f>E96-$K33</f>
        <v>94</v>
      </c>
      <c r="G96" s="647">
        <f>F96-$K33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9:T49"/>
  <sheetViews>
    <sheetView workbookViewId="0">
      <selection activeCell="T54" sqref="T54"/>
    </sheetView>
  </sheetViews>
  <sheetFormatPr defaultColWidth="8.875" defaultRowHeight="13.5"/>
  <cols>
    <col min="1" max="16384" width="8.875" style="3686"/>
  </cols>
  <sheetData>
    <row r="9" spans="18:18">
      <c r="R9" s="3686">
        <f>4545.1/284</f>
        <v>16.003873239436622</v>
      </c>
    </row>
    <row r="10" spans="18:18">
      <c r="R10" s="3686">
        <f>9396/284</f>
        <v>33.08450704225352</v>
      </c>
    </row>
    <row r="24" spans="18:20">
      <c r="R24" s="3686">
        <f>5939.98/330</f>
        <v>17.999939393939393</v>
      </c>
      <c r="S24" s="3686" t="s">
        <v>3414</v>
      </c>
      <c r="T24" s="3686">
        <f>9729/330</f>
        <v>29.481818181818181</v>
      </c>
    </row>
    <row r="48" spans="19:20">
      <c r="S48" s="3686">
        <f>5621.88/284</f>
        <v>19.795352112676056</v>
      </c>
      <c r="T48" s="3686" t="s">
        <v>2207</v>
      </c>
    </row>
    <row r="49" spans="19:20">
      <c r="S49" s="3686">
        <f>9517/284</f>
        <v>33.510563380281688</v>
      </c>
      <c r="T49" s="3686" t="s">
        <v>3415</v>
      </c>
    </row>
  </sheetData>
  <phoneticPr fontId="22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5" zoomScale="80" zoomScaleNormal="60" zoomScaleSheetLayoutView="80" workbookViewId="0">
      <selection activeCell="D28" sqref="D28"/>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3261</v>
      </c>
      <c r="D1" s="2551" t="s">
        <v>3416</v>
      </c>
      <c r="E1" s="2078" t="s">
        <v>1728</v>
      </c>
      <c r="F1" s="2079">
        <f ca="1">J53</f>
        <v>47.86</v>
      </c>
      <c r="G1" s="2999">
        <f>MATCH(C1,'数据-取费表'!A6:A16,0)+5</f>
        <v>9</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5907</v>
      </c>
      <c r="C2" s="3004"/>
      <c r="D2" s="3005"/>
      <c r="E2" s="3006"/>
      <c r="F2" s="3006"/>
      <c r="G2" s="3000"/>
      <c r="H2" s="1780"/>
      <c r="I2" s="1780"/>
      <c r="J2" s="1780"/>
      <c r="K2" s="1781"/>
      <c r="L2" s="1780"/>
      <c r="M2" s="1780"/>
    </row>
    <row r="3" spans="1:33" ht="18" customHeight="1" thickBot="1">
      <c r="A3" s="798" t="s">
        <v>1256</v>
      </c>
      <c r="B3" s="799">
        <f ca="1">IF(ISERROR(B2*10000/F43),0,ROUND(B2*10000/F43,0))</f>
        <v>5177</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450</v>
      </c>
      <c r="D5" s="2142" t="s">
        <v>1805</v>
      </c>
      <c r="E5" s="2136"/>
      <c r="F5" s="2137"/>
      <c r="G5" s="1785"/>
      <c r="H5" s="747">
        <v>1</v>
      </c>
      <c r="I5" s="748" t="s">
        <v>1802</v>
      </c>
      <c r="J5" s="53">
        <f ca="1">J6+J10+J12</f>
        <v>0</v>
      </c>
      <c r="K5" s="2142" t="s">
        <v>1805</v>
      </c>
      <c r="L5" s="2136"/>
      <c r="M5" s="2137"/>
    </row>
    <row r="6" spans="1:33" ht="18" customHeight="1">
      <c r="A6" s="1616" t="s">
        <v>1353</v>
      </c>
      <c r="B6" s="3967" t="s">
        <v>1807</v>
      </c>
      <c r="C6" s="749">
        <f ca="1">ROUND(F6*F8*F7*(1-F9)/10000,0)</f>
        <v>450</v>
      </c>
      <c r="D6" s="2143" t="s">
        <v>1806</v>
      </c>
      <c r="E6" s="750" t="s">
        <v>1267</v>
      </c>
      <c r="F6" s="751">
        <f ca="1">INDIRECT("'数据-取费表'!u"&amp;$G$1)</f>
        <v>1.2</v>
      </c>
      <c r="G6" s="1785"/>
      <c r="H6" s="2150" t="s">
        <v>1812</v>
      </c>
      <c r="I6" s="3967" t="s">
        <v>1807</v>
      </c>
      <c r="J6" s="749">
        <f ca="1">ROUND(M6*M8*M7*(1-M9)/10000,0)</f>
        <v>0</v>
      </c>
      <c r="K6" s="332" t="s">
        <v>1266</v>
      </c>
      <c r="L6" s="750" t="s">
        <v>1267</v>
      </c>
      <c r="M6" s="751">
        <f ca="1">INDIRECT("'数据-取费表'!z"&amp;$G$1)</f>
        <v>0</v>
      </c>
    </row>
    <row r="7" spans="1:33" ht="18" customHeight="1">
      <c r="A7" s="2146"/>
      <c r="B7" s="3968"/>
      <c r="C7" s="754"/>
      <c r="D7" s="755"/>
      <c r="E7" s="750" t="s">
        <v>1268</v>
      </c>
      <c r="F7" s="751">
        <f ca="1">IF(INDIRECT("'数据-取费表'!ah"&amp;$G$1)="",INDIRECT("'数据-取费表'!k"&amp;$G$1),INDIRECT("'数据-取费表'!ah"&amp;$G$1))</f>
        <v>11410.09</v>
      </c>
      <c r="G7" s="1785"/>
      <c r="H7" s="2135"/>
      <c r="I7" s="3968"/>
      <c r="J7" s="754"/>
      <c r="K7" s="755"/>
      <c r="L7" s="750" t="s">
        <v>1268</v>
      </c>
      <c r="M7" s="751">
        <f ca="1">F7</f>
        <v>11410.09</v>
      </c>
    </row>
    <row r="8" spans="1:33" ht="18" customHeight="1">
      <c r="A8" s="2139"/>
      <c r="B8" s="3969"/>
      <c r="C8" s="754"/>
      <c r="D8" s="755"/>
      <c r="E8" s="750" t="s">
        <v>1269</v>
      </c>
      <c r="F8" s="751">
        <f ca="1">INDIRECT("'数据-取费表'!ai"&amp;$G$1)</f>
        <v>365</v>
      </c>
      <c r="G8" s="1785"/>
      <c r="H8" s="2135"/>
      <c r="I8" s="3969"/>
      <c r="J8" s="754"/>
      <c r="K8" s="755"/>
      <c r="L8" s="750" t="s">
        <v>1269</v>
      </c>
      <c r="M8" s="751">
        <f ca="1">INDIRECT("'数据-取费表'!ai"&amp;$G$1)</f>
        <v>365</v>
      </c>
    </row>
    <row r="9" spans="1:33" ht="18" customHeight="1">
      <c r="A9" s="752"/>
      <c r="B9" s="3970"/>
      <c r="C9" s="754"/>
      <c r="D9" s="755"/>
      <c r="E9" s="750" t="s">
        <v>1270</v>
      </c>
      <c r="F9" s="760">
        <f ca="1">INDIRECT("'数据-取费表'!w"&amp;$G$1)</f>
        <v>0.1</v>
      </c>
      <c r="G9" s="1785"/>
      <c r="H9" s="2151"/>
      <c r="I9" s="3969"/>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3419</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6486</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4790</v>
      </c>
      <c r="D14" s="3662" t="s">
        <v>1274</v>
      </c>
      <c r="E14" s="3661"/>
      <c r="F14" s="771"/>
      <c r="G14" s="1785"/>
      <c r="H14" s="1453" t="s">
        <v>1359</v>
      </c>
      <c r="I14" s="1949" t="s">
        <v>2103</v>
      </c>
      <c r="J14" s="51">
        <f ca="1">C29</f>
        <v>6486</v>
      </c>
      <c r="K14" s="24"/>
      <c r="L14" s="767"/>
      <c r="M14" s="768"/>
    </row>
    <row r="15" spans="1:33" s="1787" customFormat="1" ht="18" customHeight="1" thickBot="1">
      <c r="A15" s="1452" t="s">
        <v>1410</v>
      </c>
      <c r="B15" s="750" t="s">
        <v>595</v>
      </c>
      <c r="C15" s="51">
        <f ca="1">ROUND(C14*F15,0)</f>
        <v>144</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33</v>
      </c>
      <c r="K16" s="1607" t="s">
        <v>1279</v>
      </c>
      <c r="L16" s="3664"/>
      <c r="M16" s="2137"/>
    </row>
    <row r="17" spans="1:33" s="1787" customFormat="1" ht="18" customHeight="1">
      <c r="A17" s="1452" t="s">
        <v>1412</v>
      </c>
      <c r="B17" s="750" t="s">
        <v>601</v>
      </c>
      <c r="C17" s="51">
        <f ca="1">ROUND(F17*(F43+INDIRECT("'数据-取费表'!S"&amp;$G$1))/10000,0)</f>
        <v>240</v>
      </c>
      <c r="D17" s="750" t="s">
        <v>1280</v>
      </c>
      <c r="E17" s="750" t="s">
        <v>1281</v>
      </c>
      <c r="F17" s="54">
        <f>'数据-取费表'!B35</f>
        <v>200</v>
      </c>
      <c r="G17" s="3001"/>
      <c r="H17" s="1453" t="s">
        <v>1359</v>
      </c>
      <c r="I17" s="750" t="s">
        <v>604</v>
      </c>
      <c r="J17" s="2760">
        <f ca="1">ROUND(IF(AND(项目基本情况!B11="自然人",项目基本情况!B10="北京市"),J6*M17/(1+'数据-取费表'!C42),J18+J19+J20),2)</f>
        <v>0.85</v>
      </c>
      <c r="K17" s="3662" t="s">
        <v>1282</v>
      </c>
      <c r="L17" s="3663"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72</v>
      </c>
      <c r="D18" s="750" t="s">
        <v>1275</v>
      </c>
      <c r="E18" s="750" t="s">
        <v>1276</v>
      </c>
      <c r="F18" s="775">
        <f>'数据-取费表'!B36</f>
        <v>1.4999999999999999E-2</v>
      </c>
      <c r="G18" s="3001"/>
      <c r="H18" s="1452" t="s">
        <v>1409</v>
      </c>
      <c r="I18" s="750" t="s">
        <v>1284</v>
      </c>
      <c r="J18" s="51">
        <f ca="1">ROUND(J6*M18/(1+'数据-取费表'!C42),2)</f>
        <v>0</v>
      </c>
      <c r="K18" s="3663"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5246</v>
      </c>
      <c r="D19" s="252" t="s">
        <v>1286</v>
      </c>
      <c r="E19" s="3665"/>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105</v>
      </c>
      <c r="D20" s="777" t="s">
        <v>1288</v>
      </c>
      <c r="E20" s="750" t="s">
        <v>1276</v>
      </c>
      <c r="F20" s="775">
        <f>'数据-取费表'!B37</f>
        <v>0.02</v>
      </c>
      <c r="G20" s="3001"/>
      <c r="H20" s="1455" t="s">
        <v>1405</v>
      </c>
      <c r="I20" s="332" t="s">
        <v>1289</v>
      </c>
      <c r="J20" s="52">
        <f ca="1">ROUND(M20*M21/10000,2)</f>
        <v>0.85</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5653.27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3665"/>
      <c r="F22" s="54"/>
      <c r="G22" s="1785"/>
      <c r="H22" s="1453" t="s">
        <v>1414</v>
      </c>
      <c r="I22" s="750" t="s">
        <v>1297</v>
      </c>
      <c r="J22" s="51">
        <f ca="1">ROUND(J14*M22,2)</f>
        <v>32.43</v>
      </c>
      <c r="K22" s="3663" t="s">
        <v>1298</v>
      </c>
      <c r="L22" s="750" t="s">
        <v>1276</v>
      </c>
      <c r="M22" s="782">
        <f ca="1">INDIRECT("'数据-取费表'!Ak"&amp;$G$1)</f>
        <v>5.0000000000000001E-3</v>
      </c>
    </row>
    <row r="23" spans="1:33" s="1787" customFormat="1" ht="18" customHeight="1">
      <c r="A23" s="1452" t="s">
        <v>1360</v>
      </c>
      <c r="B23" s="750" t="s">
        <v>1818</v>
      </c>
      <c r="C23" s="51">
        <f ca="1">ROUND(IF('数据-取费表'!B22&lt;=1,(C19+C20)*F24*F23/2,(C19+C20)*(POWER((1+F24),F23/2)-1)),0)</f>
        <v>222</v>
      </c>
      <c r="D23" s="2186" t="str">
        <f>IF(F23&lt;=1,"(建造成本+管理费用)×利率×(建设周期÷2)","(建造成本+管理费用)×((1+利率)^(建设周期÷2)-1)")</f>
        <v>(建造成本+管理费用)×((1+利率)^(建设周期÷2)-1)</v>
      </c>
      <c r="E23" s="750" t="s">
        <v>1299</v>
      </c>
      <c r="F23" s="608">
        <f>'数据-取费表'!B20</f>
        <v>2</v>
      </c>
      <c r="G23" s="3001"/>
      <c r="H23" s="1453" t="s">
        <v>1415</v>
      </c>
      <c r="I23" s="750" t="s">
        <v>626</v>
      </c>
      <c r="J23" s="51">
        <f ca="1">ROUND(J13*M23,2)</f>
        <v>0</v>
      </c>
      <c r="K23" s="3663"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3665"/>
      <c r="F25" s="54"/>
      <c r="G25" s="1785"/>
      <c r="H25" s="1615" t="s">
        <v>1305</v>
      </c>
      <c r="I25" s="2483" t="s">
        <v>2099</v>
      </c>
      <c r="J25" s="758">
        <f ca="1">J5-J16</f>
        <v>-33</v>
      </c>
      <c r="K25" s="2165" t="s">
        <v>1306</v>
      </c>
      <c r="L25" s="2166"/>
      <c r="M25" s="2167"/>
    </row>
    <row r="26" spans="1:33" ht="18" customHeight="1">
      <c r="A26" s="1452" t="s">
        <v>1360</v>
      </c>
      <c r="B26" s="750" t="s">
        <v>1785</v>
      </c>
      <c r="C26" s="51">
        <f ca="1">ROUND((C19+C20)*F26,0)</f>
        <v>428</v>
      </c>
      <c r="D26" s="777" t="s">
        <v>1307</v>
      </c>
      <c r="E26" s="761" t="s">
        <v>1308</v>
      </c>
      <c r="F26" s="760">
        <f ca="1">INDIRECT("'数据-取费表'!q"&amp;$G$1)</f>
        <v>0.08</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1.6000000000000001E-3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6486</v>
      </c>
      <c r="D29" s="2162"/>
      <c r="E29" s="2163"/>
      <c r="F29" s="2164"/>
      <c r="G29" s="3001"/>
      <c r="H29" s="788" t="s">
        <v>1316</v>
      </c>
      <c r="I29" s="789" t="s">
        <v>1317</v>
      </c>
      <c r="J29" s="790">
        <f ca="1">ROUND(J26/(1+F40)^F41,0)</f>
        <v>0</v>
      </c>
      <c r="K29" s="791" t="s">
        <v>1318</v>
      </c>
      <c r="L29" s="792"/>
      <c r="M29" s="793">
        <f ca="1">INDIRECT("'数据-取费表'!k"&amp;$G$1)</f>
        <v>11410.09</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123</v>
      </c>
      <c r="D30" s="1607" t="s">
        <v>1320</v>
      </c>
      <c r="E30" s="3664"/>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75.849999999999994</v>
      </c>
      <c r="D31" s="3662" t="s">
        <v>1321</v>
      </c>
      <c r="E31" s="3663"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23.57</v>
      </c>
      <c r="D32" s="3663"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51.43</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0.85</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5653.27</v>
      </c>
      <c r="G35" s="1785"/>
      <c r="H35" s="1788"/>
      <c r="I35" s="802" t="s">
        <v>1343</v>
      </c>
      <c r="J35" s="803">
        <f ca="1">ROUND(C13*J36,0)</f>
        <v>486</v>
      </c>
      <c r="K35" s="1801"/>
      <c r="L35" s="1800"/>
      <c r="M35" s="1800"/>
    </row>
    <row r="36" spans="1:18" ht="18" customHeight="1">
      <c r="A36" s="1453" t="s">
        <v>1414</v>
      </c>
      <c r="B36" s="750" t="s">
        <v>1331</v>
      </c>
      <c r="C36" s="51">
        <f ca="1">ROUND(C29*F36,2)</f>
        <v>32.43</v>
      </c>
      <c r="D36" s="3663" t="s">
        <v>1332</v>
      </c>
      <c r="E36" s="750" t="s">
        <v>1325</v>
      </c>
      <c r="F36" s="782">
        <f ca="1">INDIRECT("'数据-取费表'!Ak"&amp;$G$1)</f>
        <v>5.0000000000000001E-3</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9.73</v>
      </c>
      <c r="D37" s="3663"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4.5</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327</v>
      </c>
      <c r="D39" s="2165" t="s">
        <v>1335</v>
      </c>
      <c r="E39" s="2166"/>
      <c r="F39" s="2167"/>
      <c r="G39" s="1785"/>
      <c r="H39" s="1800"/>
      <c r="I39" s="802" t="s">
        <v>1347</v>
      </c>
      <c r="J39" s="810">
        <f ca="1">ROUND(J35/C39,3)</f>
        <v>1.486</v>
      </c>
      <c r="K39" s="1805"/>
      <c r="L39" s="1800"/>
      <c r="M39" s="1800"/>
    </row>
    <row r="40" spans="1:18" ht="18" customHeight="1">
      <c r="A40" s="747" t="s">
        <v>1420</v>
      </c>
      <c r="B40" s="1950" t="s">
        <v>1658</v>
      </c>
      <c r="C40" s="749">
        <f ca="1">ROUND(C39*(1-((1+F42)/(1+F40))^F41)/(F40-F42),0)</f>
        <v>5907</v>
      </c>
      <c r="D40" s="779" t="s">
        <v>1336</v>
      </c>
      <c r="E40" s="750" t="s">
        <v>1773</v>
      </c>
      <c r="F40" s="760">
        <f ca="1">INDIRECT("'数据-取费表'!I"&amp;$G$1)</f>
        <v>0.05</v>
      </c>
      <c r="G40" s="1785"/>
      <c r="H40" s="1785"/>
      <c r="I40" s="802" t="s">
        <v>1348</v>
      </c>
      <c r="J40" s="810">
        <f ca="1">1-J39</f>
        <v>-0.48599999999999999</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47.86</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1.0980000000000001</v>
      </c>
      <c r="K42" s="1804"/>
      <c r="L42" s="1740"/>
      <c r="M42" s="1740"/>
    </row>
    <row r="43" spans="1:18" ht="18" customHeight="1" thickBot="1">
      <c r="A43" s="788" t="s">
        <v>1316</v>
      </c>
      <c r="B43" s="789" t="s">
        <v>1339</v>
      </c>
      <c r="C43" s="790">
        <f ca="1">ROUND(C40*10000/F43,0)</f>
        <v>5177</v>
      </c>
      <c r="D43" s="791" t="s">
        <v>1340</v>
      </c>
      <c r="E43" s="792" t="s">
        <v>1341</v>
      </c>
      <c r="F43" s="793">
        <f ca="1">INDIRECT("'数据-取费表'!k"&amp;$G$1)</f>
        <v>11410.09</v>
      </c>
      <c r="G43" s="1785"/>
      <c r="H43" s="1740"/>
      <c r="I43" s="812" t="s">
        <v>1351</v>
      </c>
      <c r="J43" s="813">
        <f ca="1">1-J42</f>
        <v>-9.8000000000000087E-2</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-6684</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3418</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49.86</v>
      </c>
      <c r="M48" s="3003"/>
      <c r="O48" s="2089" t="s">
        <v>1733</v>
      </c>
      <c r="P48" s="2090" t="s">
        <v>1759</v>
      </c>
      <c r="Q48" s="2091">
        <f ca="1">C40+J29</f>
        <v>5907</v>
      </c>
      <c r="R48" s="2090" t="s">
        <v>1734</v>
      </c>
    </row>
    <row r="49" spans="1:18" s="1782" customFormat="1" ht="18" customHeight="1" thickBot="1">
      <c r="A49" s="752"/>
      <c r="B49" s="753"/>
      <c r="C49" s="754"/>
      <c r="D49" s="755"/>
      <c r="E49" s="750" t="s">
        <v>1268</v>
      </c>
      <c r="F49" s="751">
        <f ca="1">F7</f>
        <v>11410.09</v>
      </c>
      <c r="G49" s="1812"/>
      <c r="H49" s="1815"/>
      <c r="I49" s="2552" t="s">
        <v>1700</v>
      </c>
      <c r="J49" s="2074"/>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6486</v>
      </c>
      <c r="R50" s="2090" t="s">
        <v>1734</v>
      </c>
    </row>
    <row r="51" spans="1:18" s="1782" customFormat="1" ht="18" customHeight="1" thickBot="1">
      <c r="A51" s="752"/>
      <c r="B51" s="753"/>
      <c r="C51" s="754"/>
      <c r="D51" s="755"/>
      <c r="E51" s="750" t="s">
        <v>588</v>
      </c>
      <c r="F51" s="2064"/>
      <c r="H51" s="1815"/>
      <c r="I51" s="2556" t="s">
        <v>1702</v>
      </c>
      <c r="J51" s="2560">
        <f>IF(J49="",J50,J49+J50-YEAR('数据-取费表'!B2))</f>
        <v>60</v>
      </c>
      <c r="K51" s="2552" t="s">
        <v>1708</v>
      </c>
      <c r="L51" s="2566">
        <f ca="1">ROUND(-PV(INDIRECT("'数据-取费表'!h"&amp;$G$1),J51,(C39-C13*J36),0),0)</f>
        <v>-3291</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c r="K52" s="2557"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47.86</v>
      </c>
      <c r="K53" s="3978" t="s">
        <v>2226</v>
      </c>
      <c r="L53" s="3979"/>
      <c r="M53" s="3003"/>
      <c r="O53" s="2092" t="s">
        <v>1742</v>
      </c>
      <c r="P53" s="2090" t="s">
        <v>1743</v>
      </c>
      <c r="Q53" s="2091">
        <f ca="1">J53</f>
        <v>47.86</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5907</v>
      </c>
      <c r="R54" s="2094" t="s">
        <v>1746</v>
      </c>
    </row>
    <row r="55" spans="1:18" s="1782" customFormat="1" ht="18" customHeight="1" thickTop="1" thickBot="1">
      <c r="A55" s="763">
        <v>2</v>
      </c>
      <c r="B55" s="764" t="s">
        <v>592</v>
      </c>
      <c r="C55" s="765">
        <f ca="1">C13</f>
        <v>6486</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6486</v>
      </c>
      <c r="D56" s="3663"/>
      <c r="E56" s="750"/>
      <c r="F56" s="775"/>
      <c r="I56" s="2571" t="s">
        <v>1711</v>
      </c>
      <c r="J56" s="2581" t="s">
        <v>3315</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43</v>
      </c>
      <c r="D57" s="24" t="s">
        <v>1279</v>
      </c>
      <c r="E57" s="366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5907</v>
      </c>
      <c r="R57" s="2090" t="s">
        <v>1734</v>
      </c>
    </row>
    <row r="58" spans="1:18" s="1782" customFormat="1" ht="28.5" customHeight="1" thickBot="1">
      <c r="A58" s="1453" t="s">
        <v>1353</v>
      </c>
      <c r="B58" s="750" t="s">
        <v>604</v>
      </c>
      <c r="C58" s="2760">
        <f ca="1">ROUND(IF(AND(项目基本情况!B11="自然人",项目基本情况!B10="北京市"),C48*F58/(1+'数据-取费表'!C42),C59+C60+C61),2)</f>
        <v>0.85</v>
      </c>
      <c r="D58" s="3662" t="s">
        <v>605</v>
      </c>
      <c r="E58" s="366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3"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3"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0.85</v>
      </c>
      <c r="D61" s="779" t="s">
        <v>616</v>
      </c>
      <c r="E61" s="750" t="s">
        <v>617</v>
      </c>
      <c r="F61" s="608">
        <f t="shared" si="0"/>
        <v>1.5</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5653.27</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32.43</v>
      </c>
      <c r="D63" s="3663" t="s">
        <v>1332</v>
      </c>
      <c r="E63" s="750" t="s">
        <v>1276</v>
      </c>
      <c r="F63" s="782">
        <f t="shared" ca="1" si="0"/>
        <v>5.0000000000000001E-3</v>
      </c>
      <c r="I63" s="2577" t="s">
        <v>1724</v>
      </c>
      <c r="J63" s="2578">
        <v>70</v>
      </c>
      <c r="K63" s="2578">
        <v>50</v>
      </c>
      <c r="L63" s="2578">
        <v>80</v>
      </c>
      <c r="M63" s="2580">
        <v>0.02</v>
      </c>
      <c r="O63" s="2089" t="s">
        <v>1745</v>
      </c>
      <c r="P63" s="2090" t="s">
        <v>1762</v>
      </c>
      <c r="Q63" s="2091">
        <f ca="1">Q57+Q58</f>
        <v>5907</v>
      </c>
      <c r="R63" s="2094" t="s">
        <v>1746</v>
      </c>
    </row>
    <row r="64" spans="1:18" s="1782" customFormat="1" ht="16.5" thickBot="1">
      <c r="A64" s="1453" t="s">
        <v>1415</v>
      </c>
      <c r="B64" s="750" t="s">
        <v>626</v>
      </c>
      <c r="C64" s="51">
        <f ca="1">ROUND(C55*F64,2)</f>
        <v>9.73</v>
      </c>
      <c r="D64" s="3663" t="s">
        <v>627</v>
      </c>
      <c r="E64" s="750" t="s">
        <v>1276</v>
      </c>
      <c r="F64" s="783">
        <f t="shared" ca="1" si="0"/>
        <v>1.5E-3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3"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-43</v>
      </c>
      <c r="D66" s="3662" t="s">
        <v>647</v>
      </c>
      <c r="E66" s="3660"/>
      <c r="F66" s="785"/>
      <c r="K66" s="1808"/>
      <c r="O66" s="2089" t="s">
        <v>1733</v>
      </c>
      <c r="P66" s="2090" t="s">
        <v>1763</v>
      </c>
      <c r="Q66" s="2091">
        <f ca="1">C40+J29</f>
        <v>5907</v>
      </c>
      <c r="R66" s="2090" t="s">
        <v>1734</v>
      </c>
    </row>
    <row r="67" spans="1:18" s="1782" customFormat="1" ht="20.25" thickBot="1">
      <c r="A67" s="747" t="s">
        <v>1309</v>
      </c>
      <c r="B67" s="1950" t="s">
        <v>1658</v>
      </c>
      <c r="C67" s="749">
        <f ca="1">ROUND(C66*(1-((1+F69)/(1+F67))^F68)/(F67-F69),0)</f>
        <v>-777</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1313</v>
      </c>
      <c r="F68" s="787">
        <f ca="1">F41</f>
        <v>47.86</v>
      </c>
      <c r="O68" s="2092" t="s">
        <v>1737</v>
      </c>
      <c r="P68" s="2090" t="s">
        <v>1767</v>
      </c>
      <c r="Q68" s="2096">
        <f ca="1">L51</f>
        <v>-3291</v>
      </c>
      <c r="R68" s="2097" t="s">
        <v>1770</v>
      </c>
    </row>
    <row r="69" spans="1:18" ht="20.25" thickBot="1">
      <c r="A69" s="756"/>
      <c r="B69" s="757"/>
      <c r="C69" s="758"/>
      <c r="D69" s="781"/>
      <c r="E69" s="750" t="s">
        <v>657</v>
      </c>
      <c r="F69" s="2064"/>
      <c r="O69" s="2092" t="s">
        <v>1738</v>
      </c>
      <c r="P69" s="2098" t="s">
        <v>1752</v>
      </c>
      <c r="Q69" s="2091">
        <f ca="1">ROUND(Q70-Q71*Q72,0)</f>
        <v>-159</v>
      </c>
      <c r="R69" s="2094"/>
    </row>
    <row r="70" spans="1:18" ht="15.75" thickBot="1">
      <c r="A70" s="788" t="s">
        <v>1316</v>
      </c>
      <c r="B70" s="789" t="s">
        <v>1339</v>
      </c>
      <c r="C70" s="790">
        <f ca="1">ROUND(C67*10000/F70,0)</f>
        <v>-681</v>
      </c>
      <c r="D70" s="791" t="s">
        <v>1340</v>
      </c>
      <c r="E70" s="792" t="s">
        <v>1341</v>
      </c>
      <c r="F70" s="793">
        <f ca="1">F43</f>
        <v>11410.09</v>
      </c>
      <c r="O70" s="2092" t="s">
        <v>1753</v>
      </c>
      <c r="P70" s="2098" t="s">
        <v>1754</v>
      </c>
      <c r="Q70" s="2091">
        <f ca="1">C39</f>
        <v>327</v>
      </c>
      <c r="R70" s="2090" t="s">
        <v>1734</v>
      </c>
    </row>
    <row r="71" spans="1:18" ht="15.75" thickBot="1">
      <c r="O71" s="2092" t="s">
        <v>1755</v>
      </c>
      <c r="P71" s="2098" t="s">
        <v>1756</v>
      </c>
      <c r="Q71" s="2091">
        <f ca="1">C13</f>
        <v>6486</v>
      </c>
      <c r="R71" s="2090" t="s">
        <v>1734</v>
      </c>
    </row>
    <row r="72" spans="1:18" ht="15.75" thickBot="1">
      <c r="O72" s="2092" t="s">
        <v>1757</v>
      </c>
      <c r="P72" s="2098" t="s">
        <v>1758</v>
      </c>
      <c r="Q72" s="2093">
        <f ca="1">J36</f>
        <v>7.4999999999999997E-2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5907</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5" priority="6">
      <formula>$L$48&gt;$J$51</formula>
    </cfRule>
  </conditionalFormatting>
  <conditionalFormatting sqref="I55">
    <cfRule type="expression" dxfId="24" priority="7">
      <formula>$J$51&gt;$L$48</formula>
    </cfRule>
  </conditionalFormatting>
  <conditionalFormatting sqref="I60">
    <cfRule type="expression" dxfId="23" priority="5">
      <formula>$J$51&gt;$L$48</formula>
    </cfRule>
  </conditionalFormatting>
  <conditionalFormatting sqref="K60">
    <cfRule type="expression" dxfId="22" priority="4">
      <formula>$L$48&gt;$J$51</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3">
    <cfRule type="expression" dxfId="1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87" t="s">
        <v>738</v>
      </c>
      <c r="D4" s="3888"/>
      <c r="E4" s="3913" t="s">
        <v>739</v>
      </c>
      <c r="F4" s="3914"/>
      <c r="G4" s="3887" t="s">
        <v>740</v>
      </c>
      <c r="H4" s="3888"/>
      <c r="I4" s="3887" t="s">
        <v>741</v>
      </c>
      <c r="J4" s="3888"/>
      <c r="K4" s="484" t="s">
        <v>742</v>
      </c>
      <c r="L4" s="1855"/>
      <c r="M4" s="1856"/>
      <c r="N4" s="1856"/>
      <c r="O4" s="1856"/>
      <c r="P4" s="3889" t="s">
        <v>743</v>
      </c>
      <c r="Q4" s="3890"/>
      <c r="R4" s="3873" t="s">
        <v>739</v>
      </c>
      <c r="S4" s="3874"/>
      <c r="T4" s="3873" t="s">
        <v>740</v>
      </c>
      <c r="U4" s="3874"/>
      <c r="V4" s="3895" t="s">
        <v>741</v>
      </c>
      <c r="W4" s="3895"/>
      <c r="X4" s="1379"/>
      <c r="Y4" s="3873" t="s">
        <v>743</v>
      </c>
      <c r="Z4" s="3874"/>
      <c r="AA4" s="3868" t="s">
        <v>739</v>
      </c>
      <c r="AB4" s="3869" t="s">
        <v>740</v>
      </c>
      <c r="AC4" s="3868" t="s">
        <v>741</v>
      </c>
    </row>
    <row r="5" spans="1:29" ht="15">
      <c r="A5" s="485"/>
      <c r="B5" s="486"/>
      <c r="C5" s="3898" t="s">
        <v>2192</v>
      </c>
      <c r="D5" s="3899"/>
      <c r="E5" s="3915" t="s">
        <v>2193</v>
      </c>
      <c r="F5" s="3916"/>
      <c r="G5" s="3898" t="s">
        <v>2194</v>
      </c>
      <c r="H5" s="3899"/>
      <c r="I5" s="3898" t="s">
        <v>2195</v>
      </c>
      <c r="J5" s="3899"/>
      <c r="K5" s="484"/>
      <c r="L5" s="1855"/>
      <c r="M5" s="1856"/>
      <c r="N5" s="1856"/>
      <c r="O5" s="1856"/>
      <c r="P5" s="3891"/>
      <c r="Q5" s="3892"/>
      <c r="R5" s="3875"/>
      <c r="S5" s="3876"/>
      <c r="T5" s="3875"/>
      <c r="U5" s="3876"/>
      <c r="V5" s="3895"/>
      <c r="W5" s="3895"/>
      <c r="X5" s="1379"/>
      <c r="Y5" s="3875"/>
      <c r="Z5" s="3876"/>
      <c r="AA5" s="3869"/>
      <c r="AB5" s="3869"/>
      <c r="AC5" s="3869"/>
    </row>
    <row r="6" spans="1:29" ht="15.75" thickBot="1">
      <c r="A6" s="487"/>
      <c r="B6" s="488"/>
      <c r="C6" s="3896" t="s">
        <v>2196</v>
      </c>
      <c r="D6" s="3897"/>
      <c r="E6" s="3917" t="s">
        <v>2196</v>
      </c>
      <c r="F6" s="3918"/>
      <c r="G6" s="3896" t="s">
        <v>2196</v>
      </c>
      <c r="H6" s="3897"/>
      <c r="I6" s="3896" t="s">
        <v>2196</v>
      </c>
      <c r="J6" s="3897"/>
      <c r="K6" s="484" t="s">
        <v>477</v>
      </c>
      <c r="L6" s="1855"/>
      <c r="M6" s="1856"/>
      <c r="N6" s="1856"/>
      <c r="O6" s="1856"/>
      <c r="P6" s="3893"/>
      <c r="Q6" s="3894"/>
      <c r="R6" s="3875"/>
      <c r="S6" s="3876"/>
      <c r="T6" s="3877"/>
      <c r="U6" s="3878"/>
      <c r="V6" s="3895"/>
      <c r="W6" s="3895"/>
      <c r="X6" s="1379"/>
      <c r="Y6" s="3877"/>
      <c r="Z6" s="3878"/>
      <c r="AA6" s="3870"/>
      <c r="AB6" s="3870"/>
      <c r="AC6" s="3870"/>
    </row>
    <row r="7" spans="1:29" s="1117" customFormat="1" ht="15.75" thickBot="1">
      <c r="A7" s="2391"/>
      <c r="B7" s="2398" t="s">
        <v>478</v>
      </c>
      <c r="C7" s="489">
        <f>'数据-取费表'!B2</f>
        <v>44929</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71" t="s">
        <v>479</v>
      </c>
      <c r="Q7" s="3880"/>
      <c r="R7" s="1380" t="s">
        <v>5</v>
      </c>
      <c r="S7" s="1381">
        <f t="shared" ref="S7:S14" si="0">F7</f>
        <v>0</v>
      </c>
      <c r="T7" s="1380" t="s">
        <v>5</v>
      </c>
      <c r="U7" s="1381">
        <f t="shared" ref="U7:U14" si="1">H7</f>
        <v>0</v>
      </c>
      <c r="V7" s="1380" t="s">
        <v>5</v>
      </c>
      <c r="W7" s="1381">
        <f t="shared" ref="W7:W14" si="2">J7</f>
        <v>0</v>
      </c>
      <c r="X7" s="1382"/>
      <c r="Y7" s="3871" t="s">
        <v>479</v>
      </c>
      <c r="Z7" s="3872"/>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71" t="s">
        <v>482</v>
      </c>
      <c r="Q8" s="3872"/>
      <c r="R8" s="1380" t="s">
        <v>5</v>
      </c>
      <c r="S8" s="1381">
        <f t="shared" si="0"/>
        <v>0</v>
      </c>
      <c r="T8" s="1380" t="s">
        <v>5</v>
      </c>
      <c r="U8" s="1381">
        <f t="shared" si="1"/>
        <v>0</v>
      </c>
      <c r="V8" s="1380" t="s">
        <v>5</v>
      </c>
      <c r="W8" s="1381">
        <f t="shared" si="2"/>
        <v>0</v>
      </c>
      <c r="X8" s="1382"/>
      <c r="Y8" s="3871" t="s">
        <v>482</v>
      </c>
      <c r="Z8" s="3872"/>
      <c r="AA8" s="1383" t="e">
        <f t="shared" ref="AA8:AA34" si="3">D8/F8</f>
        <v>#DIV/0!</v>
      </c>
      <c r="AB8" s="1383" t="e">
        <f t="shared" ref="AB8:AB34" si="4">D8/H8</f>
        <v>#DIV/0!</v>
      </c>
      <c r="AC8" s="1383" t="e">
        <f t="shared" ref="AC8:AC34" si="5">D8/J8</f>
        <v>#DIV/0!</v>
      </c>
    </row>
    <row r="9" spans="1:29" s="1117"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79" t="s">
        <v>484</v>
      </c>
      <c r="Q9" s="1049" t="str">
        <f t="shared" ref="Q9:Q14" si="6">B9</f>
        <v>用途</v>
      </c>
      <c r="R9" s="1380" t="s">
        <v>5</v>
      </c>
      <c r="S9" s="1381">
        <f t="shared" si="0"/>
        <v>100</v>
      </c>
      <c r="T9" s="1380" t="s">
        <v>5</v>
      </c>
      <c r="U9" s="1381">
        <f t="shared" si="1"/>
        <v>100</v>
      </c>
      <c r="V9" s="1380" t="s">
        <v>5</v>
      </c>
      <c r="W9" s="1381">
        <f t="shared" si="2"/>
        <v>100</v>
      </c>
      <c r="X9" s="1382"/>
      <c r="Y9" s="3831" t="s">
        <v>485</v>
      </c>
      <c r="Z9" s="1048" t="str">
        <f t="shared" ref="Z9:Z14" si="7">Q9</f>
        <v>用途</v>
      </c>
      <c r="AA9" s="1383">
        <f t="shared" si="3"/>
        <v>1</v>
      </c>
      <c r="AB9" s="1383">
        <f t="shared" si="4"/>
        <v>1</v>
      </c>
      <c r="AC9" s="1383">
        <f t="shared" si="5"/>
        <v>1</v>
      </c>
    </row>
    <row r="10" spans="1:29" s="1198" customFormat="1" ht="27">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879"/>
      <c r="Q11" s="1049">
        <f t="shared" si="6"/>
        <v>111</v>
      </c>
      <c r="R11" s="1380" t="s">
        <v>5</v>
      </c>
      <c r="S11" s="1381">
        <f t="shared" si="0"/>
        <v>100</v>
      </c>
      <c r="T11" s="1380" t="s">
        <v>5</v>
      </c>
      <c r="U11" s="1381">
        <f t="shared" si="1"/>
        <v>100</v>
      </c>
      <c r="V11" s="1380" t="s">
        <v>5</v>
      </c>
      <c r="W11" s="1381">
        <f t="shared" si="2"/>
        <v>100</v>
      </c>
      <c r="X11" s="1382"/>
      <c r="Y11" s="3831"/>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879"/>
      <c r="Q12" s="1049">
        <f t="shared" si="6"/>
        <v>111</v>
      </c>
      <c r="R12" s="1380" t="s">
        <v>5</v>
      </c>
      <c r="S12" s="1381">
        <f t="shared" si="0"/>
        <v>100</v>
      </c>
      <c r="T12" s="1380" t="s">
        <v>5</v>
      </c>
      <c r="U12" s="1381">
        <f t="shared" si="1"/>
        <v>100</v>
      </c>
      <c r="V12" s="1380" t="s">
        <v>5</v>
      </c>
      <c r="W12" s="1381">
        <f t="shared" si="2"/>
        <v>100</v>
      </c>
      <c r="X12" s="1382"/>
      <c r="Y12" s="3831"/>
      <c r="Z12" s="1048">
        <f t="shared" si="7"/>
        <v>111</v>
      </c>
      <c r="AA12" s="1383">
        <f>D12/F12</f>
        <v>1</v>
      </c>
      <c r="AB12" s="1383">
        <f>D12/H12</f>
        <v>1</v>
      </c>
      <c r="AC12" s="1383">
        <f>D12/J12</f>
        <v>1</v>
      </c>
    </row>
    <row r="13" spans="1:29" ht="15.75"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879"/>
      <c r="Q13" s="1049">
        <f t="shared" si="6"/>
        <v>111</v>
      </c>
      <c r="R13" s="1380" t="s">
        <v>5</v>
      </c>
      <c r="S13" s="1381">
        <f t="shared" si="0"/>
        <v>100</v>
      </c>
      <c r="T13" s="1380" t="s">
        <v>5</v>
      </c>
      <c r="U13" s="1381">
        <f t="shared" si="1"/>
        <v>100</v>
      </c>
      <c r="V13" s="1380" t="s">
        <v>5</v>
      </c>
      <c r="W13" s="1381">
        <f t="shared" si="2"/>
        <v>100</v>
      </c>
      <c r="X13" s="1382"/>
      <c r="Y13" s="3831"/>
      <c r="Z13" s="1048">
        <f t="shared" si="7"/>
        <v>111</v>
      </c>
      <c r="AA13" s="1383">
        <f t="shared" si="3"/>
        <v>1</v>
      </c>
      <c r="AB13" s="1383">
        <f t="shared" si="4"/>
        <v>1</v>
      </c>
      <c r="AC13" s="1383">
        <f t="shared" si="5"/>
        <v>1</v>
      </c>
    </row>
    <row r="14" spans="1:29" ht="85.5">
      <c r="A14" s="2389" t="s">
        <v>2036</v>
      </c>
      <c r="B14" s="159" t="s">
        <v>492</v>
      </c>
      <c r="C14" s="883"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881" t="s">
        <v>489</v>
      </c>
      <c r="Q14" s="1384" t="str">
        <f t="shared" si="6"/>
        <v>交通便捷度</v>
      </c>
      <c r="R14" s="1385" t="s">
        <v>5</v>
      </c>
      <c r="S14" s="1386">
        <f t="shared" si="0"/>
        <v>100</v>
      </c>
      <c r="T14" s="1385" t="s">
        <v>5</v>
      </c>
      <c r="U14" s="1386">
        <f t="shared" si="1"/>
        <v>100</v>
      </c>
      <c r="V14" s="1385" t="s">
        <v>5</v>
      </c>
      <c r="W14" s="1386">
        <f t="shared" si="2"/>
        <v>100</v>
      </c>
      <c r="X14" s="1379"/>
      <c r="Y14" s="3881"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882"/>
      <c r="Q15" s="1384"/>
      <c r="R15" s="1385"/>
      <c r="S15" s="1386"/>
      <c r="T15" s="1385"/>
      <c r="U15" s="1386"/>
      <c r="V15" s="1385"/>
      <c r="W15" s="1386"/>
      <c r="X15" s="1379"/>
      <c r="Y15" s="3882"/>
      <c r="Z15" s="1387"/>
      <c r="AA15" s="1388">
        <v>1</v>
      </c>
      <c r="AB15" s="1388">
        <v>1</v>
      </c>
      <c r="AC15" s="1388">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882"/>
      <c r="Q16" s="1384" t="str">
        <f>B16</f>
        <v>公共配套设施</v>
      </c>
      <c r="R16" s="1385" t="s">
        <v>5</v>
      </c>
      <c r="S16" s="1386">
        <f>F16</f>
        <v>100</v>
      </c>
      <c r="T16" s="1385" t="s">
        <v>5</v>
      </c>
      <c r="U16" s="1386">
        <f>H16</f>
        <v>100</v>
      </c>
      <c r="V16" s="1385" t="s">
        <v>5</v>
      </c>
      <c r="W16" s="1386">
        <f>J16</f>
        <v>100</v>
      </c>
      <c r="X16" s="1379"/>
      <c r="Y16" s="3882"/>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882"/>
      <c r="Q17" s="1384"/>
      <c r="R17" s="1385"/>
      <c r="S17" s="1386"/>
      <c r="T17" s="1385"/>
      <c r="U17" s="1386"/>
      <c r="V17" s="1385"/>
      <c r="W17" s="1386"/>
      <c r="X17" s="1379"/>
      <c r="Y17" s="3882"/>
      <c r="Z17" s="1387"/>
      <c r="AA17" s="1388">
        <v>1</v>
      </c>
      <c r="AB17" s="1388">
        <v>1</v>
      </c>
      <c r="AC17" s="1388">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882"/>
      <c r="Q18" s="2192" t="str">
        <f>B18</f>
        <v>基础设施水平</v>
      </c>
      <c r="R18" s="1385" t="s">
        <v>5</v>
      </c>
      <c r="S18" s="1386">
        <f>F18</f>
        <v>100</v>
      </c>
      <c r="T18" s="1385" t="s">
        <v>5</v>
      </c>
      <c r="U18" s="1386">
        <f>H18</f>
        <v>100</v>
      </c>
      <c r="V18" s="1385" t="s">
        <v>5</v>
      </c>
      <c r="W18" s="1386">
        <f>J18</f>
        <v>100</v>
      </c>
      <c r="X18" s="2194"/>
      <c r="Y18" s="3882"/>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82"/>
      <c r="Q19" s="2192"/>
      <c r="R19" s="1385"/>
      <c r="S19" s="1386"/>
      <c r="T19" s="1385"/>
      <c r="U19" s="1386"/>
      <c r="V19" s="1385"/>
      <c r="W19" s="1386"/>
      <c r="X19" s="2194"/>
      <c r="Y19" s="3882"/>
      <c r="Z19" s="2193"/>
      <c r="AA19" s="1388">
        <v>1</v>
      </c>
      <c r="AB19" s="1388">
        <v>1</v>
      </c>
      <c r="AC19" s="1388">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882"/>
      <c r="Q20" s="1384" t="str">
        <f>B20</f>
        <v>自然及人文环境</v>
      </c>
      <c r="R20" s="1385" t="s">
        <v>5</v>
      </c>
      <c r="S20" s="1386">
        <f>F20</f>
        <v>100</v>
      </c>
      <c r="T20" s="1385" t="s">
        <v>5</v>
      </c>
      <c r="U20" s="1386">
        <f>H20</f>
        <v>100</v>
      </c>
      <c r="V20" s="1385" t="s">
        <v>5</v>
      </c>
      <c r="W20" s="1386">
        <f>J20</f>
        <v>100</v>
      </c>
      <c r="X20" s="1379"/>
      <c r="Y20" s="3882"/>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882"/>
      <c r="Q21" s="1384"/>
      <c r="R21" s="1385"/>
      <c r="S21" s="1386"/>
      <c r="T21" s="1385"/>
      <c r="U21" s="1386"/>
      <c r="V21" s="1385"/>
      <c r="W21" s="1386"/>
      <c r="X21" s="1379"/>
      <c r="Y21" s="3882"/>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82"/>
      <c r="Q22" s="1384" t="str">
        <f>B22</f>
        <v>楼层</v>
      </c>
      <c r="R22" s="1385" t="s">
        <v>5</v>
      </c>
      <c r="S22" s="1386">
        <f>F22</f>
        <v>100</v>
      </c>
      <c r="T22" s="1385" t="s">
        <v>5</v>
      </c>
      <c r="U22" s="1386">
        <f>H22</f>
        <v>100</v>
      </c>
      <c r="V22" s="1385" t="s">
        <v>5</v>
      </c>
      <c r="W22" s="1386">
        <f>J22</f>
        <v>100</v>
      </c>
      <c r="X22" s="1379"/>
      <c r="Y22" s="3882"/>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82"/>
      <c r="Q23" s="1384">
        <f>B23</f>
        <v>111</v>
      </c>
      <c r="R23" s="1385" t="s">
        <v>5</v>
      </c>
      <c r="S23" s="1386">
        <f>F23</f>
        <v>100</v>
      </c>
      <c r="T23" s="1385" t="s">
        <v>5</v>
      </c>
      <c r="U23" s="1386">
        <f>H23</f>
        <v>100</v>
      </c>
      <c r="V23" s="1385" t="s">
        <v>5</v>
      </c>
      <c r="W23" s="1386">
        <f>J23</f>
        <v>100</v>
      </c>
      <c r="X23" s="1379"/>
      <c r="Y23" s="3882"/>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82"/>
      <c r="Q24" s="1384">
        <f t="shared" ref="Q24:Q34" si="8">B24</f>
        <v>111</v>
      </c>
      <c r="R24" s="1385" t="s">
        <v>5</v>
      </c>
      <c r="S24" s="1386">
        <f>F24</f>
        <v>100</v>
      </c>
      <c r="T24" s="1385" t="s">
        <v>5</v>
      </c>
      <c r="U24" s="1386">
        <f>H24</f>
        <v>100</v>
      </c>
      <c r="V24" s="1385" t="s">
        <v>5</v>
      </c>
      <c r="W24" s="1386">
        <f>J24</f>
        <v>100</v>
      </c>
      <c r="X24" s="1379"/>
      <c r="Y24" s="3882"/>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882"/>
      <c r="Q25" s="1049">
        <f t="shared" si="8"/>
        <v>111</v>
      </c>
      <c r="R25" s="1380" t="s">
        <v>5</v>
      </c>
      <c r="S25" s="1381">
        <f>F25</f>
        <v>100</v>
      </c>
      <c r="T25" s="1380" t="s">
        <v>5</v>
      </c>
      <c r="U25" s="1381">
        <f>H25</f>
        <v>100</v>
      </c>
      <c r="V25" s="1380" t="s">
        <v>5</v>
      </c>
      <c r="W25" s="1381">
        <f>J25</f>
        <v>100</v>
      </c>
      <c r="X25" s="1382"/>
      <c r="Y25" s="3882"/>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883"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84"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884"/>
      <c r="Q27" s="1413" t="str">
        <f t="shared" si="8"/>
        <v>成新率</v>
      </c>
      <c r="R27" s="1389" t="s">
        <v>5</v>
      </c>
      <c r="S27" s="1390" t="e">
        <f t="shared" si="9"/>
        <v>#N/A</v>
      </c>
      <c r="T27" s="1389" t="s">
        <v>5</v>
      </c>
      <c r="U27" s="1390" t="e">
        <f t="shared" si="10"/>
        <v>#N/A</v>
      </c>
      <c r="V27" s="1389" t="s">
        <v>5</v>
      </c>
      <c r="W27" s="1390" t="e">
        <f t="shared" si="11"/>
        <v>#N/A</v>
      </c>
      <c r="X27" s="1391"/>
      <c r="Y27" s="3884"/>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84"/>
      <c r="Q28" s="1384" t="str">
        <f t="shared" si="8"/>
        <v>物业等级</v>
      </c>
      <c r="R28" s="1385" t="s">
        <v>5</v>
      </c>
      <c r="S28" s="1386">
        <f t="shared" si="9"/>
        <v>100</v>
      </c>
      <c r="T28" s="1385" t="s">
        <v>5</v>
      </c>
      <c r="U28" s="1386">
        <f t="shared" si="10"/>
        <v>100</v>
      </c>
      <c r="V28" s="1385" t="s">
        <v>5</v>
      </c>
      <c r="W28" s="1386">
        <f t="shared" si="11"/>
        <v>100</v>
      </c>
      <c r="X28" s="1379"/>
      <c r="Y28" s="3884"/>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884"/>
      <c r="Q29" s="1384" t="str">
        <f t="shared" si="8"/>
        <v>有无电梯</v>
      </c>
      <c r="R29" s="1385" t="s">
        <v>5</v>
      </c>
      <c r="S29" s="1386">
        <f t="shared" si="9"/>
        <v>100</v>
      </c>
      <c r="T29" s="1385" t="s">
        <v>5</v>
      </c>
      <c r="U29" s="1386">
        <f t="shared" si="10"/>
        <v>100</v>
      </c>
      <c r="V29" s="1385" t="s">
        <v>5</v>
      </c>
      <c r="W29" s="1386">
        <f t="shared" si="11"/>
        <v>100</v>
      </c>
      <c r="X29" s="1379"/>
      <c r="Y29" s="3884"/>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884"/>
      <c r="Q30" s="1384" t="str">
        <f t="shared" si="8"/>
        <v>建筑面积</v>
      </c>
      <c r="R30" s="1385" t="s">
        <v>5</v>
      </c>
      <c r="S30" s="1386" t="e">
        <f t="shared" si="9"/>
        <v>#N/A</v>
      </c>
      <c r="T30" s="1385" t="s">
        <v>5</v>
      </c>
      <c r="U30" s="1386" t="e">
        <f t="shared" si="10"/>
        <v>#N/A</v>
      </c>
      <c r="V30" s="1385" t="s">
        <v>5</v>
      </c>
      <c r="W30" s="1386" t="e">
        <f t="shared" si="11"/>
        <v>#N/A</v>
      </c>
      <c r="X30" s="1379"/>
      <c r="Y30" s="3884"/>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884"/>
      <c r="Q31" s="1049" t="str">
        <f t="shared" si="8"/>
        <v>是否封闭</v>
      </c>
      <c r="R31" s="1380" t="s">
        <v>5</v>
      </c>
      <c r="S31" s="1381">
        <f t="shared" si="9"/>
        <v>100</v>
      </c>
      <c r="T31" s="1380" t="s">
        <v>5</v>
      </c>
      <c r="U31" s="1381">
        <f t="shared" si="10"/>
        <v>100</v>
      </c>
      <c r="V31" s="1380" t="s">
        <v>5</v>
      </c>
      <c r="W31" s="1381">
        <f t="shared" si="11"/>
        <v>100</v>
      </c>
      <c r="X31" s="1382"/>
      <c r="Y31" s="3884"/>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884" t="s">
        <v>499</v>
      </c>
      <c r="Q32" s="1384">
        <f t="shared" si="8"/>
        <v>111</v>
      </c>
      <c r="R32" s="1385" t="s">
        <v>5</v>
      </c>
      <c r="S32" s="1386">
        <f t="shared" si="9"/>
        <v>100</v>
      </c>
      <c r="T32" s="1385" t="s">
        <v>5</v>
      </c>
      <c r="U32" s="1386">
        <f t="shared" si="10"/>
        <v>100</v>
      </c>
      <c r="V32" s="1385" t="s">
        <v>5</v>
      </c>
      <c r="W32" s="1386">
        <f t="shared" si="11"/>
        <v>100</v>
      </c>
      <c r="X32" s="1379"/>
      <c r="Y32" s="3884"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884"/>
      <c r="Q33" s="1384">
        <f t="shared" si="8"/>
        <v>111</v>
      </c>
      <c r="R33" s="1385" t="s">
        <v>5</v>
      </c>
      <c r="S33" s="1386">
        <f t="shared" si="9"/>
        <v>100</v>
      </c>
      <c r="T33" s="1385" t="s">
        <v>5</v>
      </c>
      <c r="U33" s="1386">
        <f t="shared" si="10"/>
        <v>100</v>
      </c>
      <c r="V33" s="1385" t="s">
        <v>5</v>
      </c>
      <c r="W33" s="1386">
        <f t="shared" si="11"/>
        <v>100</v>
      </c>
      <c r="X33" s="1379"/>
      <c r="Y33" s="3884"/>
      <c r="Z33" s="1387">
        <f t="shared" si="12"/>
        <v>111</v>
      </c>
      <c r="AA33" s="1388">
        <f t="shared" si="3"/>
        <v>1</v>
      </c>
      <c r="AB33" s="1388">
        <f t="shared" si="4"/>
        <v>1</v>
      </c>
      <c r="AC33" s="1388">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884"/>
      <c r="Q34" s="1384">
        <f t="shared" si="8"/>
        <v>111</v>
      </c>
      <c r="R34" s="1385" t="s">
        <v>5</v>
      </c>
      <c r="S34" s="1386">
        <f t="shared" si="9"/>
        <v>100</v>
      </c>
      <c r="T34" s="1385" t="s">
        <v>5</v>
      </c>
      <c r="U34" s="1386">
        <f t="shared" si="10"/>
        <v>100</v>
      </c>
      <c r="V34" s="1385" t="s">
        <v>5</v>
      </c>
      <c r="W34" s="1386">
        <f t="shared" si="11"/>
        <v>100</v>
      </c>
      <c r="X34" s="1379"/>
      <c r="Y34" s="3884"/>
      <c r="Z34" s="1387">
        <f t="shared" si="12"/>
        <v>111</v>
      </c>
      <c r="AA34" s="1388">
        <f t="shared" si="3"/>
        <v>1</v>
      </c>
      <c r="AB34" s="1388">
        <f t="shared" si="4"/>
        <v>1</v>
      </c>
      <c r="AC34" s="1388">
        <f t="shared" si="5"/>
        <v>1</v>
      </c>
    </row>
    <row r="35" spans="1:29" ht="15">
      <c r="A35" s="577" t="s">
        <v>683</v>
      </c>
      <c r="B35" s="849"/>
      <c r="C35" s="2233" t="s">
        <v>0</v>
      </c>
      <c r="D35" s="2234"/>
      <c r="E35" s="2235"/>
      <c r="F35" s="2236"/>
      <c r="G35" s="2237"/>
      <c r="H35" s="2238"/>
      <c r="I35" s="2235"/>
      <c r="J35" s="2238"/>
      <c r="K35" s="1418"/>
      <c r="L35" s="1866"/>
      <c r="M35" s="1867"/>
      <c r="N35" s="1856"/>
      <c r="O35" s="1867"/>
      <c r="P35" s="3879" t="str">
        <f>A35</f>
        <v>成交单价（元/平方米）</v>
      </c>
      <c r="Q35" s="3879"/>
      <c r="R35" s="3976">
        <f>E35</f>
        <v>0</v>
      </c>
      <c r="S35" s="3976"/>
      <c r="T35" s="3976">
        <f>G35</f>
        <v>0</v>
      </c>
      <c r="U35" s="3976"/>
      <c r="V35" s="3976">
        <f>I35</f>
        <v>0</v>
      </c>
      <c r="W35" s="3976"/>
      <c r="X35" s="1374"/>
      <c r="Y35" s="1393"/>
      <c r="Z35" s="1374"/>
      <c r="AA35" s="1374"/>
      <c r="AB35" s="1374"/>
      <c r="AC35" s="1374"/>
    </row>
    <row r="36" spans="1:29" ht="15.75" thickBot="1">
      <c r="A36" s="585" t="s">
        <v>2042</v>
      </c>
      <c r="B36" s="850"/>
      <c r="C36" s="2239" t="e">
        <f>R37</f>
        <v>#DIV/0!</v>
      </c>
      <c r="D36" s="2755" t="s">
        <v>2262</v>
      </c>
      <c r="E36" s="2240" t="e">
        <f>R36</f>
        <v>#DIV/0!</v>
      </c>
      <c r="F36" s="2756"/>
      <c r="G36" s="2239" t="e">
        <f>T36</f>
        <v>#DIV/0!</v>
      </c>
      <c r="H36" s="2756"/>
      <c r="I36" s="2240" t="e">
        <f>V36</f>
        <v>#DIV/0!</v>
      </c>
      <c r="J36" s="2756"/>
      <c r="K36" s="2764">
        <f>F36+H36+J36</f>
        <v>0</v>
      </c>
      <c r="L36" s="1866"/>
      <c r="M36" s="1867"/>
      <c r="N36" s="1856"/>
      <c r="O36" s="1867"/>
      <c r="P36" s="3879" t="str">
        <f>A36</f>
        <v>比较价格（元/平方米）</v>
      </c>
      <c r="Q36" s="3879"/>
      <c r="R36" s="3976" t="e">
        <f>IF(F1="售价",ROUND(PRODUCT(R35,AA7:AA34),0),ROUND(PRODUCT(R35,AA7:AA34),1))</f>
        <v>#DIV/0!</v>
      </c>
      <c r="S36" s="3976"/>
      <c r="T36" s="3976" t="e">
        <f>IF(F1="售价",ROUND(PRODUCT(T35,AB7:AB34),0),ROUND(PRODUCT(T35,AB7:AB34),1))</f>
        <v>#DIV/0!</v>
      </c>
      <c r="U36" s="3976"/>
      <c r="V36" s="3976" t="e">
        <f>IF(F1="售价",ROUND(PRODUCT(V35,AC7:AC34),0),ROUND(PRODUCT(V35,AC7:AC34),1))</f>
        <v>#DIV/0!</v>
      </c>
      <c r="W36" s="3976"/>
      <c r="X36" s="1374"/>
      <c r="Y36" s="1374"/>
      <c r="Z36" s="1374"/>
      <c r="AA36" s="1374"/>
      <c r="AB36" s="1374"/>
      <c r="AC36" s="1374"/>
    </row>
    <row r="37" spans="1:29" ht="15.75" thickBot="1">
      <c r="A37" s="589" t="s">
        <v>2198</v>
      </c>
      <c r="B37" s="590"/>
      <c r="C37" s="2241" t="e">
        <f>R37</f>
        <v>#DIV/0!</v>
      </c>
      <c r="D37" s="2241"/>
      <c r="E37" s="2241"/>
      <c r="F37" s="2241"/>
      <c r="G37" s="2241"/>
      <c r="H37" s="2241"/>
      <c r="I37" s="2241"/>
      <c r="J37" s="2241"/>
      <c r="K37" s="1419"/>
      <c r="L37" s="1866"/>
      <c r="M37" s="1867"/>
      <c r="N37" s="1867"/>
      <c r="O37" s="1867"/>
      <c r="P37" s="3885" t="str">
        <f>A37</f>
        <v>估价对象XX用房的比较价格（楼面单价，元/平方米）</v>
      </c>
      <c r="Q37" s="3886"/>
      <c r="R37" s="3975" t="e">
        <f>IF(F1="售价",ROUND(IF(D36="简单平均",AVERAGE(R36:W36),R36*F36+T36*H36+V36*J36),0),ROUND(IF(D36="简单平均",AVERAGE(R36:V36),R36*F36+T36*H36+V36*J36),1))</f>
        <v>#DIV/0!</v>
      </c>
      <c r="S37" s="3975"/>
      <c r="T37" s="3975"/>
      <c r="U37" s="3975"/>
      <c r="V37" s="3975"/>
      <c r="W37" s="3975"/>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06" t="s">
        <v>1661</v>
      </c>
      <c r="D1" s="4007"/>
      <c r="E1" s="4007"/>
      <c r="F1" s="4007"/>
      <c r="G1" s="4007"/>
      <c r="H1" s="4007"/>
      <c r="I1" s="4007"/>
      <c r="J1" s="4007"/>
      <c r="K1" s="4007"/>
      <c r="L1" s="4007"/>
      <c r="M1" s="4007"/>
      <c r="N1" s="4007"/>
      <c r="O1" s="4007"/>
      <c r="P1" s="4007"/>
      <c r="Q1" s="4007"/>
      <c r="R1" s="4007"/>
      <c r="S1" s="4008"/>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1"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2"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4" t="s">
        <v>2190</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4" t="s">
        <v>2189</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3"/>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2"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2"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2"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03" t="s">
        <v>14</v>
      </c>
      <c r="D22" s="4004"/>
      <c r="E22" s="4004"/>
      <c r="F22" s="4004"/>
      <c r="G22" s="4004"/>
      <c r="H22" s="4004"/>
      <c r="I22" s="4004"/>
      <c r="J22" s="4004"/>
      <c r="K22" s="4004"/>
      <c r="L22" s="4004"/>
      <c r="M22" s="4004"/>
      <c r="N22" s="4004"/>
      <c r="O22" s="4004"/>
      <c r="P22" s="4004"/>
      <c r="Q22" s="4005"/>
      <c r="R22" s="467" t="e">
        <f>ROUND(S22*10000/B22,0)</f>
        <v>#DIV/0!</v>
      </c>
      <c r="S22" s="51">
        <f>SUM(S24:S10000)</f>
        <v>0</v>
      </c>
    </row>
    <row r="23" spans="1:45" s="1420"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6">
        <v>1</v>
      </c>
      <c r="D24" s="3017"/>
      <c r="E24" s="3016">
        <v>1</v>
      </c>
      <c r="F24" s="3017"/>
      <c r="G24" s="3016">
        <v>1</v>
      </c>
      <c r="H24" s="3017"/>
      <c r="I24" s="3016">
        <v>1</v>
      </c>
      <c r="J24" s="3017"/>
      <c r="K24" s="3016">
        <v>1</v>
      </c>
      <c r="L24" s="3017"/>
      <c r="M24" s="3016">
        <v>1</v>
      </c>
      <c r="N24" s="3017"/>
      <c r="O24" s="3016">
        <v>1</v>
      </c>
      <c r="P24" s="3017"/>
      <c r="Q24" s="3016">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44929</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2</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2290</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7" t="s">
        <v>1556</v>
      </c>
      <c r="B1" s="3697"/>
      <c r="C1" s="3697"/>
      <c r="D1" s="3697"/>
      <c r="E1" s="3697"/>
      <c r="F1" s="3697"/>
      <c r="G1" s="3697"/>
      <c r="H1" s="3697"/>
      <c r="I1" s="3697"/>
      <c r="J1" s="3697"/>
      <c r="K1" s="3697"/>
      <c r="L1" s="3697"/>
      <c r="M1" s="3697"/>
      <c r="N1" s="3697"/>
      <c r="O1" s="3697"/>
      <c r="P1" s="3697"/>
      <c r="Q1" s="3697"/>
      <c r="R1" s="3697"/>
    </row>
    <row r="2" spans="1:18">
      <c r="A2" s="1594" t="s">
        <v>1558</v>
      </c>
      <c r="B2" s="1594"/>
      <c r="C2" s="1594"/>
      <c r="D2" s="1594"/>
      <c r="E2" s="1594"/>
      <c r="F2" s="1594"/>
      <c r="G2" s="1594"/>
      <c r="H2" s="1594"/>
      <c r="I2" s="1595"/>
      <c r="J2" s="1595"/>
      <c r="K2" s="1596" t="str">
        <f>"估价期日："&amp;TEXT(项目基本情况!D3,"yyyy年m月d日;;")</f>
        <v>估价期日：2023年1月3日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8" t="s">
        <v>1547</v>
      </c>
      <c r="B3" s="3698" t="s">
        <v>2013</v>
      </c>
      <c r="C3" s="3699" t="s">
        <v>1548</v>
      </c>
      <c r="D3" s="3698" t="s">
        <v>2017</v>
      </c>
      <c r="E3" s="3701" t="s">
        <v>1549</v>
      </c>
      <c r="F3" s="3701"/>
      <c r="G3" s="3701"/>
      <c r="H3" s="3701" t="s">
        <v>1550</v>
      </c>
      <c r="I3" s="3701"/>
      <c r="J3" s="3701"/>
      <c r="K3" s="3699" t="s">
        <v>1551</v>
      </c>
      <c r="L3" s="3699" t="s">
        <v>1552</v>
      </c>
      <c r="M3" s="3698" t="s">
        <v>2014</v>
      </c>
      <c r="N3" s="3700" t="str">
        <f>"（分摊）"&amp;项目基本情况!A17&amp;"国有建设用地使用权面积/㎡"</f>
        <v>（分摊）出让国有建设用地使用权面积/㎡</v>
      </c>
      <c r="O3" s="3698" t="s">
        <v>1581</v>
      </c>
      <c r="P3" s="3699" t="s">
        <v>1561</v>
      </c>
      <c r="Q3" s="3699" t="s">
        <v>1582</v>
      </c>
      <c r="R3" s="3699" t="s">
        <v>1553</v>
      </c>
    </row>
    <row r="4" spans="1:18" ht="36.75" customHeight="1">
      <c r="A4" s="3698"/>
      <c r="B4" s="3698"/>
      <c r="C4" s="3699"/>
      <c r="D4" s="3698"/>
      <c r="E4" s="2253" t="s">
        <v>1560</v>
      </c>
      <c r="F4" s="2253" t="s">
        <v>2026</v>
      </c>
      <c r="G4" s="2253" t="s">
        <v>1554</v>
      </c>
      <c r="H4" s="2253" t="s">
        <v>1555</v>
      </c>
      <c r="I4" s="2253" t="s">
        <v>2027</v>
      </c>
      <c r="J4" s="2253" t="s">
        <v>1554</v>
      </c>
      <c r="K4" s="3699"/>
      <c r="L4" s="3699"/>
      <c r="M4" s="3698"/>
      <c r="N4" s="3700"/>
      <c r="O4" s="3698"/>
      <c r="P4" s="3699"/>
      <c r="Q4" s="3699"/>
      <c r="R4" s="3699"/>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69193.56</v>
      </c>
      <c r="O5" s="1597">
        <f>项目基本情况!C21</f>
        <v>146577.54999999999</v>
      </c>
      <c r="P5" s="1597">
        <f ca="1">结果表!E42</f>
        <v>37090</v>
      </c>
      <c r="Q5" s="1597">
        <f ca="1">结果表!D42</f>
        <v>17509</v>
      </c>
      <c r="R5" s="1598">
        <f ca="1">结果表!C42</f>
        <v>256640</v>
      </c>
    </row>
    <row r="6" spans="1:18">
      <c r="A6" s="3694" t="str">
        <f>IF(项目基本情况!B9="市场价格","——","抵押价格")</f>
        <v>抵押价格</v>
      </c>
      <c r="B6" s="3695"/>
      <c r="C6" s="3695"/>
      <c r="D6" s="3695"/>
      <c r="E6" s="3695"/>
      <c r="F6" s="3695"/>
      <c r="G6" s="3695"/>
      <c r="H6" s="3695"/>
      <c r="I6" s="3695"/>
      <c r="J6" s="3695"/>
      <c r="K6" s="3695"/>
      <c r="L6" s="3695"/>
      <c r="M6" s="3695"/>
      <c r="N6" s="3695"/>
      <c r="O6" s="3695"/>
      <c r="P6" s="3695"/>
      <c r="Q6" s="3696"/>
      <c r="R6" s="1599">
        <f ca="1">结果表!O39</f>
        <v>256640</v>
      </c>
    </row>
    <row r="7" spans="1:18">
      <c r="A7" s="3694" t="str">
        <f>IF(项目基本情况!B9="市场价格","——",IF(项目基本情况!E8="已注销及未注销","抵押担保权已注销时的抵押价格","——"))</f>
        <v>——</v>
      </c>
      <c r="B7" s="3695"/>
      <c r="C7" s="3695"/>
      <c r="D7" s="3695"/>
      <c r="E7" s="3695"/>
      <c r="F7" s="3695"/>
      <c r="G7" s="3695"/>
      <c r="H7" s="3695"/>
      <c r="I7" s="3695"/>
      <c r="J7" s="3695"/>
      <c r="K7" s="3695"/>
      <c r="L7" s="3695"/>
      <c r="M7" s="3695"/>
      <c r="N7" s="3695"/>
      <c r="O7" s="3695"/>
      <c r="P7" s="3695"/>
      <c r="Q7" s="3696"/>
      <c r="R7" s="1599" t="str">
        <f>结果表!O40</f>
        <v>——</v>
      </c>
    </row>
    <row r="8" spans="1:18">
      <c r="A8" s="3694">
        <f>IF(项目基本情况!B9="市场价格","——",项目基本情况!E9)</f>
        <v>0</v>
      </c>
      <c r="B8" s="3695"/>
      <c r="C8" s="3695"/>
      <c r="D8" s="3695"/>
      <c r="E8" s="3695"/>
      <c r="F8" s="3695"/>
      <c r="G8" s="3695"/>
      <c r="H8" s="3695"/>
      <c r="I8" s="3695"/>
      <c r="J8" s="3695"/>
      <c r="K8" s="3695"/>
      <c r="L8" s="3695"/>
      <c r="M8" s="3695"/>
      <c r="N8" s="3695"/>
      <c r="O8" s="3695"/>
      <c r="P8" s="3695"/>
      <c r="Q8" s="3696"/>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02" t="s">
        <v>1583</v>
      </c>
      <c r="B1" s="3702"/>
      <c r="C1" s="3702"/>
      <c r="D1" s="3702"/>
    </row>
    <row r="2" spans="1:4" ht="47.25" customHeight="1">
      <c r="A2" s="3706" t="str">
        <f>"1.权利限制："&amp;项目基本情况!L24&amp;"未设定租赁等其他他项权利。"</f>
        <v>1.权利限制：根据估价对象《不动产权证书》原件、《国有土地使用权》复印件，截至估价期日，估价对象抵押权未见登记。未设定租赁等其他他项权利。</v>
      </c>
      <c r="B2" s="3706"/>
      <c r="C2" s="3706"/>
      <c r="D2" s="3706"/>
    </row>
    <row r="3" spans="1:4" ht="48" customHeight="1">
      <c r="A3" s="37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2"/>
      <c r="C3" s="3702"/>
      <c r="D3" s="3702"/>
    </row>
    <row r="4" spans="1:4" ht="36.75" customHeight="1">
      <c r="A4" s="3702" t="str">
        <f>"3.估价规划限制条件：详见"&amp;项目基本情况!E21&amp;"。"</f>
        <v>3.估价规划限制条件：详见《建设工程规划许可证》[]、《出让合同》[]。</v>
      </c>
      <c r="B4" s="3702"/>
      <c r="C4" s="3702"/>
      <c r="D4" s="3702"/>
    </row>
    <row r="5" spans="1:4">
      <c r="A5" s="3705" t="s">
        <v>1584</v>
      </c>
      <c r="B5" s="3705"/>
      <c r="C5" s="3705"/>
      <c r="D5" s="3705"/>
    </row>
    <row r="6" spans="1:4">
      <c r="A6" s="3702" t="s">
        <v>1562</v>
      </c>
      <c r="B6" s="3702"/>
      <c r="C6" s="3702"/>
      <c r="D6" s="3702"/>
    </row>
    <row r="7" spans="1:4" ht="33" customHeight="1">
      <c r="A7" s="3702" t="s">
        <v>1857</v>
      </c>
      <c r="B7" s="3702"/>
      <c r="C7" s="3702"/>
      <c r="D7" s="3702"/>
    </row>
    <row r="8" spans="1:4" ht="32.25" customHeight="1">
      <c r="A8" s="37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2"/>
      <c r="C8" s="3702"/>
      <c r="D8" s="3702"/>
    </row>
    <row r="9" spans="1:4" ht="33.75" customHeight="1">
      <c r="A9" s="37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2"/>
      <c r="C9" s="3702"/>
      <c r="D9" s="3702"/>
    </row>
    <row r="10" spans="1:4">
      <c r="A10" s="3702" t="str">
        <f>IF(项目基本情况!B8="抵押","4.估价师所知悉的法定优先受偿款情况为：","——")</f>
        <v>4.估价师所知悉的法定优先受偿款情况为：</v>
      </c>
      <c r="B10" s="3702"/>
      <c r="C10" s="3702"/>
      <c r="D10" s="3702"/>
    </row>
    <row r="11" spans="1:4" ht="37.5" customHeight="1">
      <c r="A11" s="37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4"/>
      <c r="C11" s="3704"/>
      <c r="D11" s="3704"/>
    </row>
    <row r="12" spans="1:4" ht="168" customHeight="1">
      <c r="A12" s="3705" t="s">
        <v>1586</v>
      </c>
      <c r="B12" s="3705"/>
      <c r="C12" s="3705"/>
      <c r="D12" s="3705"/>
    </row>
    <row r="13" spans="1:4">
      <c r="A13" s="3703" t="s">
        <v>2028</v>
      </c>
      <c r="B13" s="3703"/>
      <c r="C13" s="3703"/>
      <c r="D13" s="3703"/>
    </row>
    <row r="14" spans="1:4">
      <c r="A14" s="3704" t="str">
        <f>IF(项目基本情况!B8="抵押","综上，"&amp;结果表!K47,"——")</f>
        <v>综上，本次评估不存在估价师知悉的法定优先受偿款</v>
      </c>
      <c r="B14" s="3704"/>
      <c r="C14" s="3704"/>
      <c r="D14" s="3704"/>
    </row>
    <row r="15" spans="1:4" ht="58.5" customHeight="1">
      <c r="A15" s="37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2"/>
      <c r="C15" s="3702"/>
      <c r="D15" s="3702"/>
    </row>
    <row r="16" spans="1:4" ht="70.5" customHeight="1">
      <c r="A16" s="37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2"/>
      <c r="C16" s="3702"/>
      <c r="D16" s="3702"/>
    </row>
    <row r="17" spans="1:4">
      <c r="A17" s="3702" t="s">
        <v>1984</v>
      </c>
      <c r="B17" s="3702"/>
      <c r="C17" s="3702"/>
      <c r="D17" s="3702"/>
    </row>
    <row r="18" spans="1:4">
      <c r="A18" s="3702" t="s">
        <v>1976</v>
      </c>
      <c r="B18" s="3702"/>
      <c r="C18" s="3702"/>
      <c r="D18" s="3702"/>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702" t="s">
        <v>1981</v>
      </c>
      <c r="B23" s="3702"/>
      <c r="C23" s="3702"/>
      <c r="D23" s="3702"/>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14" t="s">
        <v>27</v>
      </c>
      <c r="B15" s="3715" t="s">
        <v>784</v>
      </c>
      <c r="C15" s="3711"/>
    </row>
    <row r="16" spans="1:7" ht="14.25">
      <c r="A16" s="3714"/>
      <c r="B16" s="3712" t="s">
        <v>28</v>
      </c>
      <c r="C16" s="1069" t="s">
        <v>27</v>
      </c>
    </row>
    <row r="17" spans="1:3" ht="14.25">
      <c r="A17" s="3714"/>
      <c r="B17" s="3712"/>
      <c r="C17" s="1069" t="s">
        <v>29</v>
      </c>
    </row>
    <row r="18" spans="1:3" ht="14.25">
      <c r="A18" s="3714"/>
      <c r="B18" s="3712"/>
      <c r="C18" s="1069" t="s">
        <v>30</v>
      </c>
    </row>
    <row r="19" spans="1:3" ht="14.25">
      <c r="A19" s="3714"/>
      <c r="B19" s="3710" t="s">
        <v>31</v>
      </c>
      <c r="C19" s="3711"/>
    </row>
    <row r="20" spans="1:3" ht="14.25">
      <c r="A20" s="1070" t="s">
        <v>32</v>
      </c>
      <c r="B20" s="1071"/>
      <c r="C20" s="1072"/>
    </row>
    <row r="21" spans="1:3" ht="14.25">
      <c r="A21" s="3713" t="s">
        <v>33</v>
      </c>
      <c r="B21" s="3710" t="s">
        <v>34</v>
      </c>
      <c r="C21" s="3711"/>
    </row>
    <row r="22" spans="1:3" ht="14.25">
      <c r="A22" s="3713"/>
      <c r="B22" s="3710" t="s">
        <v>35</v>
      </c>
      <c r="C22" s="3711"/>
    </row>
    <row r="23" spans="1:3" ht="14.25">
      <c r="A23" s="3713"/>
      <c r="B23" s="3710" t="s">
        <v>36</v>
      </c>
      <c r="C23" s="3711"/>
    </row>
    <row r="24" spans="1:3" ht="14.25">
      <c r="A24" s="3713"/>
      <c r="B24" s="3716" t="s">
        <v>37</v>
      </c>
      <c r="C24" s="1073" t="s">
        <v>775</v>
      </c>
    </row>
    <row r="25" spans="1:3" ht="14.25">
      <c r="A25" s="3713"/>
      <c r="B25" s="3717"/>
      <c r="C25" s="1073" t="s">
        <v>776</v>
      </c>
    </row>
    <row r="26" spans="1:3" ht="14.25">
      <c r="A26" s="3713"/>
      <c r="B26" s="3717"/>
      <c r="C26" s="1073" t="s">
        <v>777</v>
      </c>
    </row>
    <row r="27" spans="1:3" ht="14.25">
      <c r="A27" s="3713"/>
      <c r="B27" s="3717"/>
      <c r="C27" s="1073" t="s">
        <v>778</v>
      </c>
    </row>
    <row r="28" spans="1:3" ht="14.25">
      <c r="A28" s="3713"/>
      <c r="B28" s="3717"/>
      <c r="C28" s="1073" t="s">
        <v>779</v>
      </c>
    </row>
    <row r="29" spans="1:3" ht="14.25">
      <c r="A29" s="3713"/>
      <c r="B29" s="3717"/>
      <c r="C29" s="1073" t="s">
        <v>780</v>
      </c>
    </row>
    <row r="30" spans="1:3" ht="14.25">
      <c r="A30" s="3713"/>
      <c r="B30" s="3717"/>
      <c r="C30" s="1073" t="s">
        <v>781</v>
      </c>
    </row>
    <row r="31" spans="1:3" ht="14.25">
      <c r="A31" s="3713"/>
      <c r="B31" s="3717"/>
      <c r="C31" s="1073" t="s">
        <v>782</v>
      </c>
    </row>
    <row r="32" spans="1:3" ht="14.25">
      <c r="A32" s="3713"/>
      <c r="B32" s="3717"/>
      <c r="C32" s="1073" t="s">
        <v>1181</v>
      </c>
    </row>
    <row r="33" spans="1:3" ht="14.25">
      <c r="A33" s="3713"/>
      <c r="B33" s="3707" t="s">
        <v>1187</v>
      </c>
      <c r="C33" s="1073" t="s">
        <v>1182</v>
      </c>
    </row>
    <row r="34" spans="1:3" ht="14.25">
      <c r="A34" s="3713"/>
      <c r="B34" s="3708"/>
      <c r="C34" s="1078" t="s">
        <v>1183</v>
      </c>
    </row>
    <row r="35" spans="1:3" ht="14.25">
      <c r="A35" s="3713"/>
      <c r="B35" s="3708"/>
      <c r="C35" s="1079" t="s">
        <v>1184</v>
      </c>
    </row>
    <row r="36" spans="1:3" ht="14.25">
      <c r="A36" s="3713"/>
      <c r="B36" s="3708"/>
      <c r="C36" s="1079" t="s">
        <v>1185</v>
      </c>
    </row>
    <row r="37" spans="1:3" ht="14.25">
      <c r="A37" s="3713"/>
      <c r="B37" s="3709"/>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44931</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f ca="1">IF(C15&lt;B2,"已过期",1119980106)</f>
        <v>1119980106</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21" t="s">
        <v>1448</v>
      </c>
      <c r="B18" s="3722"/>
      <c r="C18" s="3722"/>
      <c r="D18" s="3722"/>
      <c r="E18" s="3722"/>
      <c r="F18" s="3722"/>
      <c r="G18" s="2775"/>
    </row>
    <row r="19" spans="1:7" ht="20.25" customHeight="1">
      <c r="A19" s="3718" t="s">
        <v>1449</v>
      </c>
      <c r="B19" s="3718"/>
      <c r="C19" s="3719"/>
      <c r="D19" s="3720" t="s">
        <v>1450</v>
      </c>
      <c r="E19" s="3718"/>
      <c r="F19" s="3718"/>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9" sqref="G29"/>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2763</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2749</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2750</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2751</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2752</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2753</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2754</v>
      </c>
    </row>
    <row r="8" spans="1:23">
      <c r="A8" s="6" t="s">
        <v>75</v>
      </c>
      <c r="B8" s="6" t="s">
        <v>76</v>
      </c>
      <c r="C8" s="1367" t="s">
        <v>1244</v>
      </c>
      <c r="F8" s="7" t="s">
        <v>121</v>
      </c>
      <c r="H8" s="3335" t="s">
        <v>2748</v>
      </c>
      <c r="I8" s="7" t="s">
        <v>2755</v>
      </c>
    </row>
    <row r="9" spans="1:23">
      <c r="A9" s="6" t="s">
        <v>77</v>
      </c>
      <c r="B9" s="6" t="s">
        <v>122</v>
      </c>
      <c r="C9" s="1367" t="s">
        <v>1245</v>
      </c>
      <c r="F9" s="7" t="s">
        <v>78</v>
      </c>
      <c r="H9" s="7"/>
      <c r="I9" s="7" t="s">
        <v>2756</v>
      </c>
    </row>
    <row r="10" spans="1:23">
      <c r="A10" s="6" t="s">
        <v>79</v>
      </c>
      <c r="B10" s="6" t="s">
        <v>123</v>
      </c>
      <c r="C10" s="1367" t="s">
        <v>1246</v>
      </c>
      <c r="F10" s="3335" t="s">
        <v>2747</v>
      </c>
      <c r="I10" s="7" t="s">
        <v>2757</v>
      </c>
    </row>
    <row r="11" spans="1:23">
      <c r="A11" s="6" t="s">
        <v>80</v>
      </c>
      <c r="B11" s="6" t="s">
        <v>124</v>
      </c>
      <c r="C11" s="1367" t="s">
        <v>1247</v>
      </c>
      <c r="I11" s="7" t="s">
        <v>2758</v>
      </c>
    </row>
    <row r="12" spans="1:23">
      <c r="A12" s="6" t="s">
        <v>81</v>
      </c>
      <c r="B12" s="6" t="s">
        <v>125</v>
      </c>
      <c r="C12" s="1367" t="s">
        <v>1248</v>
      </c>
      <c r="I12" s="7" t="s">
        <v>2759</v>
      </c>
    </row>
    <row r="13" spans="1:23">
      <c r="A13" s="6" t="s">
        <v>82</v>
      </c>
      <c r="B13" s="6" t="s">
        <v>126</v>
      </c>
      <c r="C13" s="1367" t="s">
        <v>1249</v>
      </c>
      <c r="I13" s="7" t="s">
        <v>2760</v>
      </c>
    </row>
    <row r="14" spans="1:23">
      <c r="A14" s="6" t="s">
        <v>83</v>
      </c>
      <c r="B14" s="6" t="s">
        <v>127</v>
      </c>
      <c r="C14" s="1370" t="s">
        <v>1421</v>
      </c>
      <c r="I14" s="7" t="s">
        <v>2761</v>
      </c>
    </row>
    <row r="15" spans="1:23">
      <c r="A15" s="6" t="s">
        <v>84</v>
      </c>
      <c r="B15" s="6" t="s">
        <v>1214</v>
      </c>
      <c r="C15" s="1370"/>
      <c r="I15" s="7" t="s">
        <v>2762</v>
      </c>
    </row>
    <row r="16" spans="1:23">
      <c r="A16" s="6" t="s">
        <v>85</v>
      </c>
      <c r="B16" s="6" t="s">
        <v>1215</v>
      </c>
      <c r="C16" s="1370"/>
    </row>
    <row r="17" spans="1:3">
      <c r="A17" s="6" t="s">
        <v>86</v>
      </c>
      <c r="B17" s="6" t="s">
        <v>1216</v>
      </c>
      <c r="C17" s="1370"/>
    </row>
    <row r="18" spans="1:3">
      <c r="A18" s="6" t="s">
        <v>87</v>
      </c>
      <c r="B18" s="2545" t="s">
        <v>2216</v>
      </c>
      <c r="C18" s="1370"/>
    </row>
    <row r="19" spans="1:3">
      <c r="A19" s="6" t="s">
        <v>88</v>
      </c>
      <c r="B19" s="2545" t="s">
        <v>2223</v>
      </c>
      <c r="C19" s="1370"/>
    </row>
    <row r="20" spans="1:3">
      <c r="A20" s="6" t="s">
        <v>89</v>
      </c>
      <c r="B20" s="2545" t="s">
        <v>2263</v>
      </c>
      <c r="C20" s="1370"/>
    </row>
    <row r="21" spans="1:3">
      <c r="A21" s="6" t="s">
        <v>90</v>
      </c>
      <c r="B21" s="6" t="s">
        <v>2442</v>
      </c>
      <c r="C21" s="1370"/>
    </row>
    <row r="22" spans="1:3">
      <c r="A22" s="6" t="s">
        <v>91</v>
      </c>
      <c r="B22" s="2545" t="s">
        <v>3324</v>
      </c>
      <c r="C22" s="1370"/>
    </row>
    <row r="23" spans="1:3">
      <c r="A23" s="6" t="s">
        <v>92</v>
      </c>
      <c r="B23" s="2545" t="s">
        <v>3326</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23"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1557"/>
      <c r="E53" s="1557"/>
    </row>
    <row r="54" spans="1:5">
      <c r="A54" s="3723"/>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23"/>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23"/>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23"/>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602</vt:i4>
      </vt:variant>
    </vt:vector>
  </HeadingPairs>
  <TitlesOfParts>
    <vt:vector size="6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面积表、补缴</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不动产收益法商业</vt:lpstr>
      <vt:lpstr>不动产收益法-酒店模型</vt:lpstr>
      <vt:lpstr>成本逼近法</vt:lpstr>
      <vt:lpstr>不动产比较法-商业</vt:lpstr>
      <vt:lpstr>不动产比较法-办公</vt:lpstr>
      <vt:lpstr>不动产比较法-工业</vt:lpstr>
      <vt:lpstr>不动产比较法-车位</vt:lpstr>
      <vt:lpstr>车位案例</vt:lpstr>
      <vt:lpstr>不动产收益法仓储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车位案例!办公层高</vt:lpstr>
      <vt:lpstr>面积表、补缴!办公层高</vt:lpstr>
      <vt:lpstr>土地案例!办公层高</vt:lpstr>
      <vt:lpstr>住宅案例!办公层高</vt:lpstr>
      <vt:lpstr>办公层高</vt:lpstr>
      <vt:lpstr>车位案例!办公朝向</vt:lpstr>
      <vt:lpstr>面积表、补缴!办公朝向</vt:lpstr>
      <vt:lpstr>土地案例!办公朝向</vt:lpstr>
      <vt:lpstr>住宅案例!办公朝向</vt:lpstr>
      <vt:lpstr>办公朝向</vt:lpstr>
      <vt:lpstr>车位案例!办公道路级别</vt:lpstr>
      <vt:lpstr>面积表、补缴!办公道路级别</vt:lpstr>
      <vt:lpstr>土地案例!办公道路级别</vt:lpstr>
      <vt:lpstr>住宅案例!办公道路级别</vt:lpstr>
      <vt:lpstr>办公道路级别</vt:lpstr>
      <vt:lpstr>车位案例!办公公共部分装修</vt:lpstr>
      <vt:lpstr>面积表、补缴!办公公共部分装修</vt:lpstr>
      <vt:lpstr>土地案例!办公公共部分装修</vt:lpstr>
      <vt:lpstr>住宅案例!办公公共部分装修</vt:lpstr>
      <vt:lpstr>办公公共部分装修</vt:lpstr>
      <vt:lpstr>车位案例!办公基础设施水平</vt:lpstr>
      <vt:lpstr>面积表、补缴!办公基础设施水平</vt:lpstr>
      <vt:lpstr>土地案例!办公基础设施水平</vt:lpstr>
      <vt:lpstr>住宅案例!办公基础设施水平</vt:lpstr>
      <vt:lpstr>办公基础设施水平</vt:lpstr>
      <vt:lpstr>车位案例!办公集聚程度</vt:lpstr>
      <vt:lpstr>面积表、补缴!办公集聚程度</vt:lpstr>
      <vt:lpstr>土地案例!办公集聚程度</vt:lpstr>
      <vt:lpstr>住宅案例!办公集聚程度</vt:lpstr>
      <vt:lpstr>办公集聚程度</vt:lpstr>
      <vt:lpstr>车位案例!办公建筑结构</vt:lpstr>
      <vt:lpstr>面积表、补缴!办公建筑结构</vt:lpstr>
      <vt:lpstr>土地案例!办公建筑结构</vt:lpstr>
      <vt:lpstr>住宅案例!办公建筑结构</vt:lpstr>
      <vt:lpstr>办公建筑结构</vt:lpstr>
      <vt:lpstr>车位案例!办公建筑类型</vt:lpstr>
      <vt:lpstr>面积表、补缴!办公建筑类型</vt:lpstr>
      <vt:lpstr>土地案例!办公建筑类型</vt:lpstr>
      <vt:lpstr>住宅案例!办公建筑类型</vt:lpstr>
      <vt:lpstr>办公建筑类型</vt:lpstr>
      <vt:lpstr>车位案例!办公交易情况</vt:lpstr>
      <vt:lpstr>面积表、补缴!办公交易情况</vt:lpstr>
      <vt:lpstr>土地案例!办公交易情况</vt:lpstr>
      <vt:lpstr>住宅案例!办公交易情况</vt:lpstr>
      <vt:lpstr>办公交易情况</vt:lpstr>
      <vt:lpstr>车位案例!办公楼层</vt:lpstr>
      <vt:lpstr>面积表、补缴!办公楼层</vt:lpstr>
      <vt:lpstr>土地案例!办公楼层</vt:lpstr>
      <vt:lpstr>住宅案例!办公楼层</vt:lpstr>
      <vt:lpstr>办公楼层</vt:lpstr>
      <vt:lpstr>车位案例!办公内部装修</vt:lpstr>
      <vt:lpstr>面积表、补缴!办公内部装修</vt:lpstr>
      <vt:lpstr>土地案例!办公内部装修</vt:lpstr>
      <vt:lpstr>住宅案例!办公内部装修</vt:lpstr>
      <vt:lpstr>办公内部装修</vt:lpstr>
      <vt:lpstr>车位案例!办公物业管理</vt:lpstr>
      <vt:lpstr>面积表、补缴!办公物业管理</vt:lpstr>
      <vt:lpstr>土地案例!办公物业管理</vt:lpstr>
      <vt:lpstr>住宅案例!办公物业管理</vt:lpstr>
      <vt:lpstr>办公物业管理</vt:lpstr>
      <vt:lpstr>车位案例!办公用途</vt:lpstr>
      <vt:lpstr>面积表、补缴!办公用途</vt:lpstr>
      <vt:lpstr>土地案例!办公用途</vt:lpstr>
      <vt:lpstr>住宅案例!办公用途</vt:lpstr>
      <vt:lpstr>办公用途</vt:lpstr>
      <vt:lpstr>车位案例!仓储公共部分装修</vt:lpstr>
      <vt:lpstr>面积表、补缴!仓储公共部分装修</vt:lpstr>
      <vt:lpstr>土地案例!仓储公共部分装修</vt:lpstr>
      <vt:lpstr>住宅案例!仓储公共部分装修</vt:lpstr>
      <vt:lpstr>仓储公共部分装修</vt:lpstr>
      <vt:lpstr>车位案例!仓储交易情况</vt:lpstr>
      <vt:lpstr>面积表、补缴!仓储交易情况</vt:lpstr>
      <vt:lpstr>土地案例!仓储交易情况</vt:lpstr>
      <vt:lpstr>住宅案例!仓储交易情况</vt:lpstr>
      <vt:lpstr>仓储交易情况</vt:lpstr>
      <vt:lpstr>车位案例!仓储楼层</vt:lpstr>
      <vt:lpstr>面积表、补缴!仓储楼层</vt:lpstr>
      <vt:lpstr>土地案例!仓储楼层</vt:lpstr>
      <vt:lpstr>住宅案例!仓储楼层</vt:lpstr>
      <vt:lpstr>仓储楼层</vt:lpstr>
      <vt:lpstr>车位案例!仓储物业等级</vt:lpstr>
      <vt:lpstr>面积表、补缴!仓储物业等级</vt:lpstr>
      <vt:lpstr>土地案例!仓储物业等级</vt:lpstr>
      <vt:lpstr>住宅案例!仓储物业等级</vt:lpstr>
      <vt:lpstr>仓储物业等级</vt:lpstr>
      <vt:lpstr>车位案例!仓储用途</vt:lpstr>
      <vt:lpstr>面积表、补缴!仓储用途</vt:lpstr>
      <vt:lpstr>土地案例!仓储用途</vt:lpstr>
      <vt:lpstr>住宅案例!仓储用途</vt:lpstr>
      <vt:lpstr>仓储用途</vt:lpstr>
      <vt:lpstr>车位案例!产业集聚程度</vt:lpstr>
      <vt:lpstr>面积表、补缴!产业集聚程度</vt:lpstr>
      <vt:lpstr>土地案例!产业集聚程度</vt:lpstr>
      <vt:lpstr>住宅案例!产业集聚程度</vt:lpstr>
      <vt:lpstr>产业集聚程度</vt:lpstr>
      <vt:lpstr>车位案例!车位公共部分装修</vt:lpstr>
      <vt:lpstr>面积表、补缴!车位公共部分装修</vt:lpstr>
      <vt:lpstr>土地案例!车位公共部分装修</vt:lpstr>
      <vt:lpstr>住宅案例!车位公共部分装修</vt:lpstr>
      <vt:lpstr>车位公共部分装修</vt:lpstr>
      <vt:lpstr>车位案例!车位交易情况</vt:lpstr>
      <vt:lpstr>面积表、补缴!车位交易情况</vt:lpstr>
      <vt:lpstr>土地案例!车位交易情况</vt:lpstr>
      <vt:lpstr>住宅案例!车位交易情况</vt:lpstr>
      <vt:lpstr>车位交易情况</vt:lpstr>
      <vt:lpstr>车位案例!车位类型</vt:lpstr>
      <vt:lpstr>面积表、补缴!车位类型</vt:lpstr>
      <vt:lpstr>土地案例!车位类型</vt:lpstr>
      <vt:lpstr>住宅案例!车位类型</vt:lpstr>
      <vt:lpstr>车位类型</vt:lpstr>
      <vt:lpstr>车位案例!车位楼层</vt:lpstr>
      <vt:lpstr>面积表、补缴!车位楼层</vt:lpstr>
      <vt:lpstr>土地案例!车位楼层</vt:lpstr>
      <vt:lpstr>住宅案例!车位楼层</vt:lpstr>
      <vt:lpstr>车位楼层</vt:lpstr>
      <vt:lpstr>车位案例!车位配套类型</vt:lpstr>
      <vt:lpstr>面积表、补缴!车位配套类型</vt:lpstr>
      <vt:lpstr>土地案例!车位配套类型</vt:lpstr>
      <vt:lpstr>住宅案例!车位配套类型</vt:lpstr>
      <vt:lpstr>车位配套类型</vt:lpstr>
      <vt:lpstr>车位案例!车位物业等级</vt:lpstr>
      <vt:lpstr>面积表、补缴!车位物业等级</vt:lpstr>
      <vt:lpstr>土地案例!车位物业等级</vt:lpstr>
      <vt:lpstr>住宅案例!车位物业等级</vt:lpstr>
      <vt:lpstr>车位物业等级</vt:lpstr>
      <vt:lpstr>车位案例!车位用途</vt:lpstr>
      <vt:lpstr>面积表、补缴!车位用途</vt:lpstr>
      <vt:lpstr>土地案例!车位用途</vt:lpstr>
      <vt:lpstr>住宅案例!车位用途</vt:lpstr>
      <vt:lpstr>车位用途</vt:lpstr>
      <vt:lpstr>车位案例!城镇土地纳税等级分级范围</vt:lpstr>
      <vt:lpstr>面积表、补缴!城镇土地纳税等级分级范围</vt:lpstr>
      <vt:lpstr>土地案例!城镇土地纳税等级分级范围</vt:lpstr>
      <vt:lpstr>住宅案例!城镇土地纳税等级分级范围</vt:lpstr>
      <vt:lpstr>城镇土地纳税等级分级范围</vt:lpstr>
      <vt:lpstr>车位案例!单价内涵</vt:lpstr>
      <vt:lpstr>面积表、补缴!单价内涵</vt:lpstr>
      <vt:lpstr>土地案例!单价内涵</vt:lpstr>
      <vt:lpstr>住宅案例!单价内涵</vt:lpstr>
      <vt:lpstr>单价内涵</vt:lpstr>
      <vt:lpstr>车位案例!地类判定</vt:lpstr>
      <vt:lpstr>面积表、补缴!地类判定</vt:lpstr>
      <vt:lpstr>土地案例!地类判定</vt:lpstr>
      <vt:lpstr>住宅案例!地类判定</vt:lpstr>
      <vt:lpstr>地类判定</vt:lpstr>
      <vt:lpstr>二级</vt:lpstr>
      <vt:lpstr>车位案例!二级分类</vt:lpstr>
      <vt:lpstr>面积表、补缴!二级分类</vt:lpstr>
      <vt:lpstr>土地案例!二级分类</vt:lpstr>
      <vt:lpstr>住宅案例!二级分类</vt:lpstr>
      <vt:lpstr>二级分类</vt:lpstr>
      <vt:lpstr>车位案例!法定最高年限</vt:lpstr>
      <vt:lpstr>面积表、补缴!法定最高年限</vt:lpstr>
      <vt:lpstr>土地案例!法定最高年限</vt:lpstr>
      <vt:lpstr>住宅案例!法定最高年限</vt:lpstr>
      <vt:lpstr>法定最高年限</vt:lpstr>
      <vt:lpstr>车位案例!工业公共部分装修</vt:lpstr>
      <vt:lpstr>面积表、补缴!工业公共部分装修</vt:lpstr>
      <vt:lpstr>土地案例!工业公共部分装修</vt:lpstr>
      <vt:lpstr>住宅案例!工业公共部分装修</vt:lpstr>
      <vt:lpstr>工业公共部分装修</vt:lpstr>
      <vt:lpstr>车位案例!工业基础设施水平</vt:lpstr>
      <vt:lpstr>面积表、补缴!工业基础设施水平</vt:lpstr>
      <vt:lpstr>土地案例!工业基础设施水平</vt:lpstr>
      <vt:lpstr>住宅案例!工业基础设施水平</vt:lpstr>
      <vt:lpstr>工业基础设施水平</vt:lpstr>
      <vt:lpstr>车位案例!工业建筑结构</vt:lpstr>
      <vt:lpstr>面积表、补缴!工业建筑结构</vt:lpstr>
      <vt:lpstr>土地案例!工业建筑结构</vt:lpstr>
      <vt:lpstr>住宅案例!工业建筑结构</vt:lpstr>
      <vt:lpstr>工业建筑结构</vt:lpstr>
      <vt:lpstr>车位案例!工业建筑类型</vt:lpstr>
      <vt:lpstr>面积表、补缴!工业建筑类型</vt:lpstr>
      <vt:lpstr>土地案例!工业建筑类型</vt:lpstr>
      <vt:lpstr>住宅案例!工业建筑类型</vt:lpstr>
      <vt:lpstr>工业建筑类型</vt:lpstr>
      <vt:lpstr>车位案例!工业交易情况</vt:lpstr>
      <vt:lpstr>面积表、补缴!工业交易情况</vt:lpstr>
      <vt:lpstr>土地案例!工业交易情况</vt:lpstr>
      <vt:lpstr>住宅案例!工业交易情况</vt:lpstr>
      <vt:lpstr>工业交易情况</vt:lpstr>
      <vt:lpstr>车位案例!工业内部装修</vt:lpstr>
      <vt:lpstr>面积表、补缴!工业内部装修</vt:lpstr>
      <vt:lpstr>土地案例!工业内部装修</vt:lpstr>
      <vt:lpstr>住宅案例!工业内部装修</vt:lpstr>
      <vt:lpstr>工业内部装修</vt:lpstr>
      <vt:lpstr>车位案例!工业物业管理</vt:lpstr>
      <vt:lpstr>面积表、补缴!工业物业管理</vt:lpstr>
      <vt:lpstr>土地案例!工业物业管理</vt:lpstr>
      <vt:lpstr>住宅案例!工业物业管理</vt:lpstr>
      <vt:lpstr>工业物业管理</vt:lpstr>
      <vt:lpstr>车位案例!工业用途</vt:lpstr>
      <vt:lpstr>面积表、补缴!工业用途</vt:lpstr>
      <vt:lpstr>土地案例!工业用途</vt:lpstr>
      <vt:lpstr>住宅案例!工业用途</vt:lpstr>
      <vt:lpstr>工业用途</vt:lpstr>
      <vt:lpstr>车位案例!公共配套设施</vt:lpstr>
      <vt:lpstr>面积表、补缴!公共配套设施</vt:lpstr>
      <vt:lpstr>土地案例!公共配套设施</vt:lpstr>
      <vt:lpstr>住宅案例!公共配套设施</vt:lpstr>
      <vt:lpstr>公共配套设施</vt:lpstr>
      <vt:lpstr>估价范围判定</vt:lpstr>
      <vt:lpstr>车位案例!估价方法</vt:lpstr>
      <vt:lpstr>面积表、补缴!估价方法</vt:lpstr>
      <vt:lpstr>土地案例!估价方法</vt:lpstr>
      <vt:lpstr>住宅案例!估价方法</vt:lpstr>
      <vt:lpstr>估价方法</vt:lpstr>
      <vt:lpstr>车位案例!环境</vt:lpstr>
      <vt:lpstr>面积表、补缴!环境</vt:lpstr>
      <vt:lpstr>土地案例!环境</vt:lpstr>
      <vt:lpstr>住宅案例!环境</vt:lpstr>
      <vt:lpstr>环境</vt:lpstr>
      <vt:lpstr>车位案例!基础设施水平</vt:lpstr>
      <vt:lpstr>面积表、补缴!基础设施水平</vt:lpstr>
      <vt:lpstr>土地案例!基础设施水平</vt:lpstr>
      <vt:lpstr>住宅案例!基础设施水平</vt:lpstr>
      <vt:lpstr>基础设施水平</vt:lpstr>
      <vt:lpstr>季度</vt:lpstr>
      <vt:lpstr>季度2014</vt:lpstr>
      <vt:lpstr>车位案例!价值类型2</vt:lpstr>
      <vt:lpstr>面积表、补缴!价值类型2</vt:lpstr>
      <vt:lpstr>土地案例!价值类型2</vt:lpstr>
      <vt:lpstr>住宅案例!价值类型2</vt:lpstr>
      <vt:lpstr>价值类型2</vt:lpstr>
      <vt:lpstr>车位案例!交通便捷度</vt:lpstr>
      <vt:lpstr>面积表、补缴!交通便捷度</vt:lpstr>
      <vt:lpstr>土地案例!交通便捷度</vt:lpstr>
      <vt:lpstr>住宅案例!交通便捷度</vt:lpstr>
      <vt:lpstr>交通便捷度</vt:lpstr>
      <vt:lpstr>九级</vt:lpstr>
      <vt:lpstr>车位案例!居住社区成熟度</vt:lpstr>
      <vt:lpstr>面积表、补缴!居住社区成熟度</vt:lpstr>
      <vt:lpstr>土地案例!居住社区成熟度</vt:lpstr>
      <vt:lpstr>住宅案例!居住社区成熟度</vt:lpstr>
      <vt:lpstr>居住社区成熟度</vt:lpstr>
      <vt:lpstr>车位案例!类别</vt:lpstr>
      <vt:lpstr>面积表、补缴!类别</vt:lpstr>
      <vt:lpstr>土地案例!类别</vt:lpstr>
      <vt:lpstr>住宅案例!类别</vt:lpstr>
      <vt:lpstr>类别</vt:lpstr>
      <vt:lpstr>车位案例!临街状况</vt:lpstr>
      <vt:lpstr>面积表、补缴!临街状况</vt:lpstr>
      <vt:lpstr>土地案例!临街状况</vt:lpstr>
      <vt:lpstr>住宅案例!临街状况</vt:lpstr>
      <vt:lpstr>临街状况</vt:lpstr>
      <vt:lpstr>六级</vt:lpstr>
      <vt:lpstr>车位案例!内部装修维护情况</vt:lpstr>
      <vt:lpstr>面积表、补缴!内部装修维护情况</vt:lpstr>
      <vt:lpstr>土地案例!内部装修维护情况</vt:lpstr>
      <vt:lpstr>住宅案例!内部装修维护情况</vt:lpstr>
      <vt:lpstr>内部装修维护情况</vt:lpstr>
      <vt:lpstr>判定</vt:lpstr>
      <vt:lpstr>七级</vt:lpstr>
      <vt:lpstr>车位案例!七通一平</vt:lpstr>
      <vt:lpstr>面积表、补缴!七通一平</vt:lpstr>
      <vt:lpstr>土地案例!七通一平</vt:lpstr>
      <vt:lpstr>住宅案例!七通一平</vt:lpstr>
      <vt:lpstr>七通一平</vt:lpstr>
      <vt:lpstr>车位案例!区域土地利用方向</vt:lpstr>
      <vt:lpstr>面积表、补缴!区域土地利用方向</vt:lpstr>
      <vt:lpstr>土地案例!区域土地利用方向</vt:lpstr>
      <vt:lpstr>住宅案例!区域土地利用方向</vt:lpstr>
      <vt:lpstr>区域土地利用方向</vt:lpstr>
      <vt:lpstr>三级</vt:lpstr>
      <vt:lpstr>车位案例!商业层高</vt:lpstr>
      <vt:lpstr>面积表、补缴!商业层高</vt:lpstr>
      <vt:lpstr>土地案例!商业层高</vt:lpstr>
      <vt:lpstr>住宅案例!商业层高</vt:lpstr>
      <vt:lpstr>商业层高</vt:lpstr>
      <vt:lpstr>商业成新度</vt:lpstr>
      <vt:lpstr>车位案例!商业繁华度</vt:lpstr>
      <vt:lpstr>面积表、补缴!商业繁华度</vt:lpstr>
      <vt:lpstr>土地案例!商业繁华度</vt:lpstr>
      <vt:lpstr>住宅案例!商业繁华度</vt:lpstr>
      <vt:lpstr>商业繁华度</vt:lpstr>
      <vt:lpstr>车位案例!商业公共部分装修</vt:lpstr>
      <vt:lpstr>面积表、补缴!商业公共部分装修</vt:lpstr>
      <vt:lpstr>土地案例!商业公共部分装修</vt:lpstr>
      <vt:lpstr>住宅案例!商业公共部分装修</vt:lpstr>
      <vt:lpstr>商业公共部分装修</vt:lpstr>
      <vt:lpstr>车位案例!商业基础设施水平</vt:lpstr>
      <vt:lpstr>面积表、补缴!商业基础设施水平</vt:lpstr>
      <vt:lpstr>土地案例!商业基础设施水平</vt:lpstr>
      <vt:lpstr>住宅案例!商业基础设施水平</vt:lpstr>
      <vt:lpstr>商业基础设施水平</vt:lpstr>
      <vt:lpstr>车位案例!商业建筑结构</vt:lpstr>
      <vt:lpstr>面积表、补缴!商业建筑结构</vt:lpstr>
      <vt:lpstr>土地案例!商业建筑结构</vt:lpstr>
      <vt:lpstr>住宅案例!商业建筑结构</vt:lpstr>
      <vt:lpstr>商业建筑结构</vt:lpstr>
      <vt:lpstr>车位案例!商业交易情况</vt:lpstr>
      <vt:lpstr>面积表、补缴!商业交易情况</vt:lpstr>
      <vt:lpstr>土地案例!商业交易情况</vt:lpstr>
      <vt:lpstr>住宅案例!商业交易情况</vt:lpstr>
      <vt:lpstr>商业交易情况</vt:lpstr>
      <vt:lpstr>车位案例!商业街名称</vt:lpstr>
      <vt:lpstr>面积表、补缴!商业街名称</vt:lpstr>
      <vt:lpstr>土地案例!商业街名称</vt:lpstr>
      <vt:lpstr>住宅案例!商业街名称</vt:lpstr>
      <vt:lpstr>商业街名称</vt:lpstr>
      <vt:lpstr>车位案例!商业进深比</vt:lpstr>
      <vt:lpstr>面积表、补缴!商业进深比</vt:lpstr>
      <vt:lpstr>土地案例!商业进深比</vt:lpstr>
      <vt:lpstr>住宅案例!商业进深比</vt:lpstr>
      <vt:lpstr>商业进深比</vt:lpstr>
      <vt:lpstr>车位案例!商业类型</vt:lpstr>
      <vt:lpstr>面积表、补缴!商业类型</vt:lpstr>
      <vt:lpstr>土地案例!商业类型</vt:lpstr>
      <vt:lpstr>住宅案例!商业类型</vt:lpstr>
      <vt:lpstr>商业类型</vt:lpstr>
      <vt:lpstr>车位案例!商业临街状况</vt:lpstr>
      <vt:lpstr>面积表、补缴!商业临街状况</vt:lpstr>
      <vt:lpstr>土地案例!商业临街状况</vt:lpstr>
      <vt:lpstr>住宅案例!商业临街状况</vt:lpstr>
      <vt:lpstr>商业临街状况</vt:lpstr>
      <vt:lpstr>车位案例!商业楼层</vt:lpstr>
      <vt:lpstr>面积表、补缴!商业楼层</vt:lpstr>
      <vt:lpstr>土地案例!商业楼层</vt:lpstr>
      <vt:lpstr>住宅案例!商业楼层</vt:lpstr>
      <vt:lpstr>商业楼层</vt:lpstr>
      <vt:lpstr>车位案例!商业内部装修</vt:lpstr>
      <vt:lpstr>面积表、补缴!商业内部装修</vt:lpstr>
      <vt:lpstr>土地案例!商业内部装修</vt:lpstr>
      <vt:lpstr>住宅案例!商业内部装修</vt:lpstr>
      <vt:lpstr>商业内部装修</vt:lpstr>
      <vt:lpstr>车位案例!商业人流量</vt:lpstr>
      <vt:lpstr>面积表、补缴!商业人流量</vt:lpstr>
      <vt:lpstr>土地案例!商业人流量</vt:lpstr>
      <vt:lpstr>住宅案例!商业人流量</vt:lpstr>
      <vt:lpstr>商业人流量</vt:lpstr>
      <vt:lpstr>车位案例!商业业态</vt:lpstr>
      <vt:lpstr>面积表、补缴!商业业态</vt:lpstr>
      <vt:lpstr>土地案例!商业业态</vt:lpstr>
      <vt:lpstr>住宅案例!商业业态</vt:lpstr>
      <vt:lpstr>商业业态</vt:lpstr>
      <vt:lpstr>车位案例!商业用途</vt:lpstr>
      <vt:lpstr>面积表、补缴!商业用途</vt:lpstr>
      <vt:lpstr>土地案例!商业用途</vt:lpstr>
      <vt:lpstr>住宅案例!商业用途</vt:lpstr>
      <vt:lpstr>商业用途</vt:lpstr>
      <vt:lpstr>十二级</vt:lpstr>
      <vt:lpstr>十级</vt:lpstr>
      <vt:lpstr>十一级</vt:lpstr>
      <vt:lpstr>车位案例!是否封闭</vt:lpstr>
      <vt:lpstr>面积表、补缴!是否封闭</vt:lpstr>
      <vt:lpstr>土地案例!是否封闭</vt:lpstr>
      <vt:lpstr>住宅案例!是否封闭</vt:lpstr>
      <vt:lpstr>是否封闭</vt:lpstr>
      <vt:lpstr>车位案例!是否直接入户</vt:lpstr>
      <vt:lpstr>面积表、补缴!是否直接入户</vt:lpstr>
      <vt:lpstr>土地案例!是否直接入户</vt:lpstr>
      <vt:lpstr>住宅案例!是否直接入户</vt:lpstr>
      <vt:lpstr>是否直接入户</vt:lpstr>
      <vt:lpstr>四级</vt:lpstr>
      <vt:lpstr>车位案例!套工工程地质条件</vt:lpstr>
      <vt:lpstr>面积表、补缴!套工工程地质条件</vt:lpstr>
      <vt:lpstr>土地案例!套工工程地质条件</vt:lpstr>
      <vt:lpstr>住宅案例!套工工程地质条件</vt:lpstr>
      <vt:lpstr>套工工程地质条件</vt:lpstr>
      <vt:lpstr>车位案例!套工交易情况</vt:lpstr>
      <vt:lpstr>面积表、补缴!套工交易情况</vt:lpstr>
      <vt:lpstr>土地案例!套工交易情况</vt:lpstr>
      <vt:lpstr>住宅案例!套工交易情况</vt:lpstr>
      <vt:lpstr>套工交易情况</vt:lpstr>
      <vt:lpstr>车位案例!套工开发程度</vt:lpstr>
      <vt:lpstr>面积表、补缴!套工开发程度</vt:lpstr>
      <vt:lpstr>土地案例!套工开发程度</vt:lpstr>
      <vt:lpstr>住宅案例!套工开发程度</vt:lpstr>
      <vt:lpstr>套工开发程度</vt:lpstr>
      <vt:lpstr>车位案例!套工临街等级</vt:lpstr>
      <vt:lpstr>面积表、补缴!套工临街等级</vt:lpstr>
      <vt:lpstr>土地案例!套工临街等级</vt:lpstr>
      <vt:lpstr>住宅案例!套工临街等级</vt:lpstr>
      <vt:lpstr>套工临街等级</vt:lpstr>
      <vt:lpstr>车位案例!套工土地级别</vt:lpstr>
      <vt:lpstr>面积表、补缴!套工土地级别</vt:lpstr>
      <vt:lpstr>土地案例!套工土地级别</vt:lpstr>
      <vt:lpstr>住宅案例!套工土地级别</vt:lpstr>
      <vt:lpstr>套工土地级别</vt:lpstr>
      <vt:lpstr>车位案例!套工用途</vt:lpstr>
      <vt:lpstr>面积表、补缴!套工用途</vt:lpstr>
      <vt:lpstr>土地案例!套工用途</vt:lpstr>
      <vt:lpstr>住宅案例!套工用途</vt:lpstr>
      <vt:lpstr>套工用途</vt:lpstr>
      <vt:lpstr>车位案例!套工宗地形状</vt:lpstr>
      <vt:lpstr>面积表、补缴!套工宗地形状</vt:lpstr>
      <vt:lpstr>土地案例!套工宗地形状</vt:lpstr>
      <vt:lpstr>住宅案例!套工宗地形状</vt:lpstr>
      <vt:lpstr>套工宗地形状</vt:lpstr>
      <vt:lpstr>车位案例!套综道路等级</vt:lpstr>
      <vt:lpstr>面积表、补缴!套综道路等级</vt:lpstr>
      <vt:lpstr>土地案例!套综道路等级</vt:lpstr>
      <vt:lpstr>住宅案例!套综道路等级</vt:lpstr>
      <vt:lpstr>套综道路等级</vt:lpstr>
      <vt:lpstr>车位案例!套综工程地质条件</vt:lpstr>
      <vt:lpstr>面积表、补缴!套综工程地质条件</vt:lpstr>
      <vt:lpstr>土地案例!套综工程地质条件</vt:lpstr>
      <vt:lpstr>住宅案例!套综工程地质条件</vt:lpstr>
      <vt:lpstr>套综工程地质条件</vt:lpstr>
      <vt:lpstr>车位案例!套综交易情况</vt:lpstr>
      <vt:lpstr>面积表、补缴!套综交易情况</vt:lpstr>
      <vt:lpstr>土地案例!套综交易情况</vt:lpstr>
      <vt:lpstr>住宅案例!套综交易情况</vt:lpstr>
      <vt:lpstr>套综交易情况</vt:lpstr>
      <vt:lpstr>车位案例!套综临街宽度及深度</vt:lpstr>
      <vt:lpstr>面积表、补缴!套综临街宽度及深度</vt:lpstr>
      <vt:lpstr>土地案例!套综临街宽度及深度</vt:lpstr>
      <vt:lpstr>住宅案例!套综临街宽度及深度</vt:lpstr>
      <vt:lpstr>套综临街宽度及深度</vt:lpstr>
      <vt:lpstr>车位案例!套综土地级别</vt:lpstr>
      <vt:lpstr>面积表、补缴!套综土地级别</vt:lpstr>
      <vt:lpstr>土地案例!套综土地级别</vt:lpstr>
      <vt:lpstr>住宅案例!套综土地级别</vt:lpstr>
      <vt:lpstr>套综土地级别</vt:lpstr>
      <vt:lpstr>车位案例!套综用途</vt:lpstr>
      <vt:lpstr>面积表、补缴!套综用途</vt:lpstr>
      <vt:lpstr>土地案例!套综用途</vt:lpstr>
      <vt:lpstr>住宅案例!套综用途</vt:lpstr>
      <vt:lpstr>套综用途</vt:lpstr>
      <vt:lpstr>车位案例!套综宗地内开发程度</vt:lpstr>
      <vt:lpstr>面积表、补缴!套综宗地内开发程度</vt:lpstr>
      <vt:lpstr>土地案例!套综宗地内开发程度</vt:lpstr>
      <vt:lpstr>住宅案例!套综宗地内开发程度</vt:lpstr>
      <vt:lpstr>套综宗地内开发程度</vt:lpstr>
      <vt:lpstr>车位案例!套综宗地形状</vt:lpstr>
      <vt:lpstr>面积表、补缴!套综宗地形状</vt:lpstr>
      <vt:lpstr>土地案例!套综宗地形状</vt:lpstr>
      <vt:lpstr>住宅案例!套综宗地形状</vt:lpstr>
      <vt:lpstr>套综宗地形状</vt:lpstr>
      <vt:lpstr>车位案例!土地估价师</vt:lpstr>
      <vt:lpstr>面积表、补缴!土地估价师</vt:lpstr>
      <vt:lpstr>土地案例!土地估价师</vt:lpstr>
      <vt:lpstr>住宅案例!土地估价师</vt:lpstr>
      <vt:lpstr>土地估价师</vt:lpstr>
      <vt:lpstr>车位案例!土地级别</vt:lpstr>
      <vt:lpstr>面积表、补缴!土地级别</vt:lpstr>
      <vt:lpstr>土地案例!土地级别</vt:lpstr>
      <vt:lpstr>住宅案例!土地级别</vt:lpstr>
      <vt:lpstr>土地级别</vt:lpstr>
      <vt:lpstr>土地利用方向</vt:lpstr>
      <vt:lpstr>车位案例!土地年限区间</vt:lpstr>
      <vt:lpstr>面积表、补缴!土地年限区间</vt:lpstr>
      <vt:lpstr>土地案例!土地年限区间</vt:lpstr>
      <vt:lpstr>住宅案例!土地年限区间</vt:lpstr>
      <vt:lpstr>土地年限区间</vt:lpstr>
      <vt:lpstr>车位案例!位置</vt:lpstr>
      <vt:lpstr>面积表、补缴!位置</vt:lpstr>
      <vt:lpstr>土地案例!位置</vt:lpstr>
      <vt:lpstr>住宅案例!位置</vt:lpstr>
      <vt:lpstr>位置</vt:lpstr>
      <vt:lpstr>车位案例!五等判定</vt:lpstr>
      <vt:lpstr>面积表、补缴!五等判定</vt:lpstr>
      <vt:lpstr>土地案例!五等判定</vt:lpstr>
      <vt:lpstr>住宅案例!五等判定</vt:lpstr>
      <vt:lpstr>五等判定</vt:lpstr>
      <vt:lpstr>五级</vt:lpstr>
      <vt:lpstr>车位案例!项目类型</vt:lpstr>
      <vt:lpstr>面积表、补缴!项目类型</vt:lpstr>
      <vt:lpstr>土地案例!项目类型</vt:lpstr>
      <vt:lpstr>住宅案例!项目类型</vt:lpstr>
      <vt:lpstr>项目类型</vt:lpstr>
      <vt:lpstr>车位案例!写字楼等级</vt:lpstr>
      <vt:lpstr>面积表、补缴!写字楼等级</vt:lpstr>
      <vt:lpstr>土地案例!写字楼等级</vt:lpstr>
      <vt:lpstr>住宅案例!写字楼等级</vt:lpstr>
      <vt:lpstr>写字楼等级</vt:lpstr>
      <vt:lpstr>一级</vt:lpstr>
      <vt:lpstr>车位案例!一修多修正项2</vt:lpstr>
      <vt:lpstr>面积表、补缴!一修多修正项2</vt:lpstr>
      <vt:lpstr>土地案例!一修多修正项2</vt:lpstr>
      <vt:lpstr>住宅案例!一修多修正项2</vt:lpstr>
      <vt:lpstr>一修多修正项2</vt:lpstr>
      <vt:lpstr>车位案例!一修多修正项3</vt:lpstr>
      <vt:lpstr>面积表、补缴!一修多修正项3</vt:lpstr>
      <vt:lpstr>土地案例!一修多修正项3</vt:lpstr>
      <vt:lpstr>住宅案例!一修多修正项3</vt:lpstr>
      <vt:lpstr>一修多修正项3</vt:lpstr>
      <vt:lpstr>车位案例!一修多修正项4</vt:lpstr>
      <vt:lpstr>面积表、补缴!一修多修正项4</vt:lpstr>
      <vt:lpstr>土地案例!一修多修正项4</vt:lpstr>
      <vt:lpstr>住宅案例!一修多修正项4</vt:lpstr>
      <vt:lpstr>一修多修正项4</vt:lpstr>
      <vt:lpstr>车位案例!一修多修正项5</vt:lpstr>
      <vt:lpstr>面积表、补缴!一修多修正项5</vt:lpstr>
      <vt:lpstr>土地案例!一修多修正项5</vt:lpstr>
      <vt:lpstr>住宅案例!一修多修正项5</vt:lpstr>
      <vt:lpstr>一修多修正项5</vt:lpstr>
      <vt:lpstr>车位案例!一修多修正项6</vt:lpstr>
      <vt:lpstr>面积表、补缴!一修多修正项6</vt:lpstr>
      <vt:lpstr>土地案例!一修多修正项6</vt:lpstr>
      <vt:lpstr>住宅案例!一修多修正项6</vt:lpstr>
      <vt:lpstr>一修多修正项6</vt:lpstr>
      <vt:lpstr>车位案例!一修多修正项7</vt:lpstr>
      <vt:lpstr>面积表、补缴!一修多修正项7</vt:lpstr>
      <vt:lpstr>土地案例!一修多修正项7</vt:lpstr>
      <vt:lpstr>住宅案例!一修多修正项7</vt:lpstr>
      <vt:lpstr>一修多修正项7</vt:lpstr>
      <vt:lpstr>车位案例!一修多修正项8</vt:lpstr>
      <vt:lpstr>面积表、补缴!一修多修正项8</vt:lpstr>
      <vt:lpstr>土地案例!一修多修正项8</vt:lpstr>
      <vt:lpstr>住宅案例!一修多修正项8</vt:lpstr>
      <vt:lpstr>一修多修正项8</vt:lpstr>
      <vt:lpstr>车位案例!用途类型</vt:lpstr>
      <vt:lpstr>面积表、补缴!用途类型</vt:lpstr>
      <vt:lpstr>土地案例!用途类型</vt:lpstr>
      <vt:lpstr>住宅案例!用途类型</vt:lpstr>
      <vt:lpstr>用途类型</vt:lpstr>
      <vt:lpstr>车位案例!有无电梯</vt:lpstr>
      <vt:lpstr>面积表、补缴!有无电梯</vt:lpstr>
      <vt:lpstr>土地案例!有无电梯</vt:lpstr>
      <vt:lpstr>住宅案例!有无电梯</vt:lpstr>
      <vt:lpstr>有无电梯</vt:lpstr>
      <vt:lpstr>车位案例!主用途</vt:lpstr>
      <vt:lpstr>面积表、补缴!主用途</vt:lpstr>
      <vt:lpstr>土地案例!主用途</vt:lpstr>
      <vt:lpstr>住宅案例!主用途</vt:lpstr>
      <vt:lpstr>主用途</vt:lpstr>
      <vt:lpstr>车位案例!住宅朝向</vt:lpstr>
      <vt:lpstr>面积表、补缴!住宅朝向</vt:lpstr>
      <vt:lpstr>土地案例!住宅朝向</vt:lpstr>
      <vt:lpstr>住宅案例!住宅朝向</vt:lpstr>
      <vt:lpstr>住宅朝向</vt:lpstr>
      <vt:lpstr>车位案例!住宅房型</vt:lpstr>
      <vt:lpstr>面积表、补缴!住宅房型</vt:lpstr>
      <vt:lpstr>土地案例!住宅房型</vt:lpstr>
      <vt:lpstr>住宅案例!住宅房型</vt:lpstr>
      <vt:lpstr>住宅房型</vt:lpstr>
      <vt:lpstr>车位案例!住宅公共部分装修</vt:lpstr>
      <vt:lpstr>面积表、补缴!住宅公共部分装修</vt:lpstr>
      <vt:lpstr>土地案例!住宅公共部分装修</vt:lpstr>
      <vt:lpstr>住宅案例!住宅公共部分装修</vt:lpstr>
      <vt:lpstr>住宅公共部分装修</vt:lpstr>
      <vt:lpstr>车位案例!住宅基础设施水平</vt:lpstr>
      <vt:lpstr>面积表、补缴!住宅基础设施水平</vt:lpstr>
      <vt:lpstr>土地案例!住宅基础设施水平</vt:lpstr>
      <vt:lpstr>住宅案例!住宅基础设施水平</vt:lpstr>
      <vt:lpstr>住宅基础设施水平</vt:lpstr>
      <vt:lpstr>车位案例!住宅建筑结构</vt:lpstr>
      <vt:lpstr>面积表、补缴!住宅建筑结构</vt:lpstr>
      <vt:lpstr>土地案例!住宅建筑结构</vt:lpstr>
      <vt:lpstr>住宅案例!住宅建筑结构</vt:lpstr>
      <vt:lpstr>住宅建筑结构</vt:lpstr>
      <vt:lpstr>车位案例!住宅建筑类型</vt:lpstr>
      <vt:lpstr>面积表、补缴!住宅建筑类型</vt:lpstr>
      <vt:lpstr>土地案例!住宅建筑类型</vt:lpstr>
      <vt:lpstr>住宅案例!住宅建筑类型</vt:lpstr>
      <vt:lpstr>住宅建筑类型</vt:lpstr>
      <vt:lpstr>车位案例!住宅建筑品质</vt:lpstr>
      <vt:lpstr>面积表、补缴!住宅建筑品质</vt:lpstr>
      <vt:lpstr>土地案例!住宅建筑品质</vt:lpstr>
      <vt:lpstr>住宅案例!住宅建筑品质</vt:lpstr>
      <vt:lpstr>住宅建筑品质</vt:lpstr>
      <vt:lpstr>车位案例!住宅交易情况</vt:lpstr>
      <vt:lpstr>面积表、补缴!住宅交易情况</vt:lpstr>
      <vt:lpstr>土地案例!住宅交易情况</vt:lpstr>
      <vt:lpstr>住宅案例!住宅交易情况</vt:lpstr>
      <vt:lpstr>住宅交易情况</vt:lpstr>
      <vt:lpstr>车位案例!住宅楼层</vt:lpstr>
      <vt:lpstr>面积表、补缴!住宅楼层</vt:lpstr>
      <vt:lpstr>土地案例!住宅楼层</vt:lpstr>
      <vt:lpstr>住宅案例!住宅楼层</vt:lpstr>
      <vt:lpstr>住宅楼层</vt:lpstr>
      <vt:lpstr>车位案例!住宅内部装修</vt:lpstr>
      <vt:lpstr>面积表、补缴!住宅内部装修</vt:lpstr>
      <vt:lpstr>土地案例!住宅内部装修</vt:lpstr>
      <vt:lpstr>住宅案例!住宅内部装修</vt:lpstr>
      <vt:lpstr>住宅内部装修</vt:lpstr>
      <vt:lpstr>车位案例!住宅物业管理</vt:lpstr>
      <vt:lpstr>面积表、补缴!住宅物业管理</vt:lpstr>
      <vt:lpstr>土地案例!住宅物业管理</vt:lpstr>
      <vt:lpstr>住宅案例!住宅物业管理</vt:lpstr>
      <vt:lpstr>住宅物业管理</vt:lpstr>
      <vt:lpstr>车位案例!住宅用途</vt:lpstr>
      <vt:lpstr>面积表、补缴!住宅用途</vt:lpstr>
      <vt:lpstr>土地案例!住宅用途</vt:lpstr>
      <vt:lpstr>住宅案例!住宅用途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2023-01-05T02:04:31Z</dcterms:modified>
</cp:coreProperties>
</file>